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corp.dir.ameren.com\dfs\Orgdrv\MPSC Cases\EO-2023-0136  MEEIA 4\Rider EEIC\"/>
    </mc:Choice>
  </mc:AlternateContent>
  <xr:revisionPtr revIDLastSave="0" documentId="13_ncr:1_{3821A841-029E-49CC-B4B9-642BEF330BD2}" xr6:coauthVersionLast="47" xr6:coauthVersionMax="47" xr10:uidLastSave="{00000000-0000-0000-0000-000000000000}"/>
  <bookViews>
    <workbookView xWindow="-120" yWindow="-120" windowWidth="29040" windowHeight="15720" tabRatio="751" activeTab="1" xr2:uid="{00000000-000D-0000-FFFF-FFFF00000000}"/>
  </bookViews>
  <sheets>
    <sheet name="MEEIA 4 calcs" sheetId="34" r:id="rId1"/>
    <sheet name="M4 Allocations - TD" sheetId="36" r:id="rId2"/>
    <sheet name="M4 TD amort" sheetId="37" r:id="rId3"/>
    <sheet name="PAYS interest calculation" sheetId="33" r:id="rId4"/>
    <sheet name="MEEIA 3 calcs" sheetId="27" r:id="rId5"/>
    <sheet name="MEEIA 3 adjs" sheetId="29" r:id="rId6"/>
    <sheet name="M3 Allocations - TD" sheetId="28" r:id="rId7"/>
    <sheet name="M3 TD amort" sheetId="30" r:id="rId8"/>
  </sheets>
  <externalReferences>
    <externalReference r:id="rId9"/>
    <externalReference r:id="rId10"/>
  </externalReferences>
  <definedNames>
    <definedName name="\A">#REF!</definedName>
    <definedName name="\B">#REF!</definedName>
    <definedName name="\C">#REF!</definedName>
    <definedName name="\D">#REF!</definedName>
    <definedName name="\E">#REF!</definedName>
    <definedName name="\F">#REF!</definedName>
    <definedName name="\G">#REF!</definedName>
    <definedName name="\i">#N/A</definedName>
    <definedName name="\M">#REF!</definedName>
    <definedName name="\N">#REF!</definedName>
    <definedName name="\O">#REF!</definedName>
    <definedName name="\P">#REF!</definedName>
    <definedName name="\Q">#REF!</definedName>
    <definedName name="\R">#REF!</definedName>
    <definedName name="\S">#REF!</definedName>
    <definedName name="\t">#N/A</definedName>
    <definedName name="\U">#REF!</definedName>
    <definedName name="\V">#REF!</definedName>
    <definedName name="\W">#REF!</definedName>
    <definedName name="\X">#REF!</definedName>
    <definedName name="\Y">#REF!</definedName>
    <definedName name="\Z">#REF!</definedName>
    <definedName name="_" hidden="1">#REF!</definedName>
    <definedName name="____________________________________Key2" hidden="1">#REF!</definedName>
    <definedName name="___________________________________Key2" hidden="1">#REF!</definedName>
    <definedName name="__________________________________Key2" hidden="1">#REF!</definedName>
    <definedName name="_________________________________Key2" hidden="1">#REF!</definedName>
    <definedName name="________________________________Key2" hidden="1">#REF!</definedName>
    <definedName name="_______________________________Key2" hidden="1">#REF!</definedName>
    <definedName name="______________________________Key2" hidden="1">#REF!</definedName>
    <definedName name="_____________________________Key2" hidden="1">#REF!</definedName>
    <definedName name="____________________________Key2" hidden="1">#REF!</definedName>
    <definedName name="___________________________Key2" hidden="1">#REF!</definedName>
    <definedName name="__________________________Key2" hidden="1">#REF!</definedName>
    <definedName name="_________________________Key2" hidden="1">#REF!</definedName>
    <definedName name="________________________Key2" hidden="1">#REF!</definedName>
    <definedName name="_______________________Key2" hidden="1">#REF!</definedName>
    <definedName name="______________________Key2" hidden="1">#REF!</definedName>
    <definedName name="_____________________Key2" hidden="1">#REF!</definedName>
    <definedName name="_____________________p1">#REF!</definedName>
    <definedName name="____________________Com1">#REF!</definedName>
    <definedName name="____________________Com2">#REF!</definedName>
    <definedName name="____________________Com3">#REF!</definedName>
    <definedName name="____________________COM94">#REF!</definedName>
    <definedName name="____________________COM95">#REF!</definedName>
    <definedName name="____________________EXH1">#REF!</definedName>
    <definedName name="____________________EXH5">#REF!</definedName>
    <definedName name="____________________JV13">#REF!</definedName>
    <definedName name="____________________Key2" hidden="1">#REF!</definedName>
    <definedName name="____________________ms01">#REF!</definedName>
    <definedName name="____________________ms02">#REF!</definedName>
    <definedName name="____________________ms03">#REF!</definedName>
    <definedName name="____________________ms04">#REF!</definedName>
    <definedName name="____________________omd1">#REF!</definedName>
    <definedName name="____________________omd2">#REF!</definedName>
    <definedName name="____________________p1">#REF!</definedName>
    <definedName name="____________________rb1">#REF!</definedName>
    <definedName name="____________________rbd1">#REF!</definedName>
    <definedName name="____________________rbd2">#REF!</definedName>
    <definedName name="____________________RMC2">#REF!</definedName>
    <definedName name="____________________SF3">#REF!</definedName>
    <definedName name="____________________td01">#REF!</definedName>
    <definedName name="____________________td02">#REF!</definedName>
    <definedName name="____________________td03">#REF!</definedName>
    <definedName name="____________________td04">#REF!</definedName>
    <definedName name="____________________TDG01">#REF!</definedName>
    <definedName name="____________________TDG02">#REF!</definedName>
    <definedName name="____________________TDG03">#REF!</definedName>
    <definedName name="____________________TDG04">#REF!</definedName>
    <definedName name="___________________Com1">#REF!</definedName>
    <definedName name="___________________Com2">#REF!</definedName>
    <definedName name="___________________Com3">#REF!</definedName>
    <definedName name="___________________COM94">#REF!</definedName>
    <definedName name="___________________COM95">#REF!</definedName>
    <definedName name="___________________EXH1">#REF!</definedName>
    <definedName name="___________________EXH5">#REF!</definedName>
    <definedName name="___________________JV13">#REF!</definedName>
    <definedName name="___________________Key2" hidden="1">#REF!</definedName>
    <definedName name="___________________ms01">#REF!</definedName>
    <definedName name="___________________ms02">#REF!</definedName>
    <definedName name="___________________ms03">#REF!</definedName>
    <definedName name="___________________ms04">#REF!</definedName>
    <definedName name="___________________omd1">#REF!</definedName>
    <definedName name="___________________omd2">#REF!</definedName>
    <definedName name="___________________p1">#REF!</definedName>
    <definedName name="___________________rb1">#REF!</definedName>
    <definedName name="___________________rbd1">#REF!</definedName>
    <definedName name="___________________rbd2">#REF!</definedName>
    <definedName name="___________________RMC2">#REF!</definedName>
    <definedName name="___________________SF3">#REF!</definedName>
    <definedName name="___________________td01">#REF!</definedName>
    <definedName name="___________________td02">#REF!</definedName>
    <definedName name="___________________td03">#REF!</definedName>
    <definedName name="___________________td04">#REF!</definedName>
    <definedName name="___________________TDG01">#REF!</definedName>
    <definedName name="___________________TDG02">#REF!</definedName>
    <definedName name="___________________TDG03">#REF!</definedName>
    <definedName name="___________________TDG04">#REF!</definedName>
    <definedName name="__________________Com1">#REF!</definedName>
    <definedName name="__________________Com2">#REF!</definedName>
    <definedName name="__________________Com3">#REF!</definedName>
    <definedName name="__________________COM94">#REF!</definedName>
    <definedName name="__________________COM95">#REF!</definedName>
    <definedName name="__________________EXH1">#REF!</definedName>
    <definedName name="__________________EXH5">#REF!</definedName>
    <definedName name="__________________JV13">#REF!</definedName>
    <definedName name="__________________Key2" hidden="1">#REF!</definedName>
    <definedName name="__________________ms01">#REF!</definedName>
    <definedName name="__________________ms02">#REF!</definedName>
    <definedName name="__________________ms03">#REF!</definedName>
    <definedName name="__________________ms04">#REF!</definedName>
    <definedName name="__________________om1">#REF!</definedName>
    <definedName name="__________________om2">#REF!</definedName>
    <definedName name="__________________omd1">#REF!</definedName>
    <definedName name="__________________omd2">#REF!</definedName>
    <definedName name="__________________p1">#REF!</definedName>
    <definedName name="__________________rb1">#REF!</definedName>
    <definedName name="__________________rb2">#REF!</definedName>
    <definedName name="__________________rbd1">#REF!</definedName>
    <definedName name="__________________rbd2">#REF!</definedName>
    <definedName name="__________________RMC2">#REF!</definedName>
    <definedName name="__________________SF3">#REF!</definedName>
    <definedName name="__________________td01">#REF!</definedName>
    <definedName name="__________________td02">#REF!</definedName>
    <definedName name="__________________td03">#REF!</definedName>
    <definedName name="__________________td04">#REF!</definedName>
    <definedName name="__________________TDG01">#REF!</definedName>
    <definedName name="__________________TDG02">#REF!</definedName>
    <definedName name="__________________TDG03">#REF!</definedName>
    <definedName name="__________________TDG04">#REF!</definedName>
    <definedName name="_________________Com1">#REF!</definedName>
    <definedName name="_________________Com2">#REF!</definedName>
    <definedName name="_________________Com3">#REF!</definedName>
    <definedName name="_________________COM94">#REF!</definedName>
    <definedName name="_________________COM95">#REF!</definedName>
    <definedName name="_________________EXH1">#REF!</definedName>
    <definedName name="_________________EXH5">#REF!</definedName>
    <definedName name="_________________JV13">#REF!</definedName>
    <definedName name="_________________Key2" hidden="1">#REF!</definedName>
    <definedName name="_________________ms01">#REF!</definedName>
    <definedName name="_________________ms02">#REF!</definedName>
    <definedName name="_________________ms03">#REF!</definedName>
    <definedName name="_________________ms04">#REF!</definedName>
    <definedName name="_________________om1">#REF!</definedName>
    <definedName name="_________________om2">#REF!</definedName>
    <definedName name="_________________omd1">#REF!</definedName>
    <definedName name="_________________omd2">#REF!</definedName>
    <definedName name="_________________p1">#REF!</definedName>
    <definedName name="_________________rb1">#REF!</definedName>
    <definedName name="_________________rb2">#REF!</definedName>
    <definedName name="_________________rbd1">#REF!</definedName>
    <definedName name="_________________rbd2">#REF!</definedName>
    <definedName name="_________________RMC2">#REF!</definedName>
    <definedName name="_________________SF3">#REF!</definedName>
    <definedName name="_________________td01">#REF!</definedName>
    <definedName name="_________________td02">#REF!</definedName>
    <definedName name="_________________td03">#REF!</definedName>
    <definedName name="_________________td04">#REF!</definedName>
    <definedName name="_________________TDG01">#REF!</definedName>
    <definedName name="_________________TDG02">#REF!</definedName>
    <definedName name="_________________TDG03">#REF!</definedName>
    <definedName name="_________________TDG04">#REF!</definedName>
    <definedName name="________________Com1">#REF!</definedName>
    <definedName name="________________Com2">#REF!</definedName>
    <definedName name="________________Com3">#REF!</definedName>
    <definedName name="________________COM94">#REF!</definedName>
    <definedName name="________________COM95">#REF!</definedName>
    <definedName name="________________EXH1">#REF!</definedName>
    <definedName name="________________EXH5">#REF!</definedName>
    <definedName name="________________JV13">#REF!</definedName>
    <definedName name="________________Key2" hidden="1">#REF!</definedName>
    <definedName name="________________ms01">#REF!</definedName>
    <definedName name="________________ms02">#REF!</definedName>
    <definedName name="________________ms03">#REF!</definedName>
    <definedName name="________________ms04">#REF!</definedName>
    <definedName name="________________om1">#REF!</definedName>
    <definedName name="________________om2">#REF!</definedName>
    <definedName name="________________omd1">#REF!</definedName>
    <definedName name="________________omd2">#REF!</definedName>
    <definedName name="________________p1">#REF!</definedName>
    <definedName name="________________rb1">#REF!</definedName>
    <definedName name="________________rb2">#REF!</definedName>
    <definedName name="________________rbd1">#REF!</definedName>
    <definedName name="________________rbd2">#REF!</definedName>
    <definedName name="________________RMC2">#REF!</definedName>
    <definedName name="________________SF3">#REF!</definedName>
    <definedName name="________________td01">#REF!</definedName>
    <definedName name="________________td02">#REF!</definedName>
    <definedName name="________________td03">#REF!</definedName>
    <definedName name="________________td04">#REF!</definedName>
    <definedName name="________________TDG01">#REF!</definedName>
    <definedName name="________________TDG02">#REF!</definedName>
    <definedName name="________________TDG03">#REF!</definedName>
    <definedName name="________________TDG04">#REF!</definedName>
    <definedName name="_______________Com1">#REF!</definedName>
    <definedName name="_______________Com2">#REF!</definedName>
    <definedName name="_______________Com3">#REF!</definedName>
    <definedName name="_______________COM94">#REF!</definedName>
    <definedName name="_______________COM95">#REF!</definedName>
    <definedName name="_______________EXH1">#REF!</definedName>
    <definedName name="_______________EXH5">#REF!</definedName>
    <definedName name="_______________JV13">#REF!</definedName>
    <definedName name="_______________Key2" hidden="1">#REF!</definedName>
    <definedName name="_______________ms01">#REF!</definedName>
    <definedName name="_______________ms02">#REF!</definedName>
    <definedName name="_______________ms03">#REF!</definedName>
    <definedName name="_______________ms04">#REF!</definedName>
    <definedName name="_______________om1">#REF!</definedName>
    <definedName name="_______________om2">#REF!</definedName>
    <definedName name="_______________omd1">#REF!</definedName>
    <definedName name="_______________omd2">#REF!</definedName>
    <definedName name="_______________p1">#REF!</definedName>
    <definedName name="_______________rb1">#REF!</definedName>
    <definedName name="_______________rb2">#REF!</definedName>
    <definedName name="_______________rbd1">#REF!</definedName>
    <definedName name="_______________rbd2">#REF!</definedName>
    <definedName name="_______________RMC2">#REF!</definedName>
    <definedName name="_______________SF3">#REF!</definedName>
    <definedName name="_______________td01">#REF!</definedName>
    <definedName name="_______________td02">#REF!</definedName>
    <definedName name="_______________td03">#REF!</definedName>
    <definedName name="_______________td04">#REF!</definedName>
    <definedName name="_______________TDG01">#REF!</definedName>
    <definedName name="_______________TDG02">#REF!</definedName>
    <definedName name="_______________TDG03">#REF!</definedName>
    <definedName name="_______________TDG04">#REF!</definedName>
    <definedName name="______________Com1">#REF!</definedName>
    <definedName name="______________Com2">#REF!</definedName>
    <definedName name="______________Com3">#REF!</definedName>
    <definedName name="______________COM94">#REF!</definedName>
    <definedName name="______________COM95">#REF!</definedName>
    <definedName name="______________EXH1">#REF!</definedName>
    <definedName name="______________EXH5">#REF!</definedName>
    <definedName name="______________JV13">#REF!</definedName>
    <definedName name="______________Key2" hidden="1">#REF!</definedName>
    <definedName name="______________ms01">#REF!</definedName>
    <definedName name="______________ms02">#REF!</definedName>
    <definedName name="______________ms03">#REF!</definedName>
    <definedName name="______________ms04">#REF!</definedName>
    <definedName name="______________om1">#REF!</definedName>
    <definedName name="______________om2">#REF!</definedName>
    <definedName name="______________omd1">#REF!</definedName>
    <definedName name="______________omd2">#REF!</definedName>
    <definedName name="______________p1">#REF!</definedName>
    <definedName name="______________rb1">#REF!</definedName>
    <definedName name="______________rb2">#REF!</definedName>
    <definedName name="______________rbd1">#REF!</definedName>
    <definedName name="______________rbd2">#REF!</definedName>
    <definedName name="______________RMC2">#REF!</definedName>
    <definedName name="______________SF3">#REF!</definedName>
    <definedName name="______________td01">#REF!</definedName>
    <definedName name="______________td02">#REF!</definedName>
    <definedName name="______________td03">#REF!</definedName>
    <definedName name="______________td04">#REF!</definedName>
    <definedName name="______________TDG01">#REF!</definedName>
    <definedName name="______________TDG02">#REF!</definedName>
    <definedName name="______________TDG03">#REF!</definedName>
    <definedName name="______________TDG04">#REF!</definedName>
    <definedName name="_____________Com1">#REF!</definedName>
    <definedName name="_____________Com2">#REF!</definedName>
    <definedName name="_____________Com3">#REF!</definedName>
    <definedName name="_____________COM94">#REF!</definedName>
    <definedName name="_____________COM95">#REF!</definedName>
    <definedName name="_____________EXH1">#REF!</definedName>
    <definedName name="_____________EXH5">#REF!</definedName>
    <definedName name="_____________JV13">#REF!</definedName>
    <definedName name="_____________Key2" hidden="1">#REF!</definedName>
    <definedName name="_____________ms01">#REF!</definedName>
    <definedName name="_____________ms02">#REF!</definedName>
    <definedName name="_____________ms03">#REF!</definedName>
    <definedName name="_____________ms04">#REF!</definedName>
    <definedName name="_____________om1">#REF!</definedName>
    <definedName name="_____________om2">#REF!</definedName>
    <definedName name="_____________omd1">#REF!</definedName>
    <definedName name="_____________omd2">#REF!</definedName>
    <definedName name="_____________p1">#REF!</definedName>
    <definedName name="_____________rb1">#REF!</definedName>
    <definedName name="_____________rb2">#REF!</definedName>
    <definedName name="_____________rbd1">#REF!</definedName>
    <definedName name="_____________rbd2">#REF!</definedName>
    <definedName name="_____________RMC2">#REF!</definedName>
    <definedName name="_____________SF3">#REF!</definedName>
    <definedName name="_____________td01">#REF!</definedName>
    <definedName name="_____________td02">#REF!</definedName>
    <definedName name="_____________td03">#REF!</definedName>
    <definedName name="_____________td04">#REF!</definedName>
    <definedName name="_____________TDG01">#REF!</definedName>
    <definedName name="_____________TDG02">#REF!</definedName>
    <definedName name="_____________TDG03">#REF!</definedName>
    <definedName name="_____________TDG04">#REF!</definedName>
    <definedName name="____________Com1">#REF!</definedName>
    <definedName name="____________Com2">#REF!</definedName>
    <definedName name="____________Com3">#REF!</definedName>
    <definedName name="____________COM94">#REF!</definedName>
    <definedName name="____________COM95">#REF!</definedName>
    <definedName name="____________EXH1">#REF!</definedName>
    <definedName name="____________EXH5">#REF!</definedName>
    <definedName name="____________JV13">#REF!</definedName>
    <definedName name="____________Key2" hidden="1">#REF!</definedName>
    <definedName name="____________ms01">#REF!</definedName>
    <definedName name="____________ms02">#REF!</definedName>
    <definedName name="____________ms03">#REF!</definedName>
    <definedName name="____________ms04">#REF!</definedName>
    <definedName name="____________om1">#REF!</definedName>
    <definedName name="____________om2">#REF!</definedName>
    <definedName name="____________OMD1">#REF!</definedName>
    <definedName name="____________omd2">#REF!</definedName>
    <definedName name="____________p1">#REF!</definedName>
    <definedName name="____________rb1">#REF!</definedName>
    <definedName name="____________rb2">#REF!</definedName>
    <definedName name="____________rbd1">#REF!</definedName>
    <definedName name="____________rbd2">#REF!</definedName>
    <definedName name="____________RMC2">#REF!</definedName>
    <definedName name="____________SF3">#REF!</definedName>
    <definedName name="____________td01">#REF!</definedName>
    <definedName name="____________td02">#REF!</definedName>
    <definedName name="____________td03">#REF!</definedName>
    <definedName name="____________td04">#REF!</definedName>
    <definedName name="____________TDG01">#REF!</definedName>
    <definedName name="____________TDG02">#REF!</definedName>
    <definedName name="____________TDG03">#REF!</definedName>
    <definedName name="____________TDG04">#REF!</definedName>
    <definedName name="___________Com1">#REF!</definedName>
    <definedName name="___________Com2">#REF!</definedName>
    <definedName name="___________Com3">#REF!</definedName>
    <definedName name="___________COM94">#REF!</definedName>
    <definedName name="___________COM95">#REF!</definedName>
    <definedName name="___________EXH1">#REF!</definedName>
    <definedName name="___________EXH5">#REF!</definedName>
    <definedName name="___________JV13">#REF!</definedName>
    <definedName name="___________Key2" hidden="1">#REF!</definedName>
    <definedName name="___________ms01">#REF!</definedName>
    <definedName name="___________ms02">#REF!</definedName>
    <definedName name="___________ms03">#REF!</definedName>
    <definedName name="___________ms04">#REF!</definedName>
    <definedName name="___________om1">#REF!</definedName>
    <definedName name="___________om2">#REF!</definedName>
    <definedName name="___________omd1">#REF!</definedName>
    <definedName name="___________omd2">#REF!</definedName>
    <definedName name="___________p1">#REF!</definedName>
    <definedName name="___________rb1">#REF!</definedName>
    <definedName name="___________rb2">#REF!</definedName>
    <definedName name="___________rbd1">#REF!</definedName>
    <definedName name="___________rbd2">#REF!</definedName>
    <definedName name="___________RMC2">#REF!</definedName>
    <definedName name="___________SF3">#REF!</definedName>
    <definedName name="___________td01">#REF!</definedName>
    <definedName name="___________td02">#REF!</definedName>
    <definedName name="___________td03">#REF!</definedName>
    <definedName name="___________td04">#REF!</definedName>
    <definedName name="___________TDG01">#REF!</definedName>
    <definedName name="___________TDG02">#REF!</definedName>
    <definedName name="___________TDG03">#REF!</definedName>
    <definedName name="___________TDG04">#REF!</definedName>
    <definedName name="__________Com1">#REF!</definedName>
    <definedName name="__________Com2">#REF!</definedName>
    <definedName name="__________Com3">#REF!</definedName>
    <definedName name="__________COM94">#REF!</definedName>
    <definedName name="__________COM95">#REF!</definedName>
    <definedName name="__________EXH1">#REF!</definedName>
    <definedName name="__________EXH5">#REF!</definedName>
    <definedName name="__________JV13">#REF!</definedName>
    <definedName name="__________Key2" hidden="1">#REF!</definedName>
    <definedName name="__________ms01">#REF!</definedName>
    <definedName name="__________ms02">#REF!</definedName>
    <definedName name="__________ms03">#REF!</definedName>
    <definedName name="__________ms04">#REF!</definedName>
    <definedName name="__________om1">#REF!</definedName>
    <definedName name="__________om2">#REF!</definedName>
    <definedName name="__________omd1">#REF!</definedName>
    <definedName name="__________omd2">#REF!</definedName>
    <definedName name="__________p1">#REF!</definedName>
    <definedName name="__________rb1">#REF!</definedName>
    <definedName name="__________rb2">#REF!</definedName>
    <definedName name="__________rbd1">#REF!</definedName>
    <definedName name="__________rbd2">#REF!</definedName>
    <definedName name="__________RMC2">#REF!</definedName>
    <definedName name="__________SF3">#REF!</definedName>
    <definedName name="__________td01">#REF!</definedName>
    <definedName name="__________td02">#REF!</definedName>
    <definedName name="__________td03">#REF!</definedName>
    <definedName name="__________td04">#REF!</definedName>
    <definedName name="__________TDG01">#REF!</definedName>
    <definedName name="__________TDG02">#REF!</definedName>
    <definedName name="__________TDG03">#REF!</definedName>
    <definedName name="__________TDG04">#REF!</definedName>
    <definedName name="_________Com1">#REF!</definedName>
    <definedName name="_________Com2">#REF!</definedName>
    <definedName name="_________Com3">#REF!</definedName>
    <definedName name="_________COM94">#REF!</definedName>
    <definedName name="_________COM95">#REF!</definedName>
    <definedName name="_________EXH1">#REF!</definedName>
    <definedName name="_________EXH5">#REF!</definedName>
    <definedName name="_________JV13">#REF!</definedName>
    <definedName name="_________Key2" hidden="1">#REF!</definedName>
    <definedName name="_________ms01">#REF!</definedName>
    <definedName name="_________ms02">#REF!</definedName>
    <definedName name="_________ms03">#REF!</definedName>
    <definedName name="_________ms04">#REF!</definedName>
    <definedName name="_________om1">#REF!</definedName>
    <definedName name="_________om2">#REF!</definedName>
    <definedName name="_________omd1">#REF!</definedName>
    <definedName name="_________omd2">#REF!</definedName>
    <definedName name="_________p1">#REF!</definedName>
    <definedName name="_________rb1">#REF!</definedName>
    <definedName name="_________rb2">#REF!</definedName>
    <definedName name="_________rbd1">#REF!</definedName>
    <definedName name="_________rbd2">#REF!</definedName>
    <definedName name="_________RMC2">#REF!</definedName>
    <definedName name="_________SF3">#REF!</definedName>
    <definedName name="_________td01">#REF!</definedName>
    <definedName name="_________td02">#REF!</definedName>
    <definedName name="_________td03">#REF!</definedName>
    <definedName name="_________td04">#REF!</definedName>
    <definedName name="_________TDG01">#REF!</definedName>
    <definedName name="_________TDG02">#REF!</definedName>
    <definedName name="_________TDG03">#REF!</definedName>
    <definedName name="_________TDG04">#REF!</definedName>
    <definedName name="________Com1">#REF!</definedName>
    <definedName name="________Com2">#REF!</definedName>
    <definedName name="________Com3">#REF!</definedName>
    <definedName name="________COM94">#REF!</definedName>
    <definedName name="________COM95">#REF!</definedName>
    <definedName name="________EXH1">#REF!</definedName>
    <definedName name="________EXH5">#REF!</definedName>
    <definedName name="________JV13">#REF!</definedName>
    <definedName name="________Key2" hidden="1">#REF!</definedName>
    <definedName name="________ms01">#REF!</definedName>
    <definedName name="________ms02">#REF!</definedName>
    <definedName name="________ms03">#REF!</definedName>
    <definedName name="________ms04">#REF!</definedName>
    <definedName name="________om1">#REF!</definedName>
    <definedName name="________om2">#REF!</definedName>
    <definedName name="________omd1">#REF!</definedName>
    <definedName name="________omd2">#REF!</definedName>
    <definedName name="________p1">#REF!</definedName>
    <definedName name="________rb1">#REF!</definedName>
    <definedName name="________rb2">#REF!</definedName>
    <definedName name="________rbd1">#REF!</definedName>
    <definedName name="________rbd2">#REF!</definedName>
    <definedName name="________RMC2">#REF!</definedName>
    <definedName name="________SF3">#REF!</definedName>
    <definedName name="________td01">#REF!</definedName>
    <definedName name="________td02">#REF!</definedName>
    <definedName name="________td03">#REF!</definedName>
    <definedName name="________td04">#REF!</definedName>
    <definedName name="________TDG01">#REF!</definedName>
    <definedName name="________TDG02">#REF!</definedName>
    <definedName name="________TDG03">#REF!</definedName>
    <definedName name="________TDG04">#REF!</definedName>
    <definedName name="_______Com1">#REF!</definedName>
    <definedName name="_______Com2">#REF!</definedName>
    <definedName name="_______Com3">#REF!</definedName>
    <definedName name="_______COM94">#REF!</definedName>
    <definedName name="_______COM95">#REF!</definedName>
    <definedName name="_______EXH1">#REF!</definedName>
    <definedName name="_______EXH5">#REF!</definedName>
    <definedName name="_______JV13">#REF!</definedName>
    <definedName name="_______Key2" hidden="1">#REF!</definedName>
    <definedName name="_______ms01">#REF!</definedName>
    <definedName name="_______ms02">#REF!</definedName>
    <definedName name="_______ms03">#REF!</definedName>
    <definedName name="_______ms04">#REF!</definedName>
    <definedName name="_______om1">#REF!</definedName>
    <definedName name="_______om2">#REF!</definedName>
    <definedName name="_______omd1">#REF!</definedName>
    <definedName name="_______omd2">#REF!</definedName>
    <definedName name="_______p1">#REF!</definedName>
    <definedName name="_______rb1">#REF!</definedName>
    <definedName name="_______rb2">#REF!</definedName>
    <definedName name="_______rbd1">#REF!</definedName>
    <definedName name="_______rbd2">#REF!</definedName>
    <definedName name="_______RMC2">#REF!</definedName>
    <definedName name="_______SF3">#REF!</definedName>
    <definedName name="_______td01">#REF!</definedName>
    <definedName name="_______td02">#REF!</definedName>
    <definedName name="_______td03">#REF!</definedName>
    <definedName name="_______td04">#REF!</definedName>
    <definedName name="_______TDG01">#REF!</definedName>
    <definedName name="_______TDG02">#REF!</definedName>
    <definedName name="_______TDG03">#REF!</definedName>
    <definedName name="_______TDG04">#REF!</definedName>
    <definedName name="______Com1">#REF!</definedName>
    <definedName name="______Com2">#REF!</definedName>
    <definedName name="______Com3">#REF!</definedName>
    <definedName name="______COM94">#REF!</definedName>
    <definedName name="______COM95">#REF!</definedName>
    <definedName name="______EXH1">#REF!</definedName>
    <definedName name="______EXH5">#REF!</definedName>
    <definedName name="______JV13">#REF!</definedName>
    <definedName name="______Key2" hidden="1">#REF!</definedName>
    <definedName name="______ms01">#REF!</definedName>
    <definedName name="______ms02">#REF!</definedName>
    <definedName name="______ms03">#REF!</definedName>
    <definedName name="______ms04">#REF!</definedName>
    <definedName name="______om1">#REF!</definedName>
    <definedName name="______om2">#REF!</definedName>
    <definedName name="______OMD1">#REF!</definedName>
    <definedName name="______omd2">#REF!</definedName>
    <definedName name="______p1">#REF!</definedName>
    <definedName name="______rb1">#REF!</definedName>
    <definedName name="______rb2">#REF!</definedName>
    <definedName name="______rbd1">#REF!</definedName>
    <definedName name="______rbd2">#REF!</definedName>
    <definedName name="______RMC2">#REF!</definedName>
    <definedName name="______SF3">#REF!</definedName>
    <definedName name="______td01">#REF!</definedName>
    <definedName name="______td02">#REF!</definedName>
    <definedName name="______td03">#REF!</definedName>
    <definedName name="______td04">#REF!</definedName>
    <definedName name="______TDG01">#REF!</definedName>
    <definedName name="______TDG02">#REF!</definedName>
    <definedName name="______TDG03">#REF!</definedName>
    <definedName name="______TDG04">#REF!</definedName>
    <definedName name="_____Com1">#REF!</definedName>
    <definedName name="_____Com2">#REF!</definedName>
    <definedName name="_____Com3">#REF!</definedName>
    <definedName name="_____COM94">#REF!</definedName>
    <definedName name="_____COM95">#REF!</definedName>
    <definedName name="_____EXH1">#REF!</definedName>
    <definedName name="_____EXH5">#REF!</definedName>
    <definedName name="_____JV13">#REF!</definedName>
    <definedName name="_____Key2" hidden="1">#REF!</definedName>
    <definedName name="_____ms01">#REF!</definedName>
    <definedName name="_____ms02">#REF!</definedName>
    <definedName name="_____ms03">#REF!</definedName>
    <definedName name="_____ms04">#REF!</definedName>
    <definedName name="_____om1">#REF!</definedName>
    <definedName name="_____om2">#REF!</definedName>
    <definedName name="_____omd1">#REF!</definedName>
    <definedName name="_____omd2">#REF!</definedName>
    <definedName name="_____p1">#REF!</definedName>
    <definedName name="_____rb1">#REF!</definedName>
    <definedName name="_____rb2">#REF!</definedName>
    <definedName name="_____rbd1">#REF!</definedName>
    <definedName name="_____rbd2">#REF!</definedName>
    <definedName name="_____RMC2">#REF!</definedName>
    <definedName name="_____SF3">#REF!</definedName>
    <definedName name="_____td01">#REF!</definedName>
    <definedName name="_____td02">#REF!</definedName>
    <definedName name="_____td03">#REF!</definedName>
    <definedName name="_____td04">#REF!</definedName>
    <definedName name="_____TDG01">#REF!</definedName>
    <definedName name="_____TDG02">#REF!</definedName>
    <definedName name="_____TDG03">#REF!</definedName>
    <definedName name="_____TDG04">#REF!</definedName>
    <definedName name="____Com1">#REF!</definedName>
    <definedName name="____Com2">#REF!</definedName>
    <definedName name="____Com3">#REF!</definedName>
    <definedName name="____COM94">#REF!</definedName>
    <definedName name="____COM95">#REF!</definedName>
    <definedName name="____EXH1">#REF!</definedName>
    <definedName name="____EXH5">#REF!</definedName>
    <definedName name="____JV13">#REF!</definedName>
    <definedName name="____Key2" hidden="1">#REF!</definedName>
    <definedName name="____ms01">#REF!</definedName>
    <definedName name="____ms02">#REF!</definedName>
    <definedName name="____ms03">#REF!</definedName>
    <definedName name="____ms04">#REF!</definedName>
    <definedName name="____om1">#REF!</definedName>
    <definedName name="____om2">#REF!</definedName>
    <definedName name="____OMD1">#REF!</definedName>
    <definedName name="____omd2">#REF!</definedName>
    <definedName name="____p1">#REF!</definedName>
    <definedName name="____rb1">#REF!</definedName>
    <definedName name="____rb2">#REF!</definedName>
    <definedName name="____rbd1">#REF!</definedName>
    <definedName name="____rbd2">#REF!</definedName>
    <definedName name="____RMC2">#REF!</definedName>
    <definedName name="____SF3">#REF!</definedName>
    <definedName name="____td01">#REF!</definedName>
    <definedName name="____td02">#REF!</definedName>
    <definedName name="____td03">#REF!</definedName>
    <definedName name="____td04">#REF!</definedName>
    <definedName name="____TDG01">#REF!</definedName>
    <definedName name="____TDG02">#REF!</definedName>
    <definedName name="____TDG03">#REF!</definedName>
    <definedName name="____TDG04">#REF!</definedName>
    <definedName name="___Com1">#REF!</definedName>
    <definedName name="___Com2">#REF!</definedName>
    <definedName name="___Com3">#REF!</definedName>
    <definedName name="___COM94">#REF!</definedName>
    <definedName name="___COM95">#REF!</definedName>
    <definedName name="___EXH1">#REF!</definedName>
    <definedName name="___EXH5">#REF!</definedName>
    <definedName name="___JV13">#REF!</definedName>
    <definedName name="___Key2" hidden="1">#REF!</definedName>
    <definedName name="___ms01">#REF!</definedName>
    <definedName name="___ms02">#REF!</definedName>
    <definedName name="___ms03">#REF!</definedName>
    <definedName name="___ms04">#REF!</definedName>
    <definedName name="___om1">#REF!</definedName>
    <definedName name="___om2">#REF!</definedName>
    <definedName name="___omd1">#REF!</definedName>
    <definedName name="___omd2">#REF!</definedName>
    <definedName name="___p1">#REF!</definedName>
    <definedName name="___rb1">#REF!</definedName>
    <definedName name="___rb2">#REF!</definedName>
    <definedName name="___rbd1">#REF!</definedName>
    <definedName name="___rbd2">#REF!</definedName>
    <definedName name="___RMC2">#REF!</definedName>
    <definedName name="___SF3">#REF!</definedName>
    <definedName name="___td01">#REF!</definedName>
    <definedName name="___td02">#REF!</definedName>
    <definedName name="___td03">#REF!</definedName>
    <definedName name="___td04">#REF!</definedName>
    <definedName name="___TDG01">#REF!</definedName>
    <definedName name="___TDG02">#REF!</definedName>
    <definedName name="___TDG03">#REF!</definedName>
    <definedName name="___TDG04">#REF!</definedName>
    <definedName name="__Com1">#REF!</definedName>
    <definedName name="__Com2">#REF!</definedName>
    <definedName name="__Com3">#REF!</definedName>
    <definedName name="__COM94">#REF!</definedName>
    <definedName name="__COM95">#REF!</definedName>
    <definedName name="__EXH1">#REF!</definedName>
    <definedName name="__EXH5">#REF!</definedName>
    <definedName name="__JV13">#REF!</definedName>
    <definedName name="__key1" hidden="1">#REF!</definedName>
    <definedName name="__Key2" hidden="1">#REF!</definedName>
    <definedName name="__ms01">#REF!</definedName>
    <definedName name="__ms02">#REF!</definedName>
    <definedName name="__ms03">#REF!</definedName>
    <definedName name="__ms04">#REF!</definedName>
    <definedName name="__om1">#REF!</definedName>
    <definedName name="__om2">#REF!</definedName>
    <definedName name="__omd1">#REF!</definedName>
    <definedName name="__omd2">#REF!</definedName>
    <definedName name="__p1">#REF!</definedName>
    <definedName name="__rb1">#REF!</definedName>
    <definedName name="__rb2">#REF!</definedName>
    <definedName name="__rbd1">#REF!</definedName>
    <definedName name="__rbd2">#REF!</definedName>
    <definedName name="__RMC2">#REF!</definedName>
    <definedName name="__SF3">#REF!</definedName>
    <definedName name="__td01">#REF!</definedName>
    <definedName name="__td02">#REF!</definedName>
    <definedName name="__td03">#REF!</definedName>
    <definedName name="__td04">#REF!</definedName>
    <definedName name="__TDG01">#REF!</definedName>
    <definedName name="__TDG02">#REF!</definedName>
    <definedName name="__TDG03">#REF!</definedName>
    <definedName name="__TDG04">#REF!</definedName>
    <definedName name="_1__123Graph_ACONTRACT_BY_B_U" hidden="1">#REF!</definedName>
    <definedName name="_10__123Graph_BQRE_S_BY_TYPE" hidden="1">#REF!</definedName>
    <definedName name="_11__123Graph_BSENS_COMPARISON" hidden="1">#REF!</definedName>
    <definedName name="_12__123Graph_BSUPPLIES_BY_B_U" hidden="1">#REF!</definedName>
    <definedName name="_13__123Graph_BTAX_CREDIT" hidden="1">#REF!</definedName>
    <definedName name="_14__123Graph_BWAGES_BY_B_U" hidden="1">#REF!</definedName>
    <definedName name="_15__123Graph_CCONTRACT_BY_B_U" hidden="1">#REF!</definedName>
    <definedName name="_16__123Graph_CQRE_S_BY_CO." hidden="1">#REF!</definedName>
    <definedName name="_17__123Graph_CQRE_S_BY_TYPE" hidden="1">#REF!</definedName>
    <definedName name="_18__123Graph_CSENS_COMPARISON" hidden="1">#REF!</definedName>
    <definedName name="_19__123Graph_CSUPPLIES_BY_B_U" hidden="1">#REF!</definedName>
    <definedName name="_2__123Graph_AQRE_S_BY_CO." hidden="1">#REF!</definedName>
    <definedName name="_20__123Graph_CWAGES_BY_B_U" hidden="1">#REF!</definedName>
    <definedName name="_20_MWS">#REF!</definedName>
    <definedName name="_21__123Graph_DCONTRACT_BY_B_U" hidden="1">#REF!</definedName>
    <definedName name="_21_MWS">#REF!</definedName>
    <definedName name="_22__123Graph_DQRE_S_BY_CO." hidden="1">#REF!</definedName>
    <definedName name="_23__123Graph_DSUPPLIES_BY_B_U" hidden="1">#REF!</definedName>
    <definedName name="_23_MWS">#REF!</definedName>
    <definedName name="_24__123Graph_DWAGES_BY_B_U" hidden="1">#REF!</definedName>
    <definedName name="_24_MWS">#REF!</definedName>
    <definedName name="_25__123Graph_ECONTRACT_BY_B_U" hidden="1">#REF!</definedName>
    <definedName name="_26__123Graph_EQRE_S_BY_CO." hidden="1">#REF!</definedName>
    <definedName name="_27__123Graph_ESUPPLIES_BY_B_U" hidden="1">#REF!</definedName>
    <definedName name="_28__123Graph_EWAGES_BY_B_U" hidden="1">#REF!</definedName>
    <definedName name="_29__123Graph_FCONTRACT_BY_B_U" hidden="1">#REF!</definedName>
    <definedName name="_3__123Graph_AQRE_S_BY_TYPE" hidden="1">#REF!</definedName>
    <definedName name="_30__123Graph_FQRE_S_BY_CO." hidden="1">#REF!</definedName>
    <definedName name="_31__123Graph_FSUPPLIES_BY_B_U" hidden="1">#REF!</definedName>
    <definedName name="_32__123Graph_FWAGES_BY_B_U" hidden="1">#REF!</definedName>
    <definedName name="_33__123Graph_XCONTRACT_BY_B_U" hidden="1">#REF!</definedName>
    <definedName name="_34__123Graph_XQRE_S_BY_CO." hidden="1">#REF!</definedName>
    <definedName name="_35__123Graph_XQRE_S_BY_TYPE" hidden="1">#REF!</definedName>
    <definedName name="_35_MWS">#REF!</definedName>
    <definedName name="_36__123Graph_XSUPPLIES_BY_B_U" hidden="1">#REF!</definedName>
    <definedName name="_37__123Graph_XTAX_CREDIT" hidden="1">#REF!</definedName>
    <definedName name="_38_0_0_K" hidden="1">#REF!</definedName>
    <definedName name="_39_0_0_K" hidden="1">#REF!</definedName>
    <definedName name="_3YR_SUMMARY">#REF!</definedName>
    <definedName name="_4__123Graph_ASENS_COMPARISON" hidden="1">#REF!</definedName>
    <definedName name="_40_0_0_S" hidden="1">#REF!</definedName>
    <definedName name="_40_MWS">#REF!</definedName>
    <definedName name="_41_0_0_S" hidden="1">#REF!</definedName>
    <definedName name="_45_MWS">#REF!</definedName>
    <definedName name="_5__123Graph_ASUPPLIES_BY_B_U" hidden="1">#REF!</definedName>
    <definedName name="_50_MWS">#REF!</definedName>
    <definedName name="_55_MWS">#REF!</definedName>
    <definedName name="_6__123Graph_ATAX_CREDIT" hidden="1">#REF!</definedName>
    <definedName name="_7__123Graph_AWAGES_BY_B_U" hidden="1">#REF!</definedName>
    <definedName name="_8__123Graph_BCONTRACT_BY_B_U" hidden="1">#REF!</definedName>
    <definedName name="_84_PHASE1">#REF!</definedName>
    <definedName name="_85_PHASE1">#REF!</definedName>
    <definedName name="_86_PHASE1">#REF!</definedName>
    <definedName name="_87_PHASE1">#REF!</definedName>
    <definedName name="_88_PHASE1">#REF!</definedName>
    <definedName name="_89_PHASE1">#REF!</definedName>
    <definedName name="_9__123Graph_BQRE_S_BY_CO." hidden="1">#REF!</definedName>
    <definedName name="_90_PHASE1">#REF!</definedName>
    <definedName name="_91_PHASE1">#REF!</definedName>
    <definedName name="_92_PHASE1">#REF!</definedName>
    <definedName name="_93_PHASE1">#REF!</definedName>
    <definedName name="_94_PHASE1">#REF!</definedName>
    <definedName name="_95_PHASE1">#REF!</definedName>
    <definedName name="_96_PHASE1">#REF!</definedName>
    <definedName name="_97_PHASE1">#REF!</definedName>
    <definedName name="_98_PHASE1">#REF!</definedName>
    <definedName name="_AAL1">#REF!</definedName>
    <definedName name="_agr8690">#REF!</definedName>
    <definedName name="_agr8790">#REF!</definedName>
    <definedName name="_agr8791">#REF!</definedName>
    <definedName name="_agr8890">#REF!</definedName>
    <definedName name="_agr8891">#REF!</definedName>
    <definedName name="_agr8892">#REF!</definedName>
    <definedName name="_agr8990">#REF!</definedName>
    <definedName name="_agr8991">#REF!</definedName>
    <definedName name="_agr8992">#REF!</definedName>
    <definedName name="_agr8993">#REF!</definedName>
    <definedName name="_agr9091">#REF!</definedName>
    <definedName name="_agr9092">#REF!</definedName>
    <definedName name="_agr9093">#REF!</definedName>
    <definedName name="_agr9094">#REF!</definedName>
    <definedName name="_agr9192">#REF!</definedName>
    <definedName name="_agr9193">#REF!</definedName>
    <definedName name="_agr9194">#REF!</definedName>
    <definedName name="_agr9195">#REF!</definedName>
    <definedName name="_agr9293">#REF!</definedName>
    <definedName name="_agr9294">#REF!</definedName>
    <definedName name="_agr9295">#REF!</definedName>
    <definedName name="_agr9296">#REF!</definedName>
    <definedName name="_agr9394">#REF!</definedName>
    <definedName name="_agr9395">#REF!</definedName>
    <definedName name="_agr9396">#REF!</definedName>
    <definedName name="_agr9397">#REF!</definedName>
    <definedName name="_agr9495">#REF!</definedName>
    <definedName name="_agr9496">#REF!</definedName>
    <definedName name="_agr9497">#REF!</definedName>
    <definedName name="_agr9498">#REF!</definedName>
    <definedName name="_agr9596">#REF!</definedName>
    <definedName name="_agr9597">#REF!</definedName>
    <definedName name="_agr9598">#REF!</definedName>
    <definedName name="_agr9697">#REF!</definedName>
    <definedName name="_agr9698">#REF!</definedName>
    <definedName name="_agr9798">#REF!</definedName>
    <definedName name="_ALT_PPONU_D__Q">#REF!</definedName>
    <definedName name="_AMO_UniqueIdentifier" hidden="1">"'bcb5811d-712a-4535-a3da-8914e2dcdab9'"</definedName>
    <definedName name="_Com1">#REF!</definedName>
    <definedName name="_Com2">#REF!</definedName>
    <definedName name="_Com3">#REF!</definedName>
    <definedName name="_COM94">#REF!</definedName>
    <definedName name="_COM95">#REF!</definedName>
    <definedName name="_EXH1">#REF!</definedName>
    <definedName name="_EXH5">#REF!</definedName>
    <definedName name="_Fill" hidden="1">#REF!</definedName>
    <definedName name="_JV13">#REF!</definedName>
    <definedName name="_Key1" hidden="1">#REF!</definedName>
    <definedName name="_Key2" hidden="1">#REF!</definedName>
    <definedName name="_key7">#REF!</definedName>
    <definedName name="_mm1">#REF!</definedName>
    <definedName name="_mm10">#REF!</definedName>
    <definedName name="_mm11">#REF!</definedName>
    <definedName name="_mm12">#REF!</definedName>
    <definedName name="_mm13">#REF!</definedName>
    <definedName name="_mm14">#REF!</definedName>
    <definedName name="_mm15">#REF!</definedName>
    <definedName name="_mm16">#REF!</definedName>
    <definedName name="_mm17">#REF!</definedName>
    <definedName name="_mm18">#REF!</definedName>
    <definedName name="_mm19">#REF!</definedName>
    <definedName name="_mm2">#REF!</definedName>
    <definedName name="_mm3">#REF!</definedName>
    <definedName name="_mm4">#REF!</definedName>
    <definedName name="_mm5">#REF!</definedName>
    <definedName name="_mm7">#REF!</definedName>
    <definedName name="_mm8">#REF!</definedName>
    <definedName name="_mm9">#REF!</definedName>
    <definedName name="_ms01">#REF!</definedName>
    <definedName name="_ms02">#REF!</definedName>
    <definedName name="_ms03">#REF!</definedName>
    <definedName name="_ms04">#REF!</definedName>
    <definedName name="_om1">#REF!</definedName>
    <definedName name="_om2">#REF!</definedName>
    <definedName name="_OMD1">#REF!</definedName>
    <definedName name="_OMD2">#REF!</definedName>
    <definedName name="_Order1" hidden="1">255</definedName>
    <definedName name="_Order2" hidden="1">255</definedName>
    <definedName name="_p1">#REF!</definedName>
    <definedName name="_pgm5">#REF!</definedName>
    <definedName name="_qre2">#REF!</definedName>
    <definedName name="_qre84">#REF!</definedName>
    <definedName name="_qre8490">#REF!</definedName>
    <definedName name="_qre8491">#REF!</definedName>
    <definedName name="_qre8492">#REF!</definedName>
    <definedName name="_qre8493">#REF!</definedName>
    <definedName name="_qre8494">#REF!</definedName>
    <definedName name="_qre8495">#REF!</definedName>
    <definedName name="_qre8496">#REF!</definedName>
    <definedName name="_qre8497">#REF!</definedName>
    <definedName name="_qre8498">#REF!</definedName>
    <definedName name="_qre85">#REF!</definedName>
    <definedName name="_qre8590">#REF!</definedName>
    <definedName name="_qre8591">#REF!</definedName>
    <definedName name="_qre8592">#REF!</definedName>
    <definedName name="_qre8593">#REF!</definedName>
    <definedName name="_qre8594">#REF!</definedName>
    <definedName name="_qre8595">#REF!</definedName>
    <definedName name="_qre8596">#REF!</definedName>
    <definedName name="_qre8597">#REF!</definedName>
    <definedName name="_qre8598">#REF!</definedName>
    <definedName name="_qre86">#REF!</definedName>
    <definedName name="_qre8690">#REF!</definedName>
    <definedName name="_qre8691">#REF!</definedName>
    <definedName name="_qre8692">#REF!</definedName>
    <definedName name="_qre8693">#REF!</definedName>
    <definedName name="_qre8694">#REF!</definedName>
    <definedName name="_qre8695">#REF!</definedName>
    <definedName name="_qre8696">#REF!</definedName>
    <definedName name="_qre8697">#REF!</definedName>
    <definedName name="_qre8698">#REF!</definedName>
    <definedName name="_qre87">#REF!</definedName>
    <definedName name="_qre8790">#REF!</definedName>
    <definedName name="_qre8791">#REF!</definedName>
    <definedName name="_qre8792">#REF!</definedName>
    <definedName name="_qre8793">#REF!</definedName>
    <definedName name="_qre8794">#REF!</definedName>
    <definedName name="_qre8795">#REF!</definedName>
    <definedName name="_qre8796">#REF!</definedName>
    <definedName name="_qre8797">#REF!</definedName>
    <definedName name="_qre8798">#REF!</definedName>
    <definedName name="_qre88">#REF!</definedName>
    <definedName name="_qre8890">#REF!</definedName>
    <definedName name="_qre8891">#REF!</definedName>
    <definedName name="_qre8892">#REF!</definedName>
    <definedName name="_qre8893">#REF!</definedName>
    <definedName name="_qre8894">#REF!</definedName>
    <definedName name="_qre8895">#REF!</definedName>
    <definedName name="_qre8896">#REF!</definedName>
    <definedName name="_qre8897">#REF!</definedName>
    <definedName name="_qre8898">#REF!</definedName>
    <definedName name="_qre89">#REF!</definedName>
    <definedName name="_qre90">#REF!</definedName>
    <definedName name="_qre91">#REF!</definedName>
    <definedName name="_qre92">#REF!</definedName>
    <definedName name="_qre93">#REF!</definedName>
    <definedName name="_qre94">#REF!</definedName>
    <definedName name="_qre95">#REF!</definedName>
    <definedName name="_qre96">#REF!</definedName>
    <definedName name="_qre97">#REF!</definedName>
    <definedName name="_qre98">#REF!</definedName>
    <definedName name="_rb1">#REF!</definedName>
    <definedName name="_rb2">#REF!</definedName>
    <definedName name="_RBD1">#REF!</definedName>
    <definedName name="_RBD2">#REF!</definedName>
    <definedName name="_reg4">#REF!</definedName>
    <definedName name="_RMC2">#REF!</definedName>
    <definedName name="_ryr56565" hidden="1">{#N/A,#N/A,FALSE,"Monthly SAIFI";#N/A,#N/A,FALSE,"Yearly SAIFI";#N/A,#N/A,FALSE,"Monthly CAIDI";#N/A,#N/A,FALSE,"Yearly CAIDI";#N/A,#N/A,FALSE,"Monthly SAIDI";#N/A,#N/A,FALSE,"Yearly SAIDI";#N/A,#N/A,FALSE,"Monthly MAIFI";#N/A,#N/A,FALSE,"Yearly MAIFI";#N/A,#N/A,FALSE,"Monthly Cust &gt;=4 Int"}</definedName>
    <definedName name="_SF3">#REF!</definedName>
    <definedName name="_Sort" hidden="1">#REF!</definedName>
    <definedName name="_td01">#REF!</definedName>
    <definedName name="_td02">#REF!</definedName>
    <definedName name="_td03">#REF!</definedName>
    <definedName name="_td04">#REF!</definedName>
    <definedName name="_TDG01">#REF!</definedName>
    <definedName name="_TDG02">#REF!</definedName>
    <definedName name="_TDG03">#REF!</definedName>
    <definedName name="_TDG04">#REF!</definedName>
    <definedName name="_tqc90">#REF!</definedName>
    <definedName name="_tqc91">#REF!</definedName>
    <definedName name="_tqc92">#REF!</definedName>
    <definedName name="_tqc93">#REF!</definedName>
    <definedName name="_tqc94">#REF!</definedName>
    <definedName name="_tqc95">#REF!</definedName>
    <definedName name="_tqc96">#REF!</definedName>
    <definedName name="_tqc97">#REF!</definedName>
    <definedName name="_tqc98">#REF!</definedName>
    <definedName name="_tql90">#REF!</definedName>
    <definedName name="_tql91">#REF!</definedName>
    <definedName name="_tql92">#REF!</definedName>
    <definedName name="_tql93">#REF!</definedName>
    <definedName name="_tql94">#REF!</definedName>
    <definedName name="_tql95">#REF!</definedName>
    <definedName name="_tql96">#REF!</definedName>
    <definedName name="_tql97">#REF!</definedName>
    <definedName name="_tql98">#REF!</definedName>
    <definedName name="_tqs90">#REF!</definedName>
    <definedName name="_tqs91">#REF!</definedName>
    <definedName name="_tqs92">#REF!</definedName>
    <definedName name="_tqs93">#REF!</definedName>
    <definedName name="_tqs94">#REF!</definedName>
    <definedName name="_tqs95">#REF!</definedName>
    <definedName name="_tqs96">#REF!</definedName>
    <definedName name="_tqs97">#REF!</definedName>
    <definedName name="_tqs98">#REF!</definedName>
    <definedName name="_WORLDOX">#REF!</definedName>
    <definedName name="a" hidden="1">{#N/A,#N/A,FALSE,"Monthly SAIFI";#N/A,#N/A,FALSE,"Yearly SAIFI";#N/A,#N/A,FALSE,"Monthly CAIDI";#N/A,#N/A,FALSE,"Yearly CAIDI";#N/A,#N/A,FALSE,"Monthly SAIDI";#N/A,#N/A,FALSE,"Yearly SAIDI";#N/A,#N/A,FALSE,"Monthly MAIFI";#N/A,#N/A,FALSE,"Yearly MAIFI";#N/A,#N/A,FALSE,"Monthly Cust &gt;=4 Int"}</definedName>
    <definedName name="aa">#REF!</definedName>
    <definedName name="AAL">#REF!</definedName>
    <definedName name="AALDR">#REF!</definedName>
    <definedName name="AALSAP">#REF!</definedName>
    <definedName name="aashitii">#REF!</definedName>
    <definedName name="ac" hidden="1">{#N/A,#N/A,FALSE,"Monthly SAIFI";#N/A,#N/A,FALSE,"Yearly SAIFI";#N/A,#N/A,FALSE,"Monthly CAIDI";#N/A,#N/A,FALSE,"Yearly CAIDI";#N/A,#N/A,FALSE,"Monthly SAIDI";#N/A,#N/A,FALSE,"Yearly SAIDI";#N/A,#N/A,FALSE,"Monthly MAIFI";#N/A,#N/A,FALSE,"Yearly MAIFI";#N/A,#N/A,FALSE,"Monthly Cust &gt;=4 Int"}</definedName>
    <definedName name="Account_name">#REF!</definedName>
    <definedName name="Account_Number">#REF!</definedName>
    <definedName name="Accounts">#REF!</definedName>
    <definedName name="ACCTG_SERV">#REF!</definedName>
    <definedName name="ACTUAL_YTD">#REF!</definedName>
    <definedName name="acx" hidden="1">{#N/A,#N/A,FALSE,"Monthly SAIFI";#N/A,#N/A,FALSE,"Yearly SAIFI";#N/A,#N/A,FALSE,"Monthly CAIDI";#N/A,#N/A,FALSE,"Yearly CAIDI";#N/A,#N/A,FALSE,"Monthly SAIDI";#N/A,#N/A,FALSE,"Yearly SAIDI";#N/A,#N/A,FALSE,"Monthly MAIFI";#N/A,#N/A,FALSE,"Yearly MAIFI";#N/A,#N/A,FALSE,"Monthly Cust &gt;=4 Int"}</definedName>
    <definedName name="Address">#REF!</definedName>
    <definedName name="adfsadfds" hidden="1">{#N/A,#N/A,FALSE,"Monthly SAIFI";#N/A,#N/A,FALSE,"Yearly SAIFI";#N/A,#N/A,FALSE,"Monthly CAIDI";#N/A,#N/A,FALSE,"Yearly CAIDI";#N/A,#N/A,FALSE,"Monthly SAIDI";#N/A,#N/A,FALSE,"Yearly SAIDI";#N/A,#N/A,FALSE,"Monthly MAIFI";#N/A,#N/A,FALSE,"Yearly MAIFI";#N/A,#N/A,FALSE,"Monthly Cust &gt;=4 Int"}</definedName>
    <definedName name="af">#REF!</definedName>
    <definedName name="afds">#REF!</definedName>
    <definedName name="afdsE">#REF!</definedName>
    <definedName name="afE">#REF!</definedName>
    <definedName name="AIP" hidden="1">{#N/A,#N/A,FALSE,"Monthly SAIFI";#N/A,#N/A,FALSE,"Yearly SAIFI";#N/A,#N/A,FALSE,"Monthly CAIDI";#N/A,#N/A,FALSE,"Yearly CAIDI";#N/A,#N/A,FALSE,"Monthly SAIDI";#N/A,#N/A,FALSE,"Yearly SAIDI";#N/A,#N/A,FALSE,"Monthly MAIFI";#N/A,#N/A,FALSE,"Yearly MAIFI";#N/A,#N/A,FALSE,"Monthly Cust &gt;=4 Int"}</definedName>
    <definedName name="aircgrtm1">#REF!</definedName>
    <definedName name="aircgrtm2">#REF!</definedName>
    <definedName name="aircgrtm3">#REF!</definedName>
    <definedName name="aircgrtm4">#REF!</definedName>
    <definedName name="aircqre">#REF!</definedName>
    <definedName name="aircqrelabel">#REF!</definedName>
    <definedName name="airctitle">#REF!</definedName>
    <definedName name="airctm1">#REF!</definedName>
    <definedName name="airctm2">#REF!</definedName>
    <definedName name="airctm3">#REF!</definedName>
    <definedName name="airctm4">#REF!</definedName>
    <definedName name="ALERT1">#REF!</definedName>
    <definedName name="ALERT2">#REF!</definedName>
    <definedName name="ALERT3">#REF!</definedName>
    <definedName name="all">#REF!</definedName>
    <definedName name="ALL_ACCRUALS">#REF!</definedName>
    <definedName name="ALL_PAYMENTS">#REF!</definedName>
    <definedName name="ALL_QRES">#REF!</definedName>
    <definedName name="ALL_QRES0.75">#REF!</definedName>
    <definedName name="ALL_QRES0.80">#REF!</definedName>
    <definedName name="ALL_QRES0.85">#REF!</definedName>
    <definedName name="ALL_QRES0.90">#REF!</definedName>
    <definedName name="ALL_QRES0.95">#REF!</definedName>
    <definedName name="ALL_QRES1.00">#REF!</definedName>
    <definedName name="ALL_QRES1.05">#REF!</definedName>
    <definedName name="ALL_QRES1.10">#REF!</definedName>
    <definedName name="ALL_QRES1.15">#REF!</definedName>
    <definedName name="ALL_QRES1.20">#REF!</definedName>
    <definedName name="ALL_QRES1.25">#REF!</definedName>
    <definedName name="ALL_SENS_FACT">#REF!</definedName>
    <definedName name="Allocation">#REF!</definedName>
    <definedName name="AllocationE">#REF!</definedName>
    <definedName name="Allocators">#REF!</definedName>
    <definedName name="ALLYRS_MESSAGE">#REF!</definedName>
    <definedName name="alsdfa" hidden="1">{#N/A,#N/A,FALSE,"Monthly SAIFI";#N/A,#N/A,FALSE,"Yearly SAIFI";#N/A,#N/A,FALSE,"Monthly CAIDI";#N/A,#N/A,FALSE,"Yearly CAIDI";#N/A,#N/A,FALSE,"Monthly SAIDI";#N/A,#N/A,FALSE,"Yearly SAIDI";#N/A,#N/A,FALSE,"Monthly MAIFI";#N/A,#N/A,FALSE,"Yearly MAIFI";#N/A,#N/A,FALSE,"Monthly Cust &gt;=4 Int"}</definedName>
    <definedName name="AmerenCIPS">#REF!</definedName>
    <definedName name="AmerenCIPSE">#REF!</definedName>
    <definedName name="Amounts">#REF!</definedName>
    <definedName name="anish">#REF!</definedName>
    <definedName name="anish21212">#REF!</definedName>
    <definedName name="anisha2157">#REF!</definedName>
    <definedName name="anisha216">#REF!</definedName>
    <definedName name="anishhh">#REF!</definedName>
    <definedName name="anishilov">#REF!</definedName>
    <definedName name="ANT">#REF!</definedName>
    <definedName name="APA">#REF!</definedName>
    <definedName name="ApprvDate">#REF!</definedName>
    <definedName name="ApprvEmplNbr">#REF!</definedName>
    <definedName name="Apr">#REF!</definedName>
    <definedName name="APV">#REF!</definedName>
    <definedName name="Area">#REF!</definedName>
    <definedName name="as">#REF!</definedName>
    <definedName name="AS2DocOpenMode" hidden="1">"AS2DocumentEdit"</definedName>
    <definedName name="asasasas">#REF!</definedName>
    <definedName name="ASD">#REF!</definedName>
    <definedName name="asdada">#REF!</definedName>
    <definedName name="asdasd">#REF!</definedName>
    <definedName name="asdasda">#REF!</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dfasfasf">#REF!</definedName>
    <definedName name="asdfsd">#REF!</definedName>
    <definedName name="asdfsdf">#REF!</definedName>
    <definedName name="asdfsdfsadfs">#REF!</definedName>
    <definedName name="asfas">#REF!</definedName>
    <definedName name="asfasdfasfasfsadf">#REF!</definedName>
    <definedName name="asfsdfsdfsdfsfwer">#REF!</definedName>
    <definedName name="asfsdfsfs">#REF!</definedName>
    <definedName name="asfsft">#REF!</definedName>
    <definedName name="asgdfsjgfdk1">#REF!</definedName>
    <definedName name="ashaita" hidden="1">{#N/A,#N/A,FALSE,"Monthly SAIFI";#N/A,#N/A,FALSE,"Yearly SAIFI";#N/A,#N/A,FALSE,"Monthly CAIDI";#N/A,#N/A,FALSE,"Yearly CAIDI";#N/A,#N/A,FALSE,"Monthly SAIDI";#N/A,#N/A,FALSE,"Yearly SAIDI";#N/A,#N/A,FALSE,"Monthly MAIFI";#N/A,#N/A,FALSE,"Yearly MAIFI";#N/A,#N/A,FALSE,"Monthly Cust &gt;=4 Int"}</definedName>
    <definedName name="ashhhjjjjjj">#REF!</definedName>
    <definedName name="ashi21">#REF!</definedName>
    <definedName name="ashia">#REF!</definedName>
    <definedName name="ashita">#REF!</definedName>
    <definedName name="ashita216">#REF!</definedName>
    <definedName name="ASO_SUMMARY">#REF!</definedName>
    <definedName name="AsOfDt">#REF!</definedName>
    <definedName name="ASPGE">#REF!</definedName>
    <definedName name="ASPINTAN">#REF!</definedName>
    <definedName name="asrada">#REF!</definedName>
    <definedName name="assd" hidden="1">{#N/A,#N/A,FALSE,"Monthly SAIFI";#N/A,#N/A,FALSE,"Yearly SAIFI";#N/A,#N/A,FALSE,"Monthly CAIDI";#N/A,#N/A,FALSE,"Yearly CAIDI";#N/A,#N/A,FALSE,"Monthly SAIDI";#N/A,#N/A,FALSE,"Yearly SAIDI";#N/A,#N/A,FALSE,"Monthly MAIFI";#N/A,#N/A,FALSE,"Yearly MAIFI";#N/A,#N/A,FALSE,"Monthly Cust &gt;=4 Int"}</definedName>
    <definedName name="Asset_Management">#REF!</definedName>
    <definedName name="Asset_Management_">#REF!</definedName>
    <definedName name="AuditDescr">#REF!</definedName>
    <definedName name="Aug">#REF!</definedName>
    <definedName name="b" hidden="1">{#N/A,#N/A,FALSE,"Monthly SAIFI";#N/A,#N/A,FALSE,"Yearly SAIFI";#N/A,#N/A,FALSE,"Monthly CAIDI";#N/A,#N/A,FALSE,"Yearly CAIDI";#N/A,#N/A,FALSE,"Monthly SAIDI";#N/A,#N/A,FALSE,"Yearly SAIDI";#N/A,#N/A,FALSE,"Monthly MAIFI";#N/A,#N/A,FALSE,"Yearly MAIFI";#N/A,#N/A,FALSE,"Monthly Cust &gt;=4 Int"}</definedName>
    <definedName name="b_u_10">#REF!</definedName>
    <definedName name="b_u_11">#REF!</definedName>
    <definedName name="b_u_12">#REF!</definedName>
    <definedName name="b_u_13">#REF!</definedName>
    <definedName name="b_u_14">#REF!</definedName>
    <definedName name="b_u_15">#REF!</definedName>
    <definedName name="b_u_16">#REF!</definedName>
    <definedName name="b_u_17">#REF!</definedName>
    <definedName name="b_u_18">#REF!</definedName>
    <definedName name="b_u_19">#REF!</definedName>
    <definedName name="b_u_2">#REF!</definedName>
    <definedName name="b_u_20">#REF!</definedName>
    <definedName name="b_u_21">#REF!</definedName>
    <definedName name="b_u_22">#REF!</definedName>
    <definedName name="b_u_23">#REF!</definedName>
    <definedName name="b_u_3">#REF!</definedName>
    <definedName name="b_u_4">#REF!</definedName>
    <definedName name="b_u_5">#REF!</definedName>
    <definedName name="b_u_6">#REF!</definedName>
    <definedName name="b_u_7">#REF!</definedName>
    <definedName name="b_u_8">#REF!</definedName>
    <definedName name="b_u_9">#REF!</definedName>
    <definedName name="Balance_Sheet_Date">#REF!</definedName>
    <definedName name="Balance_Sheet_Heading">#REF!</definedName>
    <definedName name="BalSht">#REF!</definedName>
    <definedName name="BalShtE">#REF!</definedName>
    <definedName name="bankidrange">#REF!</definedName>
    <definedName name="BASE_DETAIL_QRE">#REF!</definedName>
    <definedName name="BASE_MESSAGE">#REF!</definedName>
    <definedName name="BASE_QRES">#REF!</definedName>
    <definedName name="BASE_QRES0.75">#REF!</definedName>
    <definedName name="BASE_QRES0.80">#REF!</definedName>
    <definedName name="BASE_QRES0.85">#REF!</definedName>
    <definedName name="BASE_QRES0.90">#REF!</definedName>
    <definedName name="BASE_QRES0.95">#REF!</definedName>
    <definedName name="BASE_QRES1.00">#REF!</definedName>
    <definedName name="BASE_QRES1.05">#REF!</definedName>
    <definedName name="BASE_QRES1.10">#REF!</definedName>
    <definedName name="BASE_QRES1.15">#REF!</definedName>
    <definedName name="BASE_QRES1.20">#REF!</definedName>
    <definedName name="BASE_QRES1.25">#REF!</definedName>
    <definedName name="BASE_SENS_FACT">#REF!</definedName>
    <definedName name="Baseline">#REF!</definedName>
    <definedName name="bcbcvb">#REF!</definedName>
    <definedName name="beny" hidden="1">{#N/A,#N/A,FALSE,"Monthly SAIFI";#N/A,#N/A,FALSE,"Yearly SAIFI";#N/A,#N/A,FALSE,"Monthly CAIDI";#N/A,#N/A,FALSE,"Yearly CAIDI";#N/A,#N/A,FALSE,"Monthly SAIDI";#N/A,#N/A,FALSE,"Yearly SAIDI";#N/A,#N/A,FALSE,"Monthly MAIFI";#N/A,#N/A,FALSE,"Yearly MAIFI";#N/A,#N/A,FALSE,"Monthly Cust &gt;=4 Int"}</definedName>
    <definedName name="Bi10LTIP_Table">#REF!</definedName>
    <definedName name="booka_g">#REF!</definedName>
    <definedName name="bpgr84">#REF!</definedName>
    <definedName name="bpgr85">#REF!</definedName>
    <definedName name="bpgr86">#REF!</definedName>
    <definedName name="bpgr87">#REF!</definedName>
    <definedName name="bpgr88">#REF!</definedName>
    <definedName name="bpqre84">#REF!</definedName>
    <definedName name="bpqre85">#REF!</definedName>
    <definedName name="bpqre86">#REF!</definedName>
    <definedName name="bpqre87">#REF!</definedName>
    <definedName name="bpqre88">#REF!</definedName>
    <definedName name="Brett041">#REF!</definedName>
    <definedName name="Brett0415">#REF!</definedName>
    <definedName name="Brett0416">#REF!</definedName>
    <definedName name="Brett042">#REF!</definedName>
    <definedName name="brett0420">#REF!</definedName>
    <definedName name="brett0421">#REF!</definedName>
    <definedName name="Brett0422">#REF!</definedName>
    <definedName name="Brett0423">#REF!</definedName>
    <definedName name="Brett0601">#REF!</definedName>
    <definedName name="Brett0602">#REF!</definedName>
    <definedName name="Brett403">#REF!</definedName>
    <definedName name="Brett404">#REF!</definedName>
    <definedName name="Brett406">#REF!</definedName>
    <definedName name="Brett407">#REF!</definedName>
    <definedName name="Brett408">#REF!</definedName>
    <definedName name="Brett409">#REF!</definedName>
    <definedName name="Brett410">#REF!</definedName>
    <definedName name="Brett411">#REF!</definedName>
    <definedName name="Brett418">#REF!</definedName>
    <definedName name="Brett419">#REF!</definedName>
    <definedName name="BSYEAREND">#REF!</definedName>
    <definedName name="bu10total84">#REF!</definedName>
    <definedName name="bu10total84a">#REF!</definedName>
    <definedName name="bu10total85">#REF!</definedName>
    <definedName name="bu10total85a">#REF!</definedName>
    <definedName name="bu10total86">#REF!</definedName>
    <definedName name="bu10total86a">#REF!</definedName>
    <definedName name="bu10total87">#REF!</definedName>
    <definedName name="bu10total87a">#REF!</definedName>
    <definedName name="bu10total88">#REF!</definedName>
    <definedName name="bu10total88a">#REF!</definedName>
    <definedName name="bu10total89">#REF!</definedName>
    <definedName name="bu10total89a">#REF!</definedName>
    <definedName name="bu10total90">#REF!</definedName>
    <definedName name="bu10total90a">#REF!</definedName>
    <definedName name="bu10total91">#REF!</definedName>
    <definedName name="bu10total91a">#REF!</definedName>
    <definedName name="bu10total92">#REF!</definedName>
    <definedName name="bu10total92a">#REF!</definedName>
    <definedName name="bu10total93">#REF!</definedName>
    <definedName name="bu10total93a">#REF!</definedName>
    <definedName name="bu10total94">#REF!</definedName>
    <definedName name="bu10total94a">#REF!</definedName>
    <definedName name="bu10total95">#REF!</definedName>
    <definedName name="bu10total95a">#REF!</definedName>
    <definedName name="bu10total96">#REF!</definedName>
    <definedName name="bu10total96a">#REF!</definedName>
    <definedName name="bu10total97">#REF!</definedName>
    <definedName name="bu10total97a">#REF!</definedName>
    <definedName name="bu10total98">#REF!</definedName>
    <definedName name="bu10total98a">#REF!</definedName>
    <definedName name="bu11total84">#REF!</definedName>
    <definedName name="bu11total84a">#REF!</definedName>
    <definedName name="bu11total85">#REF!</definedName>
    <definedName name="bu11total85a">#REF!</definedName>
    <definedName name="bu11total86">#REF!</definedName>
    <definedName name="bu11total86a">#REF!</definedName>
    <definedName name="bu11total87">#REF!</definedName>
    <definedName name="bu11total87a">#REF!</definedName>
    <definedName name="bu11total88">#REF!</definedName>
    <definedName name="bu11total88a">#REF!</definedName>
    <definedName name="bu11total89">#REF!</definedName>
    <definedName name="bu11total89a">#REF!</definedName>
    <definedName name="bu11total90">#REF!</definedName>
    <definedName name="bu11total90a">#REF!</definedName>
    <definedName name="bu11total91">#REF!</definedName>
    <definedName name="bu11total91a">#REF!</definedName>
    <definedName name="bu11total92">#REF!</definedName>
    <definedName name="bu11total92a">#REF!</definedName>
    <definedName name="bu11total93">#REF!</definedName>
    <definedName name="bu11total93a">#REF!</definedName>
    <definedName name="bu11total94">#REF!</definedName>
    <definedName name="bu11total94a">#REF!</definedName>
    <definedName name="bu11total95">#REF!</definedName>
    <definedName name="bu11total95a">#REF!</definedName>
    <definedName name="bu11total96">#REF!</definedName>
    <definedName name="bu11total96a">#REF!</definedName>
    <definedName name="bu11total97">#REF!</definedName>
    <definedName name="bu11total97a">#REF!</definedName>
    <definedName name="bu11total98">#REF!</definedName>
    <definedName name="bu11total98a">#REF!</definedName>
    <definedName name="bu12total84">#REF!</definedName>
    <definedName name="bu12total84a">#REF!</definedName>
    <definedName name="bu12total85">#REF!</definedName>
    <definedName name="bu12total85a">#REF!</definedName>
    <definedName name="bu12total86">#REF!</definedName>
    <definedName name="bu12total86a">#REF!</definedName>
    <definedName name="bu12total87">#REF!</definedName>
    <definedName name="bu12total87a">#REF!</definedName>
    <definedName name="bu12total88">#REF!</definedName>
    <definedName name="bu12total88a">#REF!</definedName>
    <definedName name="bu12total89">#REF!</definedName>
    <definedName name="bu12total89a">#REF!</definedName>
    <definedName name="bu12total90">#REF!</definedName>
    <definedName name="bu12total90a">#REF!</definedName>
    <definedName name="bu12total91">#REF!</definedName>
    <definedName name="bu12total91a">#REF!</definedName>
    <definedName name="bu12total92">#REF!</definedName>
    <definedName name="bu12total92a">#REF!</definedName>
    <definedName name="bu12total93">#REF!</definedName>
    <definedName name="bu12total93a">#REF!</definedName>
    <definedName name="bu12total94">#REF!</definedName>
    <definedName name="bu12total94a">#REF!</definedName>
    <definedName name="bu12total95">#REF!</definedName>
    <definedName name="bu12total95a">#REF!</definedName>
    <definedName name="bu12total96">#REF!</definedName>
    <definedName name="bu12total96a">#REF!</definedName>
    <definedName name="bu12total97">#REF!</definedName>
    <definedName name="bu12total97a">#REF!</definedName>
    <definedName name="bu12total98">#REF!</definedName>
    <definedName name="bu12total98a">#REF!</definedName>
    <definedName name="bu13total84">#REF!</definedName>
    <definedName name="bu13total84a">#REF!</definedName>
    <definedName name="bu13total85">#REF!</definedName>
    <definedName name="bu13total85a">#REF!</definedName>
    <definedName name="bu13total86">#REF!</definedName>
    <definedName name="bu13total86a">#REF!</definedName>
    <definedName name="bu13total87">#REF!</definedName>
    <definedName name="bu13total87a">#REF!</definedName>
    <definedName name="bu13total88">#REF!</definedName>
    <definedName name="bu13total88a">#REF!</definedName>
    <definedName name="bu13total89">#REF!</definedName>
    <definedName name="bu13total89a">#REF!</definedName>
    <definedName name="bu13total90">#REF!</definedName>
    <definedName name="bu13total90a">#REF!</definedName>
    <definedName name="bu13total91">#REF!</definedName>
    <definedName name="bu13total91a">#REF!</definedName>
    <definedName name="bu13total92">#REF!</definedName>
    <definedName name="bu13total92a">#REF!</definedName>
    <definedName name="bu13total93">#REF!</definedName>
    <definedName name="bu13total93a">#REF!</definedName>
    <definedName name="bu13total94">#REF!</definedName>
    <definedName name="bu13total94a">#REF!</definedName>
    <definedName name="bu13total95">#REF!</definedName>
    <definedName name="bu13total95a">#REF!</definedName>
    <definedName name="bu13total96">#REF!</definedName>
    <definedName name="bu13total96a">#REF!</definedName>
    <definedName name="bu13total97">#REF!</definedName>
    <definedName name="bu13total97a">#REF!</definedName>
    <definedName name="bu13total98">#REF!</definedName>
    <definedName name="bu13total98a">#REF!</definedName>
    <definedName name="bu14total84">#REF!</definedName>
    <definedName name="bu14total84a">#REF!</definedName>
    <definedName name="bu14total85">#REF!</definedName>
    <definedName name="bu14total85a">#REF!</definedName>
    <definedName name="bu14total86">#REF!</definedName>
    <definedName name="bu14total86a">#REF!</definedName>
    <definedName name="bu14total87">#REF!</definedName>
    <definedName name="bu14total87a">#REF!</definedName>
    <definedName name="bu14total88">#REF!</definedName>
    <definedName name="bu14total88a">#REF!</definedName>
    <definedName name="bu14total89">#REF!</definedName>
    <definedName name="bu14total89a">#REF!</definedName>
    <definedName name="bu14total90">#REF!</definedName>
    <definedName name="bu14total90a">#REF!</definedName>
    <definedName name="bu14total91">#REF!</definedName>
    <definedName name="bu14total91a">#REF!</definedName>
    <definedName name="bu14total92">#REF!</definedName>
    <definedName name="bu14total92a">#REF!</definedName>
    <definedName name="bu14total93">#REF!</definedName>
    <definedName name="bu14total93a">#REF!</definedName>
    <definedName name="bu14total94">#REF!</definedName>
    <definedName name="bu14total94a">#REF!</definedName>
    <definedName name="bu14total95">#REF!</definedName>
    <definedName name="bu14total95a">#REF!</definedName>
    <definedName name="bu14total96">#REF!</definedName>
    <definedName name="bu14total96a">#REF!</definedName>
    <definedName name="bu14total97">#REF!</definedName>
    <definedName name="bu14total97a">#REF!</definedName>
    <definedName name="bu14total98">#REF!</definedName>
    <definedName name="bu14total98a">#REF!</definedName>
    <definedName name="bu15total84">#REF!</definedName>
    <definedName name="bu15total84a">#REF!</definedName>
    <definedName name="bu15total85">#REF!</definedName>
    <definedName name="bu15total85a">#REF!</definedName>
    <definedName name="bu15total86">#REF!</definedName>
    <definedName name="bu15total86a">#REF!</definedName>
    <definedName name="bu15total87">#REF!</definedName>
    <definedName name="bu15total87a">#REF!</definedName>
    <definedName name="bu15total88">#REF!</definedName>
    <definedName name="bu15total88a">#REF!</definedName>
    <definedName name="bu15total89">#REF!</definedName>
    <definedName name="bu15total89a">#REF!</definedName>
    <definedName name="bu15total90">#REF!</definedName>
    <definedName name="bu15total90a">#REF!</definedName>
    <definedName name="bu15total91">#REF!</definedName>
    <definedName name="bu15total91a">#REF!</definedName>
    <definedName name="bu15total92">#REF!</definedName>
    <definedName name="bu15total92a">#REF!</definedName>
    <definedName name="bu15total93">#REF!</definedName>
    <definedName name="bu15total93a">#REF!</definedName>
    <definedName name="bu15total94">#REF!</definedName>
    <definedName name="bu15total94a">#REF!</definedName>
    <definedName name="bu15total95">#REF!</definedName>
    <definedName name="bu15total95a">#REF!</definedName>
    <definedName name="bu15total96">#REF!</definedName>
    <definedName name="bu15total96a">#REF!</definedName>
    <definedName name="bu15total97">#REF!</definedName>
    <definedName name="bu15total97a">#REF!</definedName>
    <definedName name="bu15total98">#REF!</definedName>
    <definedName name="bu15total98a">#REF!</definedName>
    <definedName name="bu16total84">#REF!</definedName>
    <definedName name="bu16total84a">#REF!</definedName>
    <definedName name="bu16total85">#REF!</definedName>
    <definedName name="bu16total85a">#REF!</definedName>
    <definedName name="bu16total86">#REF!</definedName>
    <definedName name="bu16total86a">#REF!</definedName>
    <definedName name="bu16total87">#REF!</definedName>
    <definedName name="bu16total87a">#REF!</definedName>
    <definedName name="bu16total88">#REF!</definedName>
    <definedName name="bu16total88a">#REF!</definedName>
    <definedName name="bu16total89">#REF!</definedName>
    <definedName name="bu16total89a">#REF!</definedName>
    <definedName name="bu16total90">#REF!</definedName>
    <definedName name="bu16total90a">#REF!</definedName>
    <definedName name="bu16total91">#REF!</definedName>
    <definedName name="bu16total91a">#REF!</definedName>
    <definedName name="bu16total92">#REF!</definedName>
    <definedName name="bu16total92a">#REF!</definedName>
    <definedName name="bu16total93">#REF!</definedName>
    <definedName name="bu16total93a">#REF!</definedName>
    <definedName name="bu16total94">#REF!</definedName>
    <definedName name="bu16total94a">#REF!</definedName>
    <definedName name="bu16total95">#REF!</definedName>
    <definedName name="bu16total95a">#REF!</definedName>
    <definedName name="bu16total96">#REF!</definedName>
    <definedName name="bu16total96a">#REF!</definedName>
    <definedName name="bu16total97">#REF!</definedName>
    <definedName name="bu16total97a">#REF!</definedName>
    <definedName name="bu16total98">#REF!</definedName>
    <definedName name="bu16total98a">#REF!</definedName>
    <definedName name="bu17total84">#REF!</definedName>
    <definedName name="bu17total84a">#REF!</definedName>
    <definedName name="bu17total85">#REF!</definedName>
    <definedName name="bu17total85a">#REF!</definedName>
    <definedName name="bu17total86">#REF!</definedName>
    <definedName name="bu17total86a">#REF!</definedName>
    <definedName name="bu17total87">#REF!</definedName>
    <definedName name="bu17total87a">#REF!</definedName>
    <definedName name="bu17total88">#REF!</definedName>
    <definedName name="bu17total88a">#REF!</definedName>
    <definedName name="bu17total89">#REF!</definedName>
    <definedName name="bu17total89a">#REF!</definedName>
    <definedName name="bu17total90">#REF!</definedName>
    <definedName name="bu17total90a">#REF!</definedName>
    <definedName name="bu17total91">#REF!</definedName>
    <definedName name="bu17total91a">#REF!</definedName>
    <definedName name="bu17total92">#REF!</definedName>
    <definedName name="bu17total92a">#REF!</definedName>
    <definedName name="bu17total93">#REF!</definedName>
    <definedName name="bu17total93a">#REF!</definedName>
    <definedName name="bu17total94">#REF!</definedName>
    <definedName name="bu17total94a">#REF!</definedName>
    <definedName name="bu17total95">#REF!</definedName>
    <definedName name="bu17total95a">#REF!</definedName>
    <definedName name="bu17total96">#REF!</definedName>
    <definedName name="bu17total96a">#REF!</definedName>
    <definedName name="bu17total97">#REF!</definedName>
    <definedName name="bu17total97a">#REF!</definedName>
    <definedName name="bu17total98">#REF!</definedName>
    <definedName name="bu17total98a">#REF!</definedName>
    <definedName name="bu18total84">#REF!</definedName>
    <definedName name="bu18total84a">#REF!</definedName>
    <definedName name="bu18total85">#REF!</definedName>
    <definedName name="bu18total85a">#REF!</definedName>
    <definedName name="bu18total86">#REF!</definedName>
    <definedName name="bu18total86a">#REF!</definedName>
    <definedName name="bu18total87">#REF!</definedName>
    <definedName name="bu18total87a">#REF!</definedName>
    <definedName name="bu18total88">#REF!</definedName>
    <definedName name="bu18total88a">#REF!</definedName>
    <definedName name="bu18total89">#REF!</definedName>
    <definedName name="bu18total89a">#REF!</definedName>
    <definedName name="bu18total90">#REF!</definedName>
    <definedName name="bu18total90a">#REF!</definedName>
    <definedName name="bu18total91">#REF!</definedName>
    <definedName name="bu18total91a">#REF!</definedName>
    <definedName name="bu18total92">#REF!</definedName>
    <definedName name="bu18total92a">#REF!</definedName>
    <definedName name="bu18total93">#REF!</definedName>
    <definedName name="bu18total93a">#REF!</definedName>
    <definedName name="bu18total94">#REF!</definedName>
    <definedName name="bu18total94a">#REF!</definedName>
    <definedName name="bu18total95">#REF!</definedName>
    <definedName name="bu18total95a">#REF!</definedName>
    <definedName name="bu18total96">#REF!</definedName>
    <definedName name="bu18total96a">#REF!</definedName>
    <definedName name="bu18total97">#REF!</definedName>
    <definedName name="bu18total97a">#REF!</definedName>
    <definedName name="bu18total98">#REF!</definedName>
    <definedName name="bu18total98a">#REF!</definedName>
    <definedName name="bu19total84">#REF!</definedName>
    <definedName name="bu19total84a">#REF!</definedName>
    <definedName name="bu19total85">#REF!</definedName>
    <definedName name="bu19total85a">#REF!</definedName>
    <definedName name="bu19total86">#REF!</definedName>
    <definedName name="bu19total86a">#REF!</definedName>
    <definedName name="bu19total87">#REF!</definedName>
    <definedName name="bu19total87a">#REF!</definedName>
    <definedName name="bu19total88">#REF!</definedName>
    <definedName name="bu19total88a">#REF!</definedName>
    <definedName name="bu19total89">#REF!</definedName>
    <definedName name="bu19total89a">#REF!</definedName>
    <definedName name="bu19total90">#REF!</definedName>
    <definedName name="bu19total90a">#REF!</definedName>
    <definedName name="bu19total91">#REF!</definedName>
    <definedName name="bu19total91a">#REF!</definedName>
    <definedName name="bu19total92">#REF!</definedName>
    <definedName name="bu19total92a">#REF!</definedName>
    <definedName name="bu19total93">#REF!</definedName>
    <definedName name="bu19total93a">#REF!</definedName>
    <definedName name="bu19total94">#REF!</definedName>
    <definedName name="bu19total94a">#REF!</definedName>
    <definedName name="bu19total95">#REF!</definedName>
    <definedName name="bu19total95a">#REF!</definedName>
    <definedName name="bu19total96">#REF!</definedName>
    <definedName name="bu19total96a">#REF!</definedName>
    <definedName name="bu19total97">#REF!</definedName>
    <definedName name="bu19total97a">#REF!</definedName>
    <definedName name="bu19total98">#REF!</definedName>
    <definedName name="bu19total98a">#REF!</definedName>
    <definedName name="bu1total84">#REF!</definedName>
    <definedName name="bu1total84a">#REF!</definedName>
    <definedName name="bu1total85">#REF!</definedName>
    <definedName name="bu1total85a">#REF!</definedName>
    <definedName name="bu1total86">#REF!</definedName>
    <definedName name="bu1total86a">#REF!</definedName>
    <definedName name="bu1total87">#REF!</definedName>
    <definedName name="bu1total87a">#REF!</definedName>
    <definedName name="bu1total88">#REF!</definedName>
    <definedName name="bu1total88a">#REF!</definedName>
    <definedName name="bu1total89">#REF!</definedName>
    <definedName name="bu1total89a">#REF!</definedName>
    <definedName name="bu1total90">#REF!</definedName>
    <definedName name="bu1total90a">#REF!</definedName>
    <definedName name="bu1total91">#REF!</definedName>
    <definedName name="bu1total91a">#REF!</definedName>
    <definedName name="bu1total92">#REF!</definedName>
    <definedName name="bu1total92a">#REF!</definedName>
    <definedName name="bu1total93">#REF!</definedName>
    <definedName name="bu1total93a">#REF!</definedName>
    <definedName name="bu1total94">#REF!</definedName>
    <definedName name="bu1total94a">#REF!</definedName>
    <definedName name="bu1total95">#REF!</definedName>
    <definedName name="bu1total95a">#REF!</definedName>
    <definedName name="bu1total96">#REF!</definedName>
    <definedName name="bu1total96a">#REF!</definedName>
    <definedName name="bu1total97">#REF!</definedName>
    <definedName name="bu1total97a">#REF!</definedName>
    <definedName name="bu1total98">#REF!</definedName>
    <definedName name="bu1total98a">#REF!</definedName>
    <definedName name="bu20total84">#REF!</definedName>
    <definedName name="bu20total84a">#REF!</definedName>
    <definedName name="bu20total85">#REF!</definedName>
    <definedName name="bu20total85a">#REF!</definedName>
    <definedName name="bu20total86">#REF!</definedName>
    <definedName name="bu20total86a">#REF!</definedName>
    <definedName name="bu20total87">#REF!</definedName>
    <definedName name="bu20total87a">#REF!</definedName>
    <definedName name="bu20total88">#REF!</definedName>
    <definedName name="bu20total88a">#REF!</definedName>
    <definedName name="bu20total89">#REF!</definedName>
    <definedName name="bu20total89a">#REF!</definedName>
    <definedName name="bu20total90">#REF!</definedName>
    <definedName name="bu20total90a">#REF!</definedName>
    <definedName name="bu20total91">#REF!</definedName>
    <definedName name="bu20total91a">#REF!</definedName>
    <definedName name="bu20total92">#REF!</definedName>
    <definedName name="bu20total92a">#REF!</definedName>
    <definedName name="bu20total93">#REF!</definedName>
    <definedName name="bu20total93a">#REF!</definedName>
    <definedName name="bu20total94">#REF!</definedName>
    <definedName name="bu20total94a">#REF!</definedName>
    <definedName name="bu20total95">#REF!</definedName>
    <definedName name="bu20total95a">#REF!</definedName>
    <definedName name="bu20total96">#REF!</definedName>
    <definedName name="bu20total96a">#REF!</definedName>
    <definedName name="bu20total97">#REF!</definedName>
    <definedName name="bu20total97a">#REF!</definedName>
    <definedName name="bu20total98">#REF!</definedName>
    <definedName name="bu20total98a">#REF!</definedName>
    <definedName name="bu21total84">#REF!</definedName>
    <definedName name="bu21total84a">#REF!</definedName>
    <definedName name="bu21total85">#REF!</definedName>
    <definedName name="bu21total85a">#REF!</definedName>
    <definedName name="bu21total86">#REF!</definedName>
    <definedName name="bu21total86a">#REF!</definedName>
    <definedName name="bu21total87">#REF!</definedName>
    <definedName name="bu21total87a">#REF!</definedName>
    <definedName name="bu21total88">#REF!</definedName>
    <definedName name="bu21total88a">#REF!</definedName>
    <definedName name="bu21total89">#REF!</definedName>
    <definedName name="bu21total89a">#REF!</definedName>
    <definedName name="bu21total90">#REF!</definedName>
    <definedName name="bu21total90a">#REF!</definedName>
    <definedName name="bu21total91">#REF!</definedName>
    <definedName name="bu21total91a">#REF!</definedName>
    <definedName name="bu21total92">#REF!</definedName>
    <definedName name="bu21total92a">#REF!</definedName>
    <definedName name="bu21total93">#REF!</definedName>
    <definedName name="bu21total93a">#REF!</definedName>
    <definedName name="bu21total94">#REF!</definedName>
    <definedName name="bu21total94a">#REF!</definedName>
    <definedName name="bu21total95">#REF!</definedName>
    <definedName name="bu21total95a">#REF!</definedName>
    <definedName name="bu21total96">#REF!</definedName>
    <definedName name="bu21total96a">#REF!</definedName>
    <definedName name="bu21total97">#REF!</definedName>
    <definedName name="bu21total97a">#REF!</definedName>
    <definedName name="bu21total98">#REF!</definedName>
    <definedName name="bu21total98a">#REF!</definedName>
    <definedName name="bu22total84">#REF!</definedName>
    <definedName name="bu22total84a">#REF!</definedName>
    <definedName name="bu22total85">#REF!</definedName>
    <definedName name="bu22total85a">#REF!</definedName>
    <definedName name="bu22total86">#REF!</definedName>
    <definedName name="bu22total86a">#REF!</definedName>
    <definedName name="bu22total87">#REF!</definedName>
    <definedName name="bu22total87a">#REF!</definedName>
    <definedName name="bu22total88">#REF!</definedName>
    <definedName name="bu22total88a">#REF!</definedName>
    <definedName name="bu22total89">#REF!</definedName>
    <definedName name="bu22total89a">#REF!</definedName>
    <definedName name="bu22total90">#REF!</definedName>
    <definedName name="bu22total90a">#REF!</definedName>
    <definedName name="bu22total91">#REF!</definedName>
    <definedName name="bu22total91a">#REF!</definedName>
    <definedName name="bu22total92">#REF!</definedName>
    <definedName name="bu22total92a">#REF!</definedName>
    <definedName name="bu22total93">#REF!</definedName>
    <definedName name="bu22total93a">#REF!</definedName>
    <definedName name="bu22total94">#REF!</definedName>
    <definedName name="bu22total94a">#REF!</definedName>
    <definedName name="bu22total95">#REF!</definedName>
    <definedName name="bu22total95a">#REF!</definedName>
    <definedName name="bu22total96">#REF!</definedName>
    <definedName name="bu22total96a">#REF!</definedName>
    <definedName name="bu22total97">#REF!</definedName>
    <definedName name="bu22total97a">#REF!</definedName>
    <definedName name="bu22total98">#REF!</definedName>
    <definedName name="bu22total98a">#REF!</definedName>
    <definedName name="bu23total84">#REF!</definedName>
    <definedName name="bu23total84a">#REF!</definedName>
    <definedName name="bu23total85">#REF!</definedName>
    <definedName name="bu23total85a">#REF!</definedName>
    <definedName name="bu23total86">#REF!</definedName>
    <definedName name="bu23total86a">#REF!</definedName>
    <definedName name="bu23total87">#REF!</definedName>
    <definedName name="bu23total87a">#REF!</definedName>
    <definedName name="bu23total88">#REF!</definedName>
    <definedName name="bu23total88a">#REF!</definedName>
    <definedName name="bu23total89">#REF!</definedName>
    <definedName name="bu23total89a">#REF!</definedName>
    <definedName name="bu23total90">#REF!</definedName>
    <definedName name="bu23total90a">#REF!</definedName>
    <definedName name="bu23total91">#REF!</definedName>
    <definedName name="bu23total91a">#REF!</definedName>
    <definedName name="bu23total92">#REF!</definedName>
    <definedName name="bu23total92a">#REF!</definedName>
    <definedName name="bu23total93">#REF!</definedName>
    <definedName name="bu23total93a">#REF!</definedName>
    <definedName name="bu23total94">#REF!</definedName>
    <definedName name="bu23total94a">#REF!</definedName>
    <definedName name="bu23total95">#REF!</definedName>
    <definedName name="bu23total95a">#REF!</definedName>
    <definedName name="bu23total96">#REF!</definedName>
    <definedName name="bu23total96a">#REF!</definedName>
    <definedName name="bu23total97">#REF!</definedName>
    <definedName name="bu23total97a">#REF!</definedName>
    <definedName name="bu23total98">#REF!</definedName>
    <definedName name="bu23total98a">#REF!</definedName>
    <definedName name="bu2total84">#REF!</definedName>
    <definedName name="bu2total84a">#REF!</definedName>
    <definedName name="bu2total85">#REF!</definedName>
    <definedName name="bu2total85a">#REF!</definedName>
    <definedName name="bu2total86">#REF!</definedName>
    <definedName name="bu2total86a">#REF!</definedName>
    <definedName name="bu2total87">#REF!</definedName>
    <definedName name="bu2total87a">#REF!</definedName>
    <definedName name="bu2total88">#REF!</definedName>
    <definedName name="bu2total88a">#REF!</definedName>
    <definedName name="bu2total89">#REF!</definedName>
    <definedName name="bu2total89a">#REF!</definedName>
    <definedName name="bu2total90">#REF!</definedName>
    <definedName name="bu2total90a">#REF!</definedName>
    <definedName name="bu2total91">#REF!</definedName>
    <definedName name="bu2total91a">#REF!</definedName>
    <definedName name="bu2total92">#REF!</definedName>
    <definedName name="bu2total92a">#REF!</definedName>
    <definedName name="bu2total93">#REF!</definedName>
    <definedName name="bu2total93a">#REF!</definedName>
    <definedName name="bu2total94">#REF!</definedName>
    <definedName name="bu2total94a">#REF!</definedName>
    <definedName name="bu2total95">#REF!</definedName>
    <definedName name="bu2total95a">#REF!</definedName>
    <definedName name="bu2total96">#REF!</definedName>
    <definedName name="bu2total96a">#REF!</definedName>
    <definedName name="bu2total97">#REF!</definedName>
    <definedName name="bu2total97a">#REF!</definedName>
    <definedName name="bu2total98">#REF!</definedName>
    <definedName name="bu2total98a">#REF!</definedName>
    <definedName name="bu3total84">#REF!</definedName>
    <definedName name="bu3total84a">#REF!</definedName>
    <definedName name="bu3total85">#REF!</definedName>
    <definedName name="bu3total85a">#REF!</definedName>
    <definedName name="bu3total86">#REF!</definedName>
    <definedName name="bu3total86a">#REF!</definedName>
    <definedName name="bu3total87">#REF!</definedName>
    <definedName name="bu3total87a">#REF!</definedName>
    <definedName name="bu3total88">#REF!</definedName>
    <definedName name="bu3total88a">#REF!</definedName>
    <definedName name="bu3total89">#REF!</definedName>
    <definedName name="bu3total89a">#REF!</definedName>
    <definedName name="bu3total90">#REF!</definedName>
    <definedName name="bu3total90a">#REF!</definedName>
    <definedName name="bu3total91">#REF!</definedName>
    <definedName name="bu3total91a">#REF!</definedName>
    <definedName name="bu3total92">#REF!</definedName>
    <definedName name="bu3total92a">#REF!</definedName>
    <definedName name="bu3total93">#REF!</definedName>
    <definedName name="bu3total93a">#REF!</definedName>
    <definedName name="bu3total94">#REF!</definedName>
    <definedName name="bu3total94a">#REF!</definedName>
    <definedName name="bu3total95">#REF!</definedName>
    <definedName name="bu3total95a">#REF!</definedName>
    <definedName name="bu3total96">#REF!</definedName>
    <definedName name="bu3total96a">#REF!</definedName>
    <definedName name="bu3total97">#REF!</definedName>
    <definedName name="bu3total97a">#REF!</definedName>
    <definedName name="bu3total98">#REF!</definedName>
    <definedName name="bu3total98a">#REF!</definedName>
    <definedName name="bu4total84">#REF!</definedName>
    <definedName name="bu4total84a">#REF!</definedName>
    <definedName name="bu4total85">#REF!</definedName>
    <definedName name="bu4total85a">#REF!</definedName>
    <definedName name="bu4total86">#REF!</definedName>
    <definedName name="bu4total86a">#REF!</definedName>
    <definedName name="bu4total87">#REF!</definedName>
    <definedName name="bu4total87a">#REF!</definedName>
    <definedName name="bu4total88">#REF!</definedName>
    <definedName name="bu4total88a">#REF!</definedName>
    <definedName name="bu4total89">#REF!</definedName>
    <definedName name="bu4total89a">#REF!</definedName>
    <definedName name="bu4total90">#REF!</definedName>
    <definedName name="bu4total90a">#REF!</definedName>
    <definedName name="bu4total91">#REF!</definedName>
    <definedName name="bu4total91a">#REF!</definedName>
    <definedName name="bu4total92">#REF!</definedName>
    <definedName name="bu4total92a">#REF!</definedName>
    <definedName name="bu4total93">#REF!</definedName>
    <definedName name="bu4total93a">#REF!</definedName>
    <definedName name="bu4total94">#REF!</definedName>
    <definedName name="bu4total94a">#REF!</definedName>
    <definedName name="bu4total95">#REF!</definedName>
    <definedName name="bu4total95a">#REF!</definedName>
    <definedName name="bu4total96">#REF!</definedName>
    <definedName name="bu4total96a">#REF!</definedName>
    <definedName name="bu4total97">#REF!</definedName>
    <definedName name="bu4total97a">#REF!</definedName>
    <definedName name="bu4total98">#REF!</definedName>
    <definedName name="bu4total98a">#REF!</definedName>
    <definedName name="bu5total84">#REF!</definedName>
    <definedName name="bu5total84a">#REF!</definedName>
    <definedName name="bu5total85">#REF!</definedName>
    <definedName name="bu5total85a">#REF!</definedName>
    <definedName name="bu5total86">#REF!</definedName>
    <definedName name="bu5total86a">#REF!</definedName>
    <definedName name="bu5total87">#REF!</definedName>
    <definedName name="bu5total87a">#REF!</definedName>
    <definedName name="bu5total88">#REF!</definedName>
    <definedName name="bu5total88a">#REF!</definedName>
    <definedName name="bu5total89">#REF!</definedName>
    <definedName name="bu5total89a">#REF!</definedName>
    <definedName name="bu5total90">#REF!</definedName>
    <definedName name="bu5total90a">#REF!</definedName>
    <definedName name="bu5total91">#REF!</definedName>
    <definedName name="bu5total91a">#REF!</definedName>
    <definedName name="bu5total92">#REF!</definedName>
    <definedName name="bu5total92a">#REF!</definedName>
    <definedName name="bu5total93">#REF!</definedName>
    <definedName name="bu5total93a">#REF!</definedName>
    <definedName name="bu5total94">#REF!</definedName>
    <definedName name="bu5total94a">#REF!</definedName>
    <definedName name="bu5total95">#REF!</definedName>
    <definedName name="bu5total95a">#REF!</definedName>
    <definedName name="bu5total96">#REF!</definedName>
    <definedName name="bu5total96a">#REF!</definedName>
    <definedName name="bu5total97">#REF!</definedName>
    <definedName name="bu5total97a">#REF!</definedName>
    <definedName name="bu5total98">#REF!</definedName>
    <definedName name="bu5total98a">#REF!</definedName>
    <definedName name="bu6total84">#REF!</definedName>
    <definedName name="bu6total84a">#REF!</definedName>
    <definedName name="bu6total85">#REF!</definedName>
    <definedName name="bu6total85a">#REF!</definedName>
    <definedName name="bu6total86">#REF!</definedName>
    <definedName name="bu6total86a">#REF!</definedName>
    <definedName name="bu6total87">#REF!</definedName>
    <definedName name="bu6total87a">#REF!</definedName>
    <definedName name="bu6total88">#REF!</definedName>
    <definedName name="bu6total88a">#REF!</definedName>
    <definedName name="bu6total89">#REF!</definedName>
    <definedName name="bu6total89a">#REF!</definedName>
    <definedName name="bu6total90">#REF!</definedName>
    <definedName name="bu6total90a">#REF!</definedName>
    <definedName name="bu6total91">#REF!</definedName>
    <definedName name="bu6total91a">#REF!</definedName>
    <definedName name="bu6total92">#REF!</definedName>
    <definedName name="bu6total92a">#REF!</definedName>
    <definedName name="bu6total93">#REF!</definedName>
    <definedName name="bu6total93a">#REF!</definedName>
    <definedName name="bu6total94">#REF!</definedName>
    <definedName name="bu6total94a">#REF!</definedName>
    <definedName name="bu6total95">#REF!</definedName>
    <definedName name="bu6total95a">#REF!</definedName>
    <definedName name="bu6total96">#REF!</definedName>
    <definedName name="bu6total96a">#REF!</definedName>
    <definedName name="bu6total97">#REF!</definedName>
    <definedName name="bu6total97a">#REF!</definedName>
    <definedName name="bu6total98">#REF!</definedName>
    <definedName name="bu6total98a">#REF!</definedName>
    <definedName name="bu7total84">#REF!</definedName>
    <definedName name="bu7total84a">#REF!</definedName>
    <definedName name="bu7total85">#REF!</definedName>
    <definedName name="bu7total85a">#REF!</definedName>
    <definedName name="bu7total86">#REF!</definedName>
    <definedName name="bu7total86a">#REF!</definedName>
    <definedName name="bu7total87">#REF!</definedName>
    <definedName name="bu7total87a">#REF!</definedName>
    <definedName name="bu7total88">#REF!</definedName>
    <definedName name="bu7total88a">#REF!</definedName>
    <definedName name="bu7total89">#REF!</definedName>
    <definedName name="bu7total89a">#REF!</definedName>
    <definedName name="bu7total90">#REF!</definedName>
    <definedName name="bu7total90a">#REF!</definedName>
    <definedName name="bu7total91">#REF!</definedName>
    <definedName name="bu7total91a">#REF!</definedName>
    <definedName name="bu7total92">#REF!</definedName>
    <definedName name="bu7total92a">#REF!</definedName>
    <definedName name="bu7total93">#REF!</definedName>
    <definedName name="bu7total93a">#REF!</definedName>
    <definedName name="bu7total94">#REF!</definedName>
    <definedName name="bu7total94a">#REF!</definedName>
    <definedName name="bu7total95">#REF!</definedName>
    <definedName name="bu7total95a">#REF!</definedName>
    <definedName name="bu7total96">#REF!</definedName>
    <definedName name="bu7total96a">#REF!</definedName>
    <definedName name="bu7total97">#REF!</definedName>
    <definedName name="bu7total97a">#REF!</definedName>
    <definedName name="bu7total98">#REF!</definedName>
    <definedName name="bu7total98a">#REF!</definedName>
    <definedName name="bu8total84">#REF!</definedName>
    <definedName name="bu8total84a">#REF!</definedName>
    <definedName name="bu8total85">#REF!</definedName>
    <definedName name="bu8total85a">#REF!</definedName>
    <definedName name="bu8total86">#REF!</definedName>
    <definedName name="bu8total86a">#REF!</definedName>
    <definedName name="bu8total87">#REF!</definedName>
    <definedName name="bu8total87a">#REF!</definedName>
    <definedName name="bu8total88">#REF!</definedName>
    <definedName name="bu8total88a">#REF!</definedName>
    <definedName name="bu8total89">#REF!</definedName>
    <definedName name="bu8total89a">#REF!</definedName>
    <definedName name="bu8total90">#REF!</definedName>
    <definedName name="bu8total90a">#REF!</definedName>
    <definedName name="bu8total91">#REF!</definedName>
    <definedName name="bu8total91a">#REF!</definedName>
    <definedName name="bu8total92">#REF!</definedName>
    <definedName name="bu8total92a">#REF!</definedName>
    <definedName name="bu8total93">#REF!</definedName>
    <definedName name="bu8total93a">#REF!</definedName>
    <definedName name="bu8total94">#REF!</definedName>
    <definedName name="bu8total94a">#REF!</definedName>
    <definedName name="bu8total95">#REF!</definedName>
    <definedName name="bu8total95a">#REF!</definedName>
    <definedName name="bu8total96">#REF!</definedName>
    <definedName name="bu8total96a">#REF!</definedName>
    <definedName name="bu8total97">#REF!</definedName>
    <definedName name="bu8total97a">#REF!</definedName>
    <definedName name="bu8total98">#REF!</definedName>
    <definedName name="bu8total98a">#REF!</definedName>
    <definedName name="bu9total84">#REF!</definedName>
    <definedName name="bu9total84a">#REF!</definedName>
    <definedName name="bu9total85">#REF!</definedName>
    <definedName name="bu9total85a">#REF!</definedName>
    <definedName name="bu9total86">#REF!</definedName>
    <definedName name="bu9total86a">#REF!</definedName>
    <definedName name="bu9total87">#REF!</definedName>
    <definedName name="bu9total87a">#REF!</definedName>
    <definedName name="bu9total88">#REF!</definedName>
    <definedName name="bu9total88a">#REF!</definedName>
    <definedName name="bu9total89">#REF!</definedName>
    <definedName name="bu9total89a">#REF!</definedName>
    <definedName name="bu9total90">#REF!</definedName>
    <definedName name="bu9total90a">#REF!</definedName>
    <definedName name="bu9total91">#REF!</definedName>
    <definedName name="bu9total91a">#REF!</definedName>
    <definedName name="bu9total92">#REF!</definedName>
    <definedName name="bu9total92a">#REF!</definedName>
    <definedName name="bu9total93">#REF!</definedName>
    <definedName name="bu9total93a">#REF!</definedName>
    <definedName name="bu9total94">#REF!</definedName>
    <definedName name="bu9total94a">#REF!</definedName>
    <definedName name="bu9total95">#REF!</definedName>
    <definedName name="bu9total95a">#REF!</definedName>
    <definedName name="bu9total96">#REF!</definedName>
    <definedName name="bu9total96a">#REF!</definedName>
    <definedName name="bu9total97">#REF!</definedName>
    <definedName name="bu9total97a">#REF!</definedName>
    <definedName name="bu9total98">#REF!</definedName>
    <definedName name="bu9total98a">#REF!</definedName>
    <definedName name="BUDGET_YTD">#REF!</definedName>
    <definedName name="BudgetPJF">#REF!</definedName>
    <definedName name="BUName">#REF!</definedName>
    <definedName name="BUTypeAreaRes">#REF!</definedName>
    <definedName name="bvfzxcvxczxc">#REF!</definedName>
    <definedName name="bvvlhlkhjl">#REF!</definedName>
    <definedName name="C_">#REF!</definedName>
    <definedName name="C_3">#REF!</definedName>
    <definedName name="C_3_10">#REF!</definedName>
    <definedName name="Cal">#REF!</definedName>
    <definedName name="CalculationC">#REF!</definedName>
    <definedName name="CalculationCom">#REF!</definedName>
    <definedName name="CalculationComEd">#REF!</definedName>
    <definedName name="calculationD">#REF!</definedName>
    <definedName name="CalculationP">#REF!</definedName>
    <definedName name="CalculationPeco">#REF!</definedName>
    <definedName name="Calculations">#REF!</definedName>
    <definedName name="CalculationsC">#REF!</definedName>
    <definedName name="CalculationsC1">#REF!</definedName>
    <definedName name="CalculationsC3">#REF!</definedName>
    <definedName name="CalculationsC4">#REF!</definedName>
    <definedName name="CalculationsC5">#REF!</definedName>
    <definedName name="CalculationsP">#REF!</definedName>
    <definedName name="CalculationsP1">#REF!</definedName>
    <definedName name="CalculationsP2">#REF!</definedName>
    <definedName name="CalculationsP3">#REF!</definedName>
    <definedName name="CalculationsP4">#REF!</definedName>
    <definedName name="CalculationsP5">#REF!</definedName>
    <definedName name="CalculationsP6">#REF!</definedName>
    <definedName name="CalculationsPe">#REF!</definedName>
    <definedName name="CalculationsPeco">#REF!</definedName>
    <definedName name="CalculatP">#REF!</definedName>
    <definedName name="CAPA">#REF!</definedName>
    <definedName name="CAPB">#REF!</definedName>
    <definedName name="Capital">#REF!</definedName>
    <definedName name="CapitalExpenditures">#REF!</definedName>
    <definedName name="cbcvbcv" hidden="1">{#N/A,#N/A,FALSE,"Monthly SAIFI";#N/A,#N/A,FALSE,"Yearly SAIFI";#N/A,#N/A,FALSE,"Monthly CAIDI";#N/A,#N/A,FALSE,"Yearly CAIDI";#N/A,#N/A,FALSE,"Monthly SAIDI";#N/A,#N/A,FALSE,"Yearly SAIDI";#N/A,#N/A,FALSE,"Monthly MAIFI";#N/A,#N/A,FALSE,"Yearly MAIFI";#N/A,#N/A,FALSE,"Monthly Cust &gt;=4 Int"}</definedName>
    <definedName name="CBEast">#REF!</definedName>
    <definedName name="CBWest">#REF!</definedName>
    <definedName name="CBWorkbookPriority" hidden="1">-250256570</definedName>
    <definedName name="cc1end">#REF!</definedName>
    <definedName name="cc1subrange">#REF!</definedName>
    <definedName name="cc2origin">#REF!</definedName>
    <definedName name="cc2subrange">#REF!</definedName>
    <definedName name="cc3subrange">#REF!</definedName>
    <definedName name="ccbbcvbc" hidden="1">{#N/A,#N/A,FALSE,"Monthly SAIFI";#N/A,#N/A,FALSE,"Yearly SAIFI";#N/A,#N/A,FALSE,"Monthly CAIDI";#N/A,#N/A,FALSE,"Yearly CAIDI";#N/A,#N/A,FALSE,"Monthly SAIDI";#N/A,#N/A,FALSE,"Yearly SAIDI";#N/A,#N/A,FALSE,"Monthly MAIFI";#N/A,#N/A,FALSE,"Yearly MAIFI";#N/A,#N/A,FALSE,"Monthly Cust &gt;=4 Int"}</definedName>
    <definedName name="cccc">#REF!</definedName>
    <definedName name="Choose_Prefs">#REF!</definedName>
    <definedName name="chrtContract">#REF!</definedName>
    <definedName name="chrtSensitivity">#REF!</definedName>
    <definedName name="chrtSensWages">#REF!</definedName>
    <definedName name="chrtSupplies">#REF!</definedName>
    <definedName name="chrtTax">#REF!</definedName>
    <definedName name="chrtTotalByCo">#REF!</definedName>
    <definedName name="chrtTotalByType">#REF!</definedName>
    <definedName name="chrtWages">#REF!</definedName>
    <definedName name="CKDATES">#REF!</definedName>
    <definedName name="CkDescr">#REF!</definedName>
    <definedName name="ClaculationC">#REF!</definedName>
    <definedName name="ClaculationP">#REF!</definedName>
    <definedName name="ClaculationsC">#REF!</definedName>
    <definedName name="Class">#REF!</definedName>
    <definedName name="CLDR">#REF!</definedName>
    <definedName name="CoAreaDept">#REF!</definedName>
    <definedName name="com">#REF!</definedName>
    <definedName name="Com1E">#REF!</definedName>
    <definedName name="Com2E">#REF!</definedName>
    <definedName name="comed1">#REF!</definedName>
    <definedName name="comed2">#REF!</definedName>
    <definedName name="comedmfr2">#REF!</definedName>
    <definedName name="Company">#REF!</definedName>
    <definedName name="Company_Name">#REF!</definedName>
    <definedName name="CompanyCount">#REF!</definedName>
    <definedName name="COMPAR_PRT_RNG">#REF!</definedName>
    <definedName name="complex">#REF!</definedName>
    <definedName name="ContactExt">#REF!</definedName>
    <definedName name="ContactName">#REF!</definedName>
    <definedName name="CONVERT_IT">#REF!</definedName>
    <definedName name="CONVERT_RTN">#REF!</definedName>
    <definedName name="Corp">#REF!</definedName>
    <definedName name="corp1">#REF!</definedName>
    <definedName name="corp1E">#REF!</definedName>
    <definedName name="corp2">#REF!</definedName>
    <definedName name="CorpE">#REF!</definedName>
    <definedName name="COSTCARECAPCHAR">#REF!</definedName>
    <definedName name="COSTCAREMEDCASE">#REF!</definedName>
    <definedName name="COSTCARESUM">#REF!</definedName>
    <definedName name="COUNTER">#REF!</definedName>
    <definedName name="CPTL94">#REF!</definedName>
    <definedName name="CPTL95">#REF!</definedName>
    <definedName name="CR_AMT">#REF!</definedName>
    <definedName name="credit_rate">#REF!</definedName>
    <definedName name="CREDIT1">#REF!</definedName>
    <definedName name="creditsummary">#REF!</definedName>
    <definedName name="CUR_QRES">#REF!</definedName>
    <definedName name="CUR_QRES0.75">#REF!</definedName>
    <definedName name="CUR_QRES0.80">#REF!</definedName>
    <definedName name="CUR_QRES0.85">#REF!</definedName>
    <definedName name="CUR_QRES0.90">#REF!</definedName>
    <definedName name="CUR_QRES0.95">#REF!</definedName>
    <definedName name="CUR_QRES1.00">#REF!</definedName>
    <definedName name="CUR_QRES1.05">#REF!</definedName>
    <definedName name="CUR_QRES1.10">#REF!</definedName>
    <definedName name="CUR_QRES1.15">#REF!</definedName>
    <definedName name="CUR_QRES1.20">#REF!</definedName>
    <definedName name="CUR_QRES1.25">#REF!</definedName>
    <definedName name="CUR_SENS_FACT">#REF!</definedName>
    <definedName name="CURRENT">#REF!</definedName>
    <definedName name="CURRENT_MESSAGE">#REF!</definedName>
    <definedName name="CurrentEndDate">#REF!</definedName>
    <definedName name="CurrPeriod">#REF!</definedName>
    <definedName name="CustCred4thQtr">#REF!</definedName>
    <definedName name="CustCred4thQtrE">#REF!</definedName>
    <definedName name="CustCredDec">#REF!</definedName>
    <definedName name="CustCredDecE">#REF!</definedName>
    <definedName name="cvxvvdxzv">#REF!</definedName>
    <definedName name="CYDR">#REF!</definedName>
    <definedName name="d">#REF!</definedName>
    <definedName name="D_1">#REF!</definedName>
    <definedName name="D3CY_AMOUNT">#REF!</definedName>
    <definedName name="D3CY_COST">#REF!</definedName>
    <definedName name="D3HY_COST">#REF!</definedName>
    <definedName name="D3TY_AMOUNT">#REF!</definedName>
    <definedName name="D3TY_COST">#REF!</definedName>
    <definedName name="dadasdad">#REF!</definedName>
    <definedName name="dadasdas">#REF!</definedName>
    <definedName name="dafklaf">#REF!</definedName>
    <definedName name="dasdadad">#REF!</definedName>
    <definedName name="DASDD" hidden="1">{#N/A,#N/A,FALSE,"Monthly SAIFI";#N/A,#N/A,FALSE,"Yearly SAIFI";#N/A,#N/A,FALSE,"Monthly CAIDI";#N/A,#N/A,FALSE,"Yearly CAIDI";#N/A,#N/A,FALSE,"Monthly SAIDI";#N/A,#N/A,FALSE,"Yearly SAIDI";#N/A,#N/A,FALSE,"Monthly MAIFI";#N/A,#N/A,FALSE,"Yearly MAIFI";#N/A,#N/A,FALSE,"Monthly Cust &gt;=4 Int"}</definedName>
    <definedName name="dasfasfdsdaf">#REF!</definedName>
    <definedName name="Data">#REF!</definedName>
    <definedName name="_xlnm.Database">#REF!</definedName>
    <definedName name="Database2">#REF!</definedName>
    <definedName name="DatabaseE">#REF!</definedName>
    <definedName name="DATAFEEDER">#REF!</definedName>
    <definedName name="DateNumber">#REF!</definedName>
    <definedName name="DateNumberCurrentPrior">#REF!</definedName>
    <definedName name="DateNumberQtrPrior">#REF!</definedName>
    <definedName name="DateNumberYearEndPrior">#REF!</definedName>
    <definedName name="DateText">#REF!</definedName>
    <definedName name="DB_AMT">#REF!</definedName>
    <definedName name="dd" hidden="1">{#N/A,#N/A,FALSE,"Monthly SAIFI";#N/A,#N/A,FALSE,"Yearly SAIFI";#N/A,#N/A,FALSE,"Monthly CAIDI";#N/A,#N/A,FALSE,"Yearly CAIDI";#N/A,#N/A,FALSE,"Monthly SAIDI";#N/A,#N/A,FALSE,"Yearly SAIDI";#N/A,#N/A,FALSE,"Monthly MAIFI";#N/A,#N/A,FALSE,"Yearly MAIFI";#N/A,#N/A,FALSE,"Monthly Cust &gt;=4 Int"}</definedName>
    <definedName name="ddd">#REF!</definedName>
    <definedName name="dddd">#REF!</definedName>
    <definedName name="ddfsaf" hidden="1">{#N/A,#N/A,FALSE,"Monthly SAIFI";#N/A,#N/A,FALSE,"Yearly SAIFI";#N/A,#N/A,FALSE,"Monthly CAIDI";#N/A,#N/A,FALSE,"Yearly CAIDI";#N/A,#N/A,FALSE,"Monthly SAIDI";#N/A,#N/A,FALSE,"Yearly SAIDI";#N/A,#N/A,FALSE,"Monthly MAIFI";#N/A,#N/A,FALSE,"Yearly MAIFI";#N/A,#N/A,FALSE,"Monthly Cust &gt;=4 Int"}</definedName>
    <definedName name="ddvsdfsdfsdf">#REF!</definedName>
    <definedName name="DEANNA">#REF!</definedName>
    <definedName name="Dec">#REF!</definedName>
    <definedName name="DELAWARE">#REF!</definedName>
    <definedName name="DeliverCk">#REF!</definedName>
    <definedName name="DeliverExt">#REF!</definedName>
    <definedName name="DENT_NU">#REF!</definedName>
    <definedName name="DENT_U">#REF!</definedName>
    <definedName name="DETAIL">#REF!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ffgdfgd">#REF!</definedName>
    <definedName name="dfdsfs" hidden="1">{#N/A,#N/A,FALSE,"Monthly SAIFI";#N/A,#N/A,FALSE,"Yearly SAIFI";#N/A,#N/A,FALSE,"Monthly CAIDI";#N/A,#N/A,FALSE,"Yearly CAIDI";#N/A,#N/A,FALSE,"Monthly SAIDI";#N/A,#N/A,FALSE,"Yearly SAIDI";#N/A,#N/A,FALSE,"Monthly MAIFI";#N/A,#N/A,FALSE,"Yearly MAIFI";#N/A,#N/A,FALSE,"Monthly Cust &gt;=4 Int"}</definedName>
    <definedName name="dfgdfgh">#REF!</definedName>
    <definedName name="dfgsdgdsfgd">#REF!</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asdfasfs">#REF!</definedName>
    <definedName name="dfsdfsf">#REF!</definedName>
    <definedName name="dfsfasfasfs">#REF!</definedName>
    <definedName name="dfssdfsdfsdfsdf">#REF!</definedName>
    <definedName name="Discount10">#REF!</definedName>
    <definedName name="Discount11">#REF!</definedName>
    <definedName name="Discount12">#REF!</definedName>
    <definedName name="Discount13">#REF!</definedName>
    <definedName name="Discount14">#REF!</definedName>
    <definedName name="Discount15">#REF!</definedName>
    <definedName name="Discount2">#REF!</definedName>
    <definedName name="Discount3">#REF!</definedName>
    <definedName name="Discount4">#REF!</definedName>
    <definedName name="Discount5">#REF!</definedName>
    <definedName name="Discount6">#REF!</definedName>
    <definedName name="Discount7">#REF!</definedName>
    <definedName name="Discount8">#REF!</definedName>
    <definedName name="Discount9">#REF!</definedName>
    <definedName name="discrate">#REF!</definedName>
    <definedName name="Docket">#REF!</definedName>
    <definedName name="DOIT">#REF!</definedName>
    <definedName name="DP1875TB">#REF!</definedName>
    <definedName name="DR">#REF!</definedName>
    <definedName name="dsfasfsadfsdfsa">#REF!</definedName>
    <definedName name="dskdlss" hidden="1">{#N/A,#N/A,FALSE,"Monthly SAIFI";#N/A,#N/A,FALSE,"Yearly SAIFI";#N/A,#N/A,FALSE,"Monthly CAIDI";#N/A,#N/A,FALSE,"Yearly CAIDI";#N/A,#N/A,FALSE,"Monthly SAIDI";#N/A,#N/A,FALSE,"Yearly SAIDI";#N/A,#N/A,FALSE,"Monthly MAIFI";#N/A,#N/A,FALSE,"Yearly MAIFI";#N/A,#N/A,FALSE,"Monthly Cust &gt;=4 Int"}</definedName>
    <definedName name="dy">#REF!</definedName>
    <definedName name="dyCR">#REF!</definedName>
    <definedName name="dyqre90">#REF!</definedName>
    <definedName name="dyqre91">#REF!</definedName>
    <definedName name="dyqre92">#REF!</definedName>
    <definedName name="dyqre93">#REF!</definedName>
    <definedName name="dyqre94">#REF!</definedName>
    <definedName name="dyqre95">#REF!</definedName>
    <definedName name="dyqre96">#REF!</definedName>
    <definedName name="dyqre97">#REF!</definedName>
    <definedName name="dyqre98">#REF!</definedName>
    <definedName name="dyQW">#REF!</definedName>
    <definedName name="dyS">#REF!</definedName>
    <definedName name="E">#REF!</definedName>
    <definedName name="eaewq">#REF!</definedName>
    <definedName name="EASTERN">#REF!</definedName>
    <definedName name="EDPlt01">#REF!</definedName>
    <definedName name="EDPlt02">#REF!</definedName>
    <definedName name="EDPlt03">#REF!</definedName>
    <definedName name="EDPlt04">#REF!</definedName>
    <definedName name="edred" hidden="1">{#N/A,#N/A,FALSE,"Monthly SAIFI";#N/A,#N/A,FALSE,"Yearly SAIFI";#N/A,#N/A,FALSE,"Monthly CAIDI";#N/A,#N/A,FALSE,"Yearly CAIDI";#N/A,#N/A,FALSE,"Monthly SAIDI";#N/A,#N/A,FALSE,"Yearly SAIDI";#N/A,#N/A,FALSE,"Monthly MAIFI";#N/A,#N/A,FALSE,"Yearly MAIFI";#N/A,#N/A,FALSE,"Monthly Cust &gt;=4 Int"}</definedName>
    <definedName name="EED">#REF!</definedName>
    <definedName name="EL_PR_ACC">#REF!</definedName>
    <definedName name="EL_PR_PMT">#REF!</definedName>
    <definedName name="ELEC_ACC">#REF!</definedName>
    <definedName name="ELEC_CUST">#REF!</definedName>
    <definedName name="ELEC_PMT">#REF!</definedName>
    <definedName name="ELEC_REV">#REF!</definedName>
    <definedName name="ELEC_SALES">#REF!</definedName>
    <definedName name="EMPALL">#REF!</definedName>
    <definedName name="empid">#REF!</definedName>
    <definedName name="ENT">#REF!</definedName>
    <definedName name="EPG">#REF!</definedName>
    <definedName name="EPJFTable">#REF!</definedName>
    <definedName name="EPJFTableE">#REF!</definedName>
    <definedName name="err">#REF!</definedName>
    <definedName name="erser">#REF!</definedName>
    <definedName name="EssOptions">"1100000000130100_11-          00"</definedName>
    <definedName name="Estimated_Fair_Value">"fair_value"</definedName>
    <definedName name="EstimateRetirement">#REF!</definedName>
    <definedName name="expnoyear">#REF!</definedName>
    <definedName name="expnoyearE">#REF!</definedName>
    <definedName name="exptitle">#REF!</definedName>
    <definedName name="exptitleE">#REF!</definedName>
    <definedName name="expwmoney">#REF!</definedName>
    <definedName name="f" hidden="1">{#N/A,#N/A,FALSE,"Monthly SAIFI";#N/A,#N/A,FALSE,"Yearly SAIFI";#N/A,#N/A,FALSE,"Monthly CAIDI";#N/A,#N/A,FALSE,"Yearly CAIDI";#N/A,#N/A,FALSE,"Monthly SAIDI";#N/A,#N/A,FALSE,"Yearly SAIDI";#N/A,#N/A,FALSE,"Monthly MAIFI";#N/A,#N/A,FALSE,"Yearly MAIFI";#N/A,#N/A,FALSE,"Monthly Cust &gt;=4 Int"}</definedName>
    <definedName name="FACTOR_.75">#REF!</definedName>
    <definedName name="FACTOR_.80">#REF!</definedName>
    <definedName name="FACTOR_.85">#REF!</definedName>
    <definedName name="FACTOR_.90">#REF!</definedName>
    <definedName name="FACTOR_.95">#REF!</definedName>
    <definedName name="FACTOR_1">#REF!</definedName>
    <definedName name="FACTOR_1.05">#REF!</definedName>
    <definedName name="FACTOR_1.1">#REF!</definedName>
    <definedName name="FACTOR_1.15">#REF!</definedName>
    <definedName name="FACTOR_1.2">#REF!</definedName>
    <definedName name="FACTOR_1.25">#REF!</definedName>
    <definedName name="Factor_Category_Lookup">#REF!</definedName>
    <definedName name="Factor_Lookup">#REF!</definedName>
    <definedName name="FACTOR_NAME">#REF!</definedName>
    <definedName name="FACTOR_TABLE">#REF!</definedName>
    <definedName name="FACTOR_VALUE">#REF!</definedName>
    <definedName name="fafasfasf">#REF!</definedName>
    <definedName name="fair_value">#REF!</definedName>
    <definedName name="fasdfsadf">#REF!</definedName>
    <definedName name="fasfsafasf">#REF!</definedName>
    <definedName name="fasfsdf">#REF!</definedName>
    <definedName name="fasfsfsdfsf">#REF!</definedName>
    <definedName name="fdfsdfsdfsdfsdfsd">#REF!</definedName>
    <definedName name="FDSDFSF" hidden="1">{#N/A,#N/A,FALSE,"Monthly SAIFI";#N/A,#N/A,FALSE,"Yearly SAIFI";#N/A,#N/A,FALSE,"Monthly CAIDI";#N/A,#N/A,FALSE,"Yearly CAIDI";#N/A,#N/A,FALSE,"Monthly SAIDI";#N/A,#N/A,FALSE,"Yearly SAIDI";#N/A,#N/A,FALSE,"Monthly MAIFI";#N/A,#N/A,FALSE,"Yearly MAIFI";#N/A,#N/A,FALSE,"Monthly Cust &gt;=4 Int"}</definedName>
    <definedName name="fdsfafs">#REF!</definedName>
    <definedName name="FEBRUARY">#REF!</definedName>
    <definedName name="FERC.ICC">#REF!</definedName>
    <definedName name="ff"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fff">#REF!</definedName>
    <definedName name="ffmbs">#REF!</definedName>
    <definedName name="fghjghjfgjf" hidden="1">{#N/A,#N/A,FALSE,"Monthly SAIFI";#N/A,#N/A,FALSE,"Yearly SAIFI";#N/A,#N/A,FALSE,"Monthly CAIDI";#N/A,#N/A,FALSE,"Yearly CAIDI";#N/A,#N/A,FALSE,"Monthly SAIDI";#N/A,#N/A,FALSE,"Yearly SAIDI";#N/A,#N/A,FALSE,"Monthly MAIFI";#N/A,#N/A,FALSE,"Yearly MAIFI";#N/A,#N/A,FALSE,"Monthly Cust &gt;=4 Int"}</definedName>
    <definedName name="fgsdfgdfgdfhdhdf">#REF!</definedName>
    <definedName name="Finance3">#REF!</definedName>
    <definedName name="FinanceOther">#REF!</definedName>
    <definedName name="FinDate">#REF!</definedName>
    <definedName name="findate2">#REF!</definedName>
    <definedName name="findate3">#REF!</definedName>
    <definedName name="FIT">#REF!</definedName>
    <definedName name="fjriesmd">#REF!</definedName>
    <definedName name="flap">#REF!</definedName>
    <definedName name="fmbs">#REF!</definedName>
    <definedName name="fnklsdfjklsgf">#REF!</definedName>
    <definedName name="Forecast">#REF!</definedName>
    <definedName name="fsafsfsaf">#REF!</definedName>
    <definedName name="fsdafasf" hidden="1">{#N/A,#N/A,FALSE,"Monthly SAIFI";#N/A,#N/A,FALSE,"Yearly SAIFI";#N/A,#N/A,FALSE,"Monthly CAIDI";#N/A,#N/A,FALSE,"Yearly CAIDI";#N/A,#N/A,FALSE,"Monthly SAIDI";#N/A,#N/A,FALSE,"Yearly SAIDI";#N/A,#N/A,FALSE,"Monthly MAIFI";#N/A,#N/A,FALSE,"Yearly MAIFI";#N/A,#N/A,FALSE,"Monthly Cust &gt;=4 Int"}</definedName>
    <definedName name="fsdf">#REF!</definedName>
    <definedName name="fsdfaf">#REF!</definedName>
    <definedName name="fsdfas">#REF!</definedName>
    <definedName name="fsdfsd">#REF!</definedName>
    <definedName name="fsdfsdfas">#REF!</definedName>
    <definedName name="fsdfsdfsfs">#REF!</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dfsfsf">#REF!</definedName>
    <definedName name="fsdfwer">#REF!</definedName>
    <definedName name="fsfsafkskfsf">#REF!</definedName>
    <definedName name="fsfsafs">#REF!</definedName>
    <definedName name="fsfsdfsafs">#REF!</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#REF!</definedName>
    <definedName name="Function">#REF!</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4D">#REF!</definedName>
    <definedName name="G">#REF!</definedName>
    <definedName name="GAM83M">#REF!</definedName>
    <definedName name="gatt">#REF!</definedName>
    <definedName name="gattmale">#REF!</definedName>
    <definedName name="gdfgdgdg">#REF!</definedName>
    <definedName name="gdfgsdfgsdfgsadf">#REF!</definedName>
    <definedName name="gdistrres">#REF!</definedName>
    <definedName name="gdistrupis">#REF!</definedName>
    <definedName name="GEN_INST">#REF!</definedName>
    <definedName name="GENERAL_HELP">#REF!</definedName>
    <definedName name="GenInput">#REF!</definedName>
    <definedName name="GenPay">#REF!</definedName>
    <definedName name="gfdfxdf">#REF!</definedName>
    <definedName name="gfdsgsdgfsd">#REF!</definedName>
    <definedName name="gfhfhfdhg">#REF!</definedName>
    <definedName name="gg">#REF!</definedName>
    <definedName name="ggg">#REF!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prodres">#REF!</definedName>
    <definedName name="gprodupis">#REF!</definedName>
    <definedName name="GR_PRT_RANGE">#REF!</definedName>
    <definedName name="GRAPH_SELECT">#REF!</definedName>
    <definedName name="GRAPH_TABLE">#REF!</definedName>
    <definedName name="grec8490">#REF!</definedName>
    <definedName name="grec8491">#REF!</definedName>
    <definedName name="grec8492">#REF!</definedName>
    <definedName name="grec8493">#REF!</definedName>
    <definedName name="grec8494">#REF!</definedName>
    <definedName name="grec8495">#REF!</definedName>
    <definedName name="grec8496">#REF!</definedName>
    <definedName name="grec8497">#REF!</definedName>
    <definedName name="grec8498">#REF!</definedName>
    <definedName name="grec8590">#REF!</definedName>
    <definedName name="grec8591">#REF!</definedName>
    <definedName name="grec8592">#REF!</definedName>
    <definedName name="grec8593">#REF!</definedName>
    <definedName name="grec8594">#REF!</definedName>
    <definedName name="grec8595">#REF!</definedName>
    <definedName name="grec8596">#REF!</definedName>
    <definedName name="grec8597">#REF!</definedName>
    <definedName name="grec8598">#REF!</definedName>
    <definedName name="grec8690">#REF!</definedName>
    <definedName name="grec8691">#REF!</definedName>
    <definedName name="grec8692">#REF!</definedName>
    <definedName name="grec8693">#REF!</definedName>
    <definedName name="grec8694">#REF!</definedName>
    <definedName name="grec8695">#REF!</definedName>
    <definedName name="grec8696">#REF!</definedName>
    <definedName name="grec8697">#REF!</definedName>
    <definedName name="grec8698">#REF!</definedName>
    <definedName name="grec8790">#REF!</definedName>
    <definedName name="grec8791">#REF!</definedName>
    <definedName name="grec8792">#REF!</definedName>
    <definedName name="grec8793">#REF!</definedName>
    <definedName name="grec8794">#REF!</definedName>
    <definedName name="grec8795">#REF!</definedName>
    <definedName name="grec8796">#REF!</definedName>
    <definedName name="grec8797">#REF!</definedName>
    <definedName name="grec8798">#REF!</definedName>
    <definedName name="grec8890">#REF!</definedName>
    <definedName name="grec8891">#REF!</definedName>
    <definedName name="grec8892">#REF!</definedName>
    <definedName name="grec8893">#REF!</definedName>
    <definedName name="grec8894">#REF!</definedName>
    <definedName name="grec8895">#REF!</definedName>
    <definedName name="grec8896">#REF!</definedName>
    <definedName name="grec8897">#REF!</definedName>
    <definedName name="grec8898">#REF!</definedName>
    <definedName name="gross_rec_caution">#REF!</definedName>
    <definedName name="GRS">#REF!</definedName>
    <definedName name="grtm1">#REF!</definedName>
    <definedName name="grtm2">#REF!</definedName>
    <definedName name="grtm3">#REF!</definedName>
    <definedName name="grtm4">#REF!</definedName>
    <definedName name="gtransres">#REF!</definedName>
    <definedName name="gtransupis">#REF!</definedName>
    <definedName name="GVKey">""</definedName>
    <definedName name="h" hidden="1">{#N/A,#N/A,FALSE,"Monthly SAIFI";#N/A,#N/A,FALSE,"Yearly SAIFI";#N/A,#N/A,FALSE,"Monthly CAIDI";#N/A,#N/A,FALSE,"Yearly CAIDI";#N/A,#N/A,FALSE,"Monthly SAIDI";#N/A,#N/A,FALSE,"Yearly SAIDI";#N/A,#N/A,FALSE,"Monthly MAIFI";#N/A,#N/A,FALSE,"Yearly MAIFI";#N/A,#N/A,FALSE,"Monthly Cust &gt;=4 Int"}</definedName>
    <definedName name="HELP_LOCATOR">#REF!</definedName>
    <definedName name="hh" hidden="1">{#N/A,#N/A,FALSE,"Monthly SAIFI";#N/A,#N/A,FALSE,"Yearly SAIFI";#N/A,#N/A,FALSE,"Monthly CAIDI";#N/A,#N/A,FALSE,"Yearly CAIDI";#N/A,#N/A,FALSE,"Monthly SAIDI";#N/A,#N/A,FALSE,"Yearly SAIDI";#N/A,#N/A,FALSE,"Monthly MAIFI";#N/A,#N/A,FALSE,"Yearly MAIFI";#N/A,#N/A,FALSE,"Monthly Cust &gt;=4 Int"}</definedName>
    <definedName name="hhifgfcgfcg">#REF!</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i">#REF!</definedName>
    <definedName name="IDN">#REF!</definedName>
    <definedName name="IL_AG_SRs">#REF!</definedName>
    <definedName name="ImplementDate">#REF!</definedName>
    <definedName name="Indirect">#REF!</definedName>
    <definedName name="INPUT">#N/A</definedName>
    <definedName name="INPUT1">#REF!</definedName>
    <definedName name="INPUT2">#REF!</definedName>
    <definedName name="INPUT3">#REF!</definedName>
    <definedName name="INSERTRANGE">#REF!</definedName>
    <definedName name="INST_MULT_CV">#REF!</definedName>
    <definedName name="INST_PMT_SCHED">#REF!</definedName>
    <definedName name="Instrat3">#REF!</definedName>
    <definedName name="INSTRUCT">#REF!</definedName>
    <definedName name="int.rate">#REF!</definedName>
    <definedName name="interest">#REF!</definedName>
    <definedName name="interestrate">#REF!</definedName>
    <definedName name="invdtrat">#REF!</definedName>
    <definedName name="InvNbr">#REF!</definedName>
    <definedName name="InvStrat">#REF!</definedName>
    <definedName name="InvStratif">#REF!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"XLL"</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39420.5644328704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T">#REF!</definedName>
    <definedName name="IT_VP_name">#REF!</definedName>
    <definedName name="ITBU">#REF!</definedName>
    <definedName name="item_data">#REF!</definedName>
    <definedName name="ITVP1">#REF!</definedName>
    <definedName name="ITVP2">#REF!</definedName>
    <definedName name="itvp5">#REF!</definedName>
    <definedName name="JANUARY">#REF!</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hyfesg">#REF!</definedName>
    <definedName name="John" hidden="1">{#N/A,#N/A,FALSE,"Monthly SAIFI";#N/A,#N/A,FALSE,"Yearly SAIFI";#N/A,#N/A,FALSE,"Monthly CAIDI";#N/A,#N/A,FALSE,"Yearly CAIDI";#N/A,#N/A,FALSE,"Monthly SAIDI";#N/A,#N/A,FALSE,"Yearly SAIDI";#N/A,#N/A,FALSE,"Monthly MAIFI";#N/A,#N/A,FALSE,"Yearly MAIFI";#N/A,#N/A,FALSE,"Monthly Cust &gt;=4 Int"}</definedName>
    <definedName name="Jul">#REF!</definedName>
    <definedName name="Jun">#REF!</definedName>
    <definedName name="JV_DETAIL">#REF!</definedName>
    <definedName name="k" hidden="1">{#N/A,#N/A,FALSE,"Monthly SAIFI";#N/A,#N/A,FALSE,"Yearly SAIFI";#N/A,#N/A,FALSE,"Monthly CAIDI";#N/A,#N/A,FALSE,"Yearly CAIDI";#N/A,#N/A,FALSE,"Monthly SAIDI";#N/A,#N/A,FALSE,"Yearly SAIDI";#N/A,#N/A,FALSE,"Monthly MAIFI";#N/A,#N/A,FALSE,"Yearly MAIFI";#N/A,#N/A,FALSE,"Monthly Cust &gt;=4 Int"}</definedName>
    <definedName name="ket_it">#REF!</definedName>
    <definedName name="Key_Stakeholder_Interface">#REF!</definedName>
    <definedName name="KeyE1" hidden="1">#REF!</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Labor01">#REF!</definedName>
    <definedName name="Labor02">#REF!</definedName>
    <definedName name="Labor03">#REF!</definedName>
    <definedName name="Labor04">#REF!</definedName>
    <definedName name="lastrow">#REF!</definedName>
    <definedName name="Line_No.">#REF!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NGBUDESCR">#REF!</definedName>
    <definedName name="LOOP_1">#REF!</definedName>
    <definedName name="LOOP_2">#REF!</definedName>
    <definedName name="LOOP_3">#REF!</definedName>
    <definedName name="loss">#REF!</definedName>
    <definedName name="LRP_Data">#REF!</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bal">#REF!</definedName>
    <definedName name="ltd.cost">#REF!</definedName>
    <definedName name="Macro3">#REF!</definedName>
    <definedName name="Macro4">#REF!</definedName>
    <definedName name="Macro5">#REF!</definedName>
    <definedName name="MACROS">#REF!</definedName>
    <definedName name="Mar">#REF!</definedName>
    <definedName name="May">#REF!</definedName>
    <definedName name="MEDICARE">#REF!</definedName>
    <definedName name="Meet_Cost_Commitments">#REF!</definedName>
    <definedName name="Meet_Production_Commitments">#REF!</definedName>
    <definedName name="mgmfeparg">#REF!</definedName>
    <definedName name="mmmtns">#REF!</definedName>
    <definedName name="mmtns">#REF!</definedName>
    <definedName name="MO_GAS_ACC">#REF!</definedName>
    <definedName name="MO_GAS_PMT">#REF!</definedName>
    <definedName name="modelgrheader">#REF!</definedName>
    <definedName name="modelqreheader">#REF!</definedName>
    <definedName name="MonAct">#REF!</definedName>
    <definedName name="MonBudVar">#REF!</definedName>
    <definedName name="money">#REF!</definedName>
    <definedName name="MonQtrVar">#REF!</definedName>
    <definedName name="Month">#REF!</definedName>
    <definedName name="MonthlyCFBUD">#REF!</definedName>
    <definedName name="MonthlyCFLE">#REF!</definedName>
    <definedName name="mtns">#REF!</definedName>
    <definedName name="mttns">#REF!</definedName>
    <definedName name="MULTCVDATA">#REF!</definedName>
    <definedName name="n">#REF!</definedName>
    <definedName name="NDCA">#REF!</definedName>
    <definedName name="ne">#REF!</definedName>
    <definedName name="new_98_IS">#REF!,#REF!,#REF!</definedName>
    <definedName name="New_99_IS">#REF!,#REF!,#REF!</definedName>
    <definedName name="New_BS">#REF!,#REF!,#REF!</definedName>
    <definedName name="NEXT_STEP">#REF!</definedName>
    <definedName name="NOILL">#REF!</definedName>
    <definedName name="NON_MED_NU">#REF!</definedName>
    <definedName name="NON_MED_U">#REF!</definedName>
    <definedName name="NON_UTIL">#REF!</definedName>
    <definedName name="NORTHEAST">#REF!</definedName>
    <definedName name="NORTHWEST">#REF!</definedName>
    <definedName name="Nov">#REF!</definedName>
    <definedName name="Nuclear">#REF!</definedName>
    <definedName name="NvsASD">"V2001-08-31"</definedName>
    <definedName name="NvsAutoDrillOk">"VN"</definedName>
    <definedName name="NvsElapsedTime">0.0000724537021596916</definedName>
    <definedName name="NvsEndTime">36817.4223792824</definedName>
    <definedName name="NvsInstSpec">"%,LACTUALS,SBAL,R,FACCOUNT,V275900,FBUSINESS_UNIT,V10200"</definedName>
    <definedName name="NvsLayoutType">"M3"</definedName>
    <definedName name="NvsNplSpec">"%,XZF.ACCOUNT.PSDetail"</definedName>
    <definedName name="NvsPanelEffdt">"V1995-01-01"</definedName>
    <definedName name="NvsPanelSetid">"VMFG"</definedName>
    <definedName name="NvsParentRef">#REF!</definedName>
    <definedName name="NvsReqBU">"V10200"</definedName>
    <definedName name="NvsReqBUOnly">"VN"</definedName>
    <definedName name="NvsTransLed">"VN"</definedName>
    <definedName name="NvsTreeASD">"V2001-08-31"</definedName>
    <definedName name="NvsValTbl.ACCOUNT">"GL_ACCOUNT_TBL"</definedName>
    <definedName name="NvsValTbl.BUSINESS_UNIT">"BUS_UNIT_TBL_GL"</definedName>
    <definedName name="NvsValTbl.CURRENCY_CD">"CURRENCY_CD_TBL"</definedName>
    <definedName name="OBRADR">#REF!</definedName>
    <definedName name="Oct">#REF!</definedName>
    <definedName name="OMA">#REF!</definedName>
    <definedName name="OMB">#REF!</definedName>
    <definedName name="OMD1E">#REF!</definedName>
    <definedName name="OMD2E">#REF!</definedName>
    <definedName name="OMExpenses">#REF!</definedName>
    <definedName name="one">#REF!,#REF!,#REF!</definedName>
    <definedName name="ONM">#REF!</definedName>
    <definedName name="ootherdebt">#REF!</definedName>
    <definedName name="Operational_Excellence_">#REF!</definedName>
    <definedName name="Operational_Execution_And_Safety">#REF!</definedName>
    <definedName name="OPR">#REF!</definedName>
    <definedName name="OtherDebt">#REF!</definedName>
    <definedName name="OtherFinal">#REF!</definedName>
    <definedName name="OtherFinalE">#REF!</definedName>
    <definedName name="page_one">#REF!</definedName>
    <definedName name="page_two">#REF!</definedName>
    <definedName name="PAGE1">#REF!</definedName>
    <definedName name="PAGE2">#REF!</definedName>
    <definedName name="PAGE2A">#REF!</definedName>
    <definedName name="PAGE3">#REF!</definedName>
    <definedName name="PAGE4">#REF!</definedName>
    <definedName name="PAGEA">#REF!</definedName>
    <definedName name="PAGEC">#REF!</definedName>
    <definedName name="PAGEE">#REF!</definedName>
    <definedName name="PD_CLAIMS_NSG1">#REF!</definedName>
    <definedName name="PD_CLAIMS_NSG2">#REF!</definedName>
    <definedName name="PD_CLAIMS_PGL1">#REF!</definedName>
    <definedName name="PD_CLAIMS_PGL2">#REF!</definedName>
    <definedName name="PD_CLAIMS_SUM">#REF!</definedName>
    <definedName name="pe">#REF!</definedName>
    <definedName name="PECO_LABS_FUELS_ALL">#REF!</definedName>
    <definedName name="peco1">#REF!</definedName>
    <definedName name="peco2">#REF!</definedName>
    <definedName name="pecobod45">#REF!</definedName>
    <definedName name="pecomfr3">#REF!</definedName>
    <definedName name="PER">#REF!</definedName>
    <definedName name="Perf_Ratings">#REF!</definedName>
    <definedName name="PGCOUNT">#REF!</definedName>
    <definedName name="pgm_pri1">#REF!</definedName>
    <definedName name="Phase">#REF!</definedName>
    <definedName name="PHASE_HELP">#REF!</definedName>
    <definedName name="PJFTable">#REF!</definedName>
    <definedName name="PJFTable2">#REF!</definedName>
    <definedName name="PLACE_HOLD">#REF!</definedName>
    <definedName name="plt1t">#REF!</definedName>
    <definedName name="plt2t">#REF!</definedName>
    <definedName name="PMTSCHEDULE">#REF!</definedName>
    <definedName name="PostDate">#REF!</definedName>
    <definedName name="PowerTeam">#REF!</definedName>
    <definedName name="ppstk">#REF!</definedName>
    <definedName name="prefstk.cost">#REF!</definedName>
    <definedName name="PREPAID_TAX">#REF!</definedName>
    <definedName name="Pri">#REF!</definedName>
    <definedName name="Print_98_IS">#REF!,#REF!,#REF!</definedName>
    <definedName name="Print_99_IS">#REF!,#REF!,#REF!</definedName>
    <definedName name="_xlnm.Print_Area" localSheetId="5">'MEEIA 3 adjs'!$A$1:$B$2</definedName>
    <definedName name="_xlnm.Print_Area" localSheetId="4">'MEEIA 3 calcs'!$A$1:$O$75</definedName>
    <definedName name="_xlnm.Print_Area" localSheetId="0">'MEEIA 4 calcs'!$A$1:$B$75</definedName>
    <definedName name="_xlnm.Print_Area">#REF!</definedName>
    <definedName name="Print_Area_MI">#REF!</definedName>
    <definedName name="Print_Area1">#REF!</definedName>
    <definedName name="Print_BS">#REF!,#REF!,#REF!</definedName>
    <definedName name="PRINT_SET_UP">#REF!</definedName>
    <definedName name="Print_TFI_use">#REF!,#REF!,#REF!</definedName>
    <definedName name="_xlnm.Print_Titles">#REF!,#REF!</definedName>
    <definedName name="PrintA">#REF!</definedName>
    <definedName name="PrintArea">#REF!</definedName>
    <definedName name="PRINTLOGO">#REF!</definedName>
    <definedName name="PRINTPRINTIT">#REF!</definedName>
    <definedName name="Prior">#REF!</definedName>
    <definedName name="PriorQTREnd">#REF!</definedName>
    <definedName name="PRNFILE">#REF!</definedName>
    <definedName name="prod04">#REF!</definedName>
    <definedName name="Profitability_">#REF!</definedName>
    <definedName name="proforma2">#REF!</definedName>
    <definedName name="Projects">#REF!</definedName>
    <definedName name="Property">#REF!</definedName>
    <definedName name="PropertyE">#REF!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tk.bal">#REF!</definedName>
    <definedName name="pstk.cost">#REF!</definedName>
    <definedName name="PY_ytd">#REF!</definedName>
    <definedName name="pymonth">#REF!</definedName>
    <definedName name="QES">#REF!</definedName>
    <definedName name="qq">#REF!</definedName>
    <definedName name="qqqq">#REF!</definedName>
    <definedName name="qre">#REF!</definedName>
    <definedName name="QRE_HELP">#REF!</definedName>
    <definedName name="QRE_MARGINS">#REF!</definedName>
    <definedName name="QRE_SUMMARY">#REF!</definedName>
    <definedName name="qsqe">#REF!</definedName>
    <definedName name="QuarterEndDate">#REF!</definedName>
    <definedName name="Range1">#REF!</definedName>
    <definedName name="Range10">#REF!</definedName>
    <definedName name="Range11">#REF!</definedName>
    <definedName name="Range12">#REF!</definedName>
    <definedName name="Range13">#REF!</definedName>
    <definedName name="Range14">#REF!</definedName>
    <definedName name="Range15">#REF!</definedName>
    <definedName name="Range16">#REF!</definedName>
    <definedName name="Range17">#REF!</definedName>
    <definedName name="Range18">#REF!</definedName>
    <definedName name="Range19">#REF!</definedName>
    <definedName name="Range2">#REF!</definedName>
    <definedName name="Range20">#REF!</definedName>
    <definedName name="Range21">#REF!</definedName>
    <definedName name="Range22">#REF!</definedName>
    <definedName name="Range23">#REF!</definedName>
    <definedName name="Range24">#REF!</definedName>
    <definedName name="Range25">#REF!</definedName>
    <definedName name="Range26">#REF!</definedName>
    <definedName name="Range27">#REF!</definedName>
    <definedName name="Range28">#REF!</definedName>
    <definedName name="Range29">#REF!</definedName>
    <definedName name="Range3">#REF!</definedName>
    <definedName name="Range30">#REF!</definedName>
    <definedName name="Range31">#REF!</definedName>
    <definedName name="Range32">#REF!</definedName>
    <definedName name="Range33">#REF!</definedName>
    <definedName name="Range34">#REF!</definedName>
    <definedName name="Range35">#REF!</definedName>
    <definedName name="Range36">#REF!</definedName>
    <definedName name="Range37">#REF!</definedName>
    <definedName name="Range38">#REF!</definedName>
    <definedName name="Range39">#REF!</definedName>
    <definedName name="Range4">#REF!</definedName>
    <definedName name="Range40">#REF!</definedName>
    <definedName name="Range41">#REF!</definedName>
    <definedName name="Range5">#REF!</definedName>
    <definedName name="Range6">#REF!</definedName>
    <definedName name="Range7">#REF!</definedName>
    <definedName name="Range8">#REF!</definedName>
    <definedName name="Range9">#REF!</definedName>
    <definedName name="Rate_Class">#REF!</definedName>
    <definedName name="rate_classE">#REF!</definedName>
    <definedName name="rate90">#REF!</definedName>
    <definedName name="rate91">#REF!</definedName>
    <definedName name="rate92">#REF!</definedName>
    <definedName name="rate93">#REF!</definedName>
    <definedName name="rate94">#REF!</definedName>
    <definedName name="rate95">#REF!</definedName>
    <definedName name="rate96">#REF!</definedName>
    <definedName name="rate97">#REF!</definedName>
    <definedName name="rate98">#REF!</definedName>
    <definedName name="rb2E">#REF!</definedName>
    <definedName name="RBD1E">#REF!</definedName>
    <definedName name="rbd2e">#REF!</definedName>
    <definedName name="rbnoyear">#REF!</definedName>
    <definedName name="rbtitle">#REF!</definedName>
    <definedName name="rbtitlee">#REF!</definedName>
    <definedName name="RBU">#REF!</definedName>
    <definedName name="rbwmoney">#REF!</definedName>
    <definedName name="reawreqw" hidden="1">{#N/A,#N/A,FALSE,"Monthly SAIFI";#N/A,#N/A,FALSE,"Yearly SAIFI";#N/A,#N/A,FALSE,"Monthly CAIDI";#N/A,#N/A,FALSE,"Yearly CAIDI";#N/A,#N/A,FALSE,"Monthly SAIDI";#N/A,#N/A,FALSE,"Yearly SAIDI";#N/A,#N/A,FALSE,"Monthly MAIFI";#N/A,#N/A,FALSE,"Yearly MAIFI";#N/A,#N/A,FALSE,"Monthly Cust &gt;=4 Int"}</definedName>
    <definedName name="REB1P1">#REF!</definedName>
    <definedName name="_xlnm.Recorder">#REF!</definedName>
    <definedName name="reduced_credit">#REF!</definedName>
    <definedName name="reduced_credit_caption">#REF!</definedName>
    <definedName name="Refresh_Report">#REF!</definedName>
    <definedName name="REPORT_SELECT">#REF!</definedName>
    <definedName name="REPORT_TABLE">#REF!</definedName>
    <definedName name="ReportingDate">#REF!</definedName>
    <definedName name="ReqDate">#REF!</definedName>
    <definedName name="RESET_SENS_FACT">#REF!</definedName>
    <definedName name="ResourceType">#REF!</definedName>
    <definedName name="RETURN">#REF!</definedName>
    <definedName name="RID">#REF!</definedName>
    <definedName name="RMC">#REF!</definedName>
    <definedName name="rmc2e">#REF!</definedName>
    <definedName name="ROA">#REF!</definedName>
    <definedName name="RoleMapColumn">#REF!</definedName>
    <definedName name="RoleMapRow">#REF!</definedName>
    <definedName name="RoleMapTable">#REF!</definedName>
    <definedName name="RtdEarnings">#REF!</definedName>
    <definedName name="rtdearningse">#REF!</definedName>
    <definedName name="RWOEstimates">#REF!</definedName>
    <definedName name="rwrw">#REF!</definedName>
    <definedName name="s">#REF!</definedName>
    <definedName name="saaaagd">#REF!</definedName>
    <definedName name="saaanghvi21">#REF!</definedName>
    <definedName name="safasdfsad">#REF!</definedName>
    <definedName name="Safety_Workforce_Eff_">#REF!</definedName>
    <definedName name="saff">#REF!</definedName>
    <definedName name="safsafs">#REF!</definedName>
    <definedName name="safsfsad">#REF!</definedName>
    <definedName name="safsgfsdf">#REF!</definedName>
    <definedName name="salkgasgs">#REF!</definedName>
    <definedName name="Sample">#REF!</definedName>
    <definedName name="Sample_2_VLookup">#REF!</definedName>
    <definedName name="Sample_VLookup">#REF!</definedName>
    <definedName name="Sample2">#REF!</definedName>
    <definedName name="sanahgsg">#REF!</definedName>
    <definedName name="sangg">#REF!</definedName>
    <definedName name="sangh">#REF!</definedName>
    <definedName name="sanghiii">#REF!</definedName>
    <definedName name="sanghvi">#REF!</definedName>
    <definedName name="sanghvi215">#REF!</definedName>
    <definedName name="sanghvi231">#REF!</definedName>
    <definedName name="sanghvi232">#REF!</definedName>
    <definedName name="sanghvi2323">#REF!</definedName>
    <definedName name="SAPBEXrevision" hidden="1">18</definedName>
    <definedName name="SAPBEXsysID" hidden="1">"BWP"</definedName>
    <definedName name="SAPBEXwbID" hidden="1">"3PHPFV8FO7PRQRDHFGKHVVOKV"</definedName>
    <definedName name="sasas">#REF!</definedName>
    <definedName name="saSAsa" hidden="1">{#N/A,#N/A,FALSE,"Monthly SAIFI";#N/A,#N/A,FALSE,"Yearly SAIFI";#N/A,#N/A,FALSE,"Monthly CAIDI";#N/A,#N/A,FALSE,"Yearly CAIDI";#N/A,#N/A,FALSE,"Monthly SAIDI";#N/A,#N/A,FALSE,"Yearly SAIDI";#N/A,#N/A,FALSE,"Monthly MAIFI";#N/A,#N/A,FALSE,"Yearly MAIFI";#N/A,#N/A,FALSE,"Monthly Cust &gt;=4 Int"}</definedName>
    <definedName name="sasg">#REF!</definedName>
    <definedName name="SBU_SHEET_HELP">#REF!</definedName>
    <definedName name="sch.A">#REF!</definedName>
    <definedName name="sch.b._FERC_ICC">#REF!</definedName>
    <definedName name="Schedule_CC1">#REF!</definedName>
    <definedName name="Schedule_CC2">#REF!</definedName>
    <definedName name="Schedule_CC3">#REF!</definedName>
    <definedName name="SCHUYLKILL">#REF!</definedName>
    <definedName name="sdajsadf">#REF!</definedName>
    <definedName name="sdasda">#REF!</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dfafsdf">#REF!</definedName>
    <definedName name="sdfafsd">#REF!</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asfasfasfsdf">#REF!</definedName>
    <definedName name="sdfasfsf">#REF!</definedName>
    <definedName name="sdfdfafaf">#REF!</definedName>
    <definedName name="sdfdfsf">#REF!</definedName>
    <definedName name="sdfds" hidden="1">{#N/A,#N/A,FALSE,"Monthly SAIFI";#N/A,#N/A,FALSE,"Yearly SAIFI";#N/A,#N/A,FALSE,"Monthly CAIDI";#N/A,#N/A,FALSE,"Yearly CAIDI";#N/A,#N/A,FALSE,"Monthly SAIDI";#N/A,#N/A,FALSE,"Yearly SAIDI";#N/A,#N/A,FALSE,"Monthly MAIFI";#N/A,#N/A,FALSE,"Yearly MAIFI";#N/A,#N/A,FALSE,"Monthly Cust &gt;=4 Int"}</definedName>
    <definedName name="sdffsfaf">#REF!</definedName>
    <definedName name="sdfsadfsf">#REF!</definedName>
    <definedName name="sdfsdfafasf">#REF!</definedName>
    <definedName name="sdfsdfdfdf">#REF!</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#REF!</definedName>
    <definedName name="sdfsdfsdasdfsd">#REF!</definedName>
    <definedName name="sdfsdfsdf">#REF!</definedName>
    <definedName name="sdfsdfsdfsdfsdf">#REF!</definedName>
    <definedName name="sdfsdfsfsa" hidden="1">{#N/A,#N/A,FALSE,"Monthly SAIFI";#N/A,#N/A,FALSE,"Yearly SAIFI";#N/A,#N/A,FALSE,"Monthly CAIDI";#N/A,#N/A,FALSE,"Yearly CAIDI";#N/A,#N/A,FALSE,"Monthly SAIDI";#N/A,#N/A,FALSE,"Yearly SAIDI";#N/A,#N/A,FALSE,"Monthly MAIFI";#N/A,#N/A,FALSE,"Yearly MAIFI";#N/A,#N/A,FALSE,"Monthly Cust &gt;=4 Int"}</definedName>
    <definedName name="sdfsf">#REF!</definedName>
    <definedName name="sdgf" hidden="1">#REF!</definedName>
    <definedName name="sdgrsdfsfsdsd">#REF!</definedName>
    <definedName name="sdsdsa">#REF!</definedName>
    <definedName name="sdsdsddsf">#REF!</definedName>
    <definedName name="sefasdfasdfsdf">#REF!</definedName>
    <definedName name="SendCk">#REF!</definedName>
    <definedName name="SendMC">#REF!</definedName>
    <definedName name="SENS_DATA_RTN">#REF!</definedName>
    <definedName name="SENS_MESSAGE">#REF!</definedName>
    <definedName name="SENS_NET_CREDIT">#REF!</definedName>
    <definedName name="Sep">#REF!</definedName>
    <definedName name="SERP">#REF!</definedName>
    <definedName name="sf">#REF!</definedName>
    <definedName name="SFDD">#REF!</definedName>
    <definedName name="sffsfa" hidden="1">{#N/A,#N/A,FALSE,"Monthly SAIFI";#N/A,#N/A,FALSE,"Yearly SAIFI";#N/A,#N/A,FALSE,"Monthly CAIDI";#N/A,#N/A,FALSE,"Yearly CAIDI";#N/A,#N/A,FALSE,"Monthly SAIDI";#N/A,#N/A,FALSE,"Yearly SAIDI";#N/A,#N/A,FALSE,"Monthly MAIFI";#N/A,#N/A,FALSE,"Yearly MAIFI";#N/A,#N/A,FALSE,"Monthly Cust &gt;=4 Int"}</definedName>
    <definedName name="sfsd">#REF!</definedName>
    <definedName name="sfsdfasf">#REF!</definedName>
    <definedName name="sfsdfsafsf">#REF!</definedName>
    <definedName name="sfsdfsdf">#REF!</definedName>
    <definedName name="sfsdfsfsfsd">#REF!</definedName>
    <definedName name="sfsf">#REF!</definedName>
    <definedName name="sfsfasfsdfsdf">#REF!</definedName>
    <definedName name="SFSFD" hidden="1">{#N/A,#N/A,FALSE,"Monthly SAIFI";#N/A,#N/A,FALSE,"Yearly SAIFI";#N/A,#N/A,FALSE,"Monthly CAIDI";#N/A,#N/A,FALSE,"Yearly CAIDI";#N/A,#N/A,FALSE,"Monthly SAIDI";#N/A,#N/A,FALSE,"Yearly SAIDI";#N/A,#N/A,FALSE,"Monthly MAIFI";#N/A,#N/A,FALSE,"Yearly MAIFI";#N/A,#N/A,FALSE,"Monthly Cust &gt;=4 Int"}</definedName>
    <definedName name="sfsfs">#REF!</definedName>
    <definedName name="sfsfsf">#REF!</definedName>
    <definedName name="sfsssr">#REF!</definedName>
    <definedName name="SFVD">#REF!</definedName>
    <definedName name="sgggggkjjkkj">#REF!</definedName>
    <definedName name="shedulecc1">#REF!</definedName>
    <definedName name="Sheet1" hidden="1">{#N/A,#N/A,FALSE,"Monthly SAIFI";#N/A,#N/A,FALSE,"Yearly SAIFI";#N/A,#N/A,FALSE,"Monthly CAIDI";#N/A,#N/A,FALSE,"Yearly CAIDI";#N/A,#N/A,FALSE,"Monthly SAIDI";#N/A,#N/A,FALSE,"Yearly SAIDI";#N/A,#N/A,FALSE,"Monthly MAIFI";#N/A,#N/A,FALSE,"Yearly MAIFI";#N/A,#N/A,FALSE,"Monthly Cust &gt;=4 Int"}</definedName>
    <definedName name="SIT">#REF!</definedName>
    <definedName name="SLA_Unit_Cost">#REF!</definedName>
    <definedName name="slldk" hidden="1">{#N/A,#N/A,FALSE,"Monthly SAIFI";#N/A,#N/A,FALSE,"Yearly SAIFI";#N/A,#N/A,FALSE,"Monthly CAIDI";#N/A,#N/A,FALSE,"Yearly CAIDI";#N/A,#N/A,FALSE,"Monthly SAIDI";#N/A,#N/A,FALSE,"Yearly SAIDI";#N/A,#N/A,FALSE,"Monthly MAIFI";#N/A,#N/A,FALSE,"Yearly MAIFI";#N/A,#N/A,FALSE,"Monthly Cust &gt;=4 Int"}</definedName>
    <definedName name="SMRPEast">#REF!</definedName>
    <definedName name="SMRPWest">#REF!</definedName>
    <definedName name="snfsdfs">#REF!</definedName>
    <definedName name="snghviw">#REF!</definedName>
    <definedName name="solver_adj" hidden="1">#REF!,#REF!,#REF!,#REF!,#REF!,#REF!,#REF!</definedName>
    <definedName name="solver_lin" hidden="1">0</definedName>
    <definedName name="solver_num" hidden="1">0</definedName>
    <definedName name="solver_tmp" hidden="1">#REF!,#REF!,#REF!,#REF!,#REF!,#REF!,#REF!</definedName>
    <definedName name="solver_typ" hidden="1">1</definedName>
    <definedName name="solver_val" hidden="1">0</definedName>
    <definedName name="SortE" hidden="1">#REF!</definedName>
    <definedName name="SOUTH">#REF!</definedName>
    <definedName name="SPSet">"current"</definedName>
    <definedName name="SPWS_WBID">"5212E8AE-A962-4131-8FBC-A40040E9ED32"</definedName>
    <definedName name="SR">#REF!</definedName>
    <definedName name="SR_To_Allocation_Lookup">#REF!</definedName>
    <definedName name="ss">#REF!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#REF!</definedName>
    <definedName name="start93">#REF!</definedName>
    <definedName name="start94">#REF!</definedName>
    <definedName name="start95">#REF!</definedName>
    <definedName name="start96">#REF!</definedName>
    <definedName name="start97">#REF!</definedName>
    <definedName name="start98">#REF!</definedName>
    <definedName name="StartDate">#REF!</definedName>
    <definedName name="startdate2">#REF!</definedName>
    <definedName name="startdte">#REF!</definedName>
    <definedName name="startdte4">#REF!</definedName>
    <definedName name="std.bal">#REF!</definedName>
    <definedName name="std.cwip.bal">#REF!</definedName>
    <definedName name="STM_ACC">#REF!</definedName>
    <definedName name="STM_PMT">#REF!</definedName>
    <definedName name="SUMMARY">#REF!</definedName>
    <definedName name="summary_caution">#REF!</definedName>
    <definedName name="Sx">#REF!</definedName>
    <definedName name="T">#REF!</definedName>
    <definedName name="TABLE">#REF!</definedName>
    <definedName name="TAX_EXP">#REF!</definedName>
    <definedName name="tblActivity_Key">#REF!</definedName>
    <definedName name="tblActivity_Key_OLD">#REF!</definedName>
    <definedName name="tblCharts">#REF!</definedName>
    <definedName name="tblHelp">#REF!</definedName>
    <definedName name="tblReports">#REF!</definedName>
    <definedName name="tblWorksheets">#REF!</definedName>
    <definedName name="td01e">#REF!</definedName>
    <definedName name="td02e">#REF!</definedName>
    <definedName name="td03e">#REF!</definedName>
    <definedName name="td04e">#REF!</definedName>
    <definedName name="tdg01e">#REF!</definedName>
    <definedName name="tdg02e">#REF!</definedName>
    <definedName name="tdg03e">#REF!</definedName>
    <definedName name="tdg04e">#REF!</definedName>
    <definedName name="TempInvDec">#REF!</definedName>
    <definedName name="tempinvdece">#REF!</definedName>
    <definedName name="TempInvSept">#REF!</definedName>
    <definedName name="temptinsepte">#REF!</definedName>
    <definedName name="TepmInv4thQtr">#REF!</definedName>
    <definedName name="tepminv4thqtre">#REF!</definedName>
    <definedName name="TEST">#REF!</definedName>
    <definedName name="three">#REF!,#REF!,#REF!</definedName>
    <definedName name="titlewomoney">#REF!</definedName>
    <definedName name="titlewomoneye">#REF!</definedName>
    <definedName name="TOT_CO_ACC">#REF!</definedName>
    <definedName name="TOT_CO_PMTS">#REF!</definedName>
    <definedName name="TOT_CO_PR_AC">#REF!</definedName>
    <definedName name="TOT_CO_PR_PMT">#REF!</definedName>
    <definedName name="Total">#REF!</definedName>
    <definedName name="TOTAL_AMT">#REF!</definedName>
    <definedName name="total84">#REF!</definedName>
    <definedName name="total85">#REF!</definedName>
    <definedName name="total86">#REF!</definedName>
    <definedName name="total87">#REF!</definedName>
    <definedName name="total88">#REF!</definedName>
    <definedName name="total89">#REF!</definedName>
    <definedName name="total90">#REF!</definedName>
    <definedName name="total91">#REF!</definedName>
    <definedName name="total92">#REF!</definedName>
    <definedName name="total93">#REF!</definedName>
    <definedName name="total94">#REF!</definedName>
    <definedName name="total95">#REF!</definedName>
    <definedName name="total96">#REF!</definedName>
    <definedName name="total97">#REF!</definedName>
    <definedName name="total98">#REF!</definedName>
    <definedName name="TOTALS">#REF!</definedName>
    <definedName name="totalse">#REF!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rans04">#REF!</definedName>
    <definedName name="Tree">#REF!</definedName>
    <definedName name="two">#REF!,#REF!,#REF!</definedName>
    <definedName name="TY">#REF!</definedName>
    <definedName name="TypeCost">#REF!</definedName>
    <definedName name="tyty" hidden="1">{#N/A,#N/A,FALSE,"Monthly SAIFI";#N/A,#N/A,FALSE,"Yearly SAIFI";#N/A,#N/A,FALSE,"Monthly CAIDI";#N/A,#N/A,FALSE,"Yearly CAIDI";#N/A,#N/A,FALSE,"Monthly SAIDI";#N/A,#N/A,FALSE,"Yearly SAIDI";#N/A,#N/A,FALSE,"Monthly MAIFI";#N/A,#N/A,FALSE,"Yearly MAIFI";#N/A,#N/A,FALSE,"Monthly Cust &gt;=4 Int"}</definedName>
    <definedName name="U">#REF!</definedName>
    <definedName name="UNANT">#REF!</definedName>
    <definedName name="UNBILLED">#REF!</definedName>
    <definedName name="unit">#REF!</definedName>
    <definedName name="unite">#REF!</definedName>
    <definedName name="units">#REF!</definedName>
    <definedName name="unitse">#REF!</definedName>
    <definedName name="UnknownProj">#REF!</definedName>
    <definedName name="UNT">#REF!</definedName>
    <definedName name="UTILRANGE">#REF!</definedName>
    <definedName name="ValuationYear">#REF!</definedName>
    <definedName name="vcbcvbcv" hidden="1">{#N/A,#N/A,FALSE,"Monthly SAIFI";#N/A,#N/A,FALSE,"Yearly SAIFI";#N/A,#N/A,FALSE,"Monthly CAIDI";#N/A,#N/A,FALSE,"Yearly CAIDI";#N/A,#N/A,FALSE,"Monthly SAIDI";#N/A,#N/A,FALSE,"Yearly SAIDI";#N/A,#N/A,FALSE,"Monthly MAIFI";#N/A,#N/A,FALSE,"Yearly MAIFI";#N/A,#N/A,FALSE,"Monthly Cust &gt;=4 Int"}</definedName>
    <definedName name="VndName">#REF!</definedName>
    <definedName name="vvv">#REF!</definedName>
    <definedName name="vxcvxc">#REF!</definedName>
    <definedName name="vxcvxcvx">#REF!</definedName>
    <definedName name="vxvxvxcvxc">#REF!</definedName>
    <definedName name="vxzvxcvxzcvxcv">#REF!</definedName>
    <definedName name="wearwerawer">#REF!</definedName>
    <definedName name="wer" hidden="1">{#N/A,#N/A,FALSE,"Monthly SAIFI";#N/A,#N/A,FALSE,"Yearly SAIFI";#N/A,#N/A,FALSE,"Monthly CAIDI";#N/A,#N/A,FALSE,"Yearly CAIDI";#N/A,#N/A,FALSE,"Monthly SAIDI";#N/A,#N/A,FALSE,"Yearly SAIDI";#N/A,#N/A,FALSE,"Monthly MAIFI";#N/A,#N/A,FALSE,"Yearly MAIFI";#N/A,#N/A,FALSE,"Monthly Cust &gt;=4 Int"}</definedName>
    <definedName name="werw3">#REF!</definedName>
    <definedName name="werwerwe">#REF!</definedName>
    <definedName name="WESTERN">#REF!</definedName>
    <definedName name="Workforce">#REF!</definedName>
    <definedName name="WPCUT">#REF!</definedName>
    <definedName name="wrn.Aging._.and._.Trend._.Analysis." hidden="1">{#N/A,#N/A,FALSE,"Aging Summary";#N/A,#N/A,FALSE,"Ratio Analysis";#N/A,#N/A,FALSE,"Test 120 Day Accts";#N/A,#N/A,FALSE,"Tickmarks"}</definedName>
    <definedName name="wrn.page1." hidden="1">{"page1",#N/A,FALSE,"260"}</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_D._.Tax._.Services." hidden="1">{#N/A,#N/A,FALSE,"R&amp;D Quick Calc";#N/A,#N/A,FALSE,"DOE Fee Schedule"}</definedName>
    <definedName name="ww">#REF!</definedName>
    <definedName name="wwww">#REF!</definedName>
    <definedName name="xcvxvx">#REF!</definedName>
    <definedName name="xvsdgsgfsf">#REF!</definedName>
    <definedName name="xvxvxzvxc">#REF!</definedName>
    <definedName name="xx">#REF!</definedName>
    <definedName name="xxx">#REF!</definedName>
    <definedName name="xxxx">#REF!</definedName>
    <definedName name="xzczczczxc">#REF!</definedName>
    <definedName name="y" hidden="1">{#N/A,#N/A,FALSE,"Monthly SAIFI";#N/A,#N/A,FALSE,"Yearly SAIFI";#N/A,#N/A,FALSE,"Monthly CAIDI";#N/A,#N/A,FALSE,"Yearly CAIDI";#N/A,#N/A,FALSE,"Monthly SAIDI";#N/A,#N/A,FALSE,"Yearly SAIDI";#N/A,#N/A,FALSE,"Monthly MAIFI";#N/A,#N/A,FALSE,"Yearly MAIFI";#N/A,#N/A,FALSE,"Monthly Cust &gt;=4 Int"}</definedName>
    <definedName name="YEAct">#REF!</definedName>
    <definedName name="Year">#REF!</definedName>
    <definedName name="YEBudVar">#REF!</definedName>
    <definedName name="YEQtrVar">#REF!</definedName>
    <definedName name="YesNo">#REF!</definedName>
    <definedName name="YORK_COUNTY">#REF!</definedName>
    <definedName name="yrtm1">#REF!</definedName>
    <definedName name="yrtm2">#REF!</definedName>
    <definedName name="yrtm3">#REF!</definedName>
    <definedName name="yrtm4">#REF!</definedName>
    <definedName name="yryryrr" hidden="1">{#N/A,#N/A,FALSE,"Monthly SAIFI";#N/A,#N/A,FALSE,"Yearly SAIFI";#N/A,#N/A,FALSE,"Monthly CAIDI";#N/A,#N/A,FALSE,"Yearly CAIDI";#N/A,#N/A,FALSE,"Monthly SAIDI";#N/A,#N/A,FALSE,"Yearly SAIDI";#N/A,#N/A,FALSE,"Monthly MAIFI";#N/A,#N/A,FALSE,"Yearly MAIFI";#N/A,#N/A,FALSE,"Monthly Cust &gt;=4 Int"}</definedName>
    <definedName name="YTDAct">#REF!</definedName>
    <definedName name="YTDBudVar">#REF!</definedName>
    <definedName name="YTDCFLE">#REF!</definedName>
    <definedName name="YTDQtrVar">#REF!</definedName>
    <definedName name="z" hidden="1">{#N/A,#N/A,FALSE,"Monthly SAIFI";#N/A,#N/A,FALSE,"Yearly SAIFI";#N/A,#N/A,FALSE,"Monthly CAIDI";#N/A,#N/A,FALSE,"Yearly CAIDI";#N/A,#N/A,FALSE,"Monthly SAIDI";#N/A,#N/A,FALSE,"Yearly SAIDI";#N/A,#N/A,FALSE,"Monthly MAIFI";#N/A,#N/A,FALSE,"Yearly MAIFI";#N/A,#N/A,FALSE,"Monthly Cust &gt;=4 Int"}</definedName>
    <definedName name="Zxczxczczc">#REF!</definedName>
    <definedName name="zxdc">#REF!</definedName>
    <definedName name="zz">#REF!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34" l="1"/>
  <c r="N6" i="34"/>
  <c r="P6" i="34"/>
  <c r="CI6" i="27"/>
  <c r="CJ6" i="27"/>
  <c r="CH6" i="27"/>
  <c r="CT27" i="28"/>
  <c r="CS27" i="28"/>
  <c r="CR27" i="28"/>
  <c r="CQ27" i="28"/>
  <c r="CP27" i="28"/>
  <c r="CO27" i="28"/>
  <c r="CN27" i="28"/>
  <c r="CM27" i="28"/>
  <c r="CL27" i="28"/>
  <c r="CK27" i="28"/>
  <c r="CJ27" i="28"/>
  <c r="CI27" i="28"/>
  <c r="CH27" i="28"/>
  <c r="CG27" i="28"/>
  <c r="CF27" i="28"/>
  <c r="CT26" i="28"/>
  <c r="CS26" i="28"/>
  <c r="CR26" i="28"/>
  <c r="CQ26" i="28"/>
  <c r="CP26" i="28"/>
  <c r="CO26" i="28"/>
  <c r="CN26" i="28"/>
  <c r="CM26" i="28"/>
  <c r="CL26" i="28"/>
  <c r="CK26" i="28"/>
  <c r="CJ26" i="28"/>
  <c r="CI26" i="28"/>
  <c r="CH26" i="28"/>
  <c r="CG26" i="28"/>
  <c r="CF26" i="28"/>
  <c r="CT25" i="28"/>
  <c r="CS25" i="28"/>
  <c r="CR25" i="28"/>
  <c r="CQ25" i="28"/>
  <c r="CP25" i="28"/>
  <c r="CO25" i="28"/>
  <c r="CN25" i="28"/>
  <c r="CM25" i="28"/>
  <c r="CL25" i="28"/>
  <c r="CK25" i="28"/>
  <c r="CJ25" i="28"/>
  <c r="CI25" i="28"/>
  <c r="CH25" i="28"/>
  <c r="CG25" i="28"/>
  <c r="CF25" i="28"/>
  <c r="CT24" i="28"/>
  <c r="CS24" i="28"/>
  <c r="CR24" i="28"/>
  <c r="CQ24" i="28"/>
  <c r="CP24" i="28"/>
  <c r="CO24" i="28"/>
  <c r="CN24" i="28"/>
  <c r="CM24" i="28"/>
  <c r="CL24" i="28"/>
  <c r="CK24" i="28"/>
  <c r="CJ24" i="28"/>
  <c r="CI24" i="28"/>
  <c r="CH24" i="28"/>
  <c r="CG24" i="28"/>
  <c r="CF24" i="28"/>
  <c r="CT23" i="28"/>
  <c r="CS23" i="28"/>
  <c r="CR23" i="28"/>
  <c r="CQ23" i="28"/>
  <c r="CP23" i="28"/>
  <c r="CO23" i="28"/>
  <c r="CN23" i="28"/>
  <c r="CM23" i="28"/>
  <c r="CL23" i="28"/>
  <c r="CK23" i="28"/>
  <c r="CJ23" i="28"/>
  <c r="CI23" i="28"/>
  <c r="CH23" i="28"/>
  <c r="CG23" i="28"/>
  <c r="CF23" i="28"/>
  <c r="AA27" i="36"/>
  <c r="Z27" i="36"/>
  <c r="Y27" i="36"/>
  <c r="X27" i="36"/>
  <c r="W27" i="36"/>
  <c r="V27" i="36"/>
  <c r="U27" i="36"/>
  <c r="T27" i="36"/>
  <c r="S27" i="36"/>
  <c r="R27" i="36"/>
  <c r="Q27" i="36"/>
  <c r="P27" i="36"/>
  <c r="O27" i="36"/>
  <c r="N27" i="36"/>
  <c r="M27" i="36"/>
  <c r="AA26" i="36"/>
  <c r="Z26" i="36"/>
  <c r="Y26" i="36"/>
  <c r="X26" i="36"/>
  <c r="W26" i="36"/>
  <c r="V26" i="36"/>
  <c r="U26" i="36"/>
  <c r="T26" i="36"/>
  <c r="S26" i="36"/>
  <c r="R26" i="36"/>
  <c r="Q26" i="36"/>
  <c r="P26" i="36"/>
  <c r="O26" i="36"/>
  <c r="N26" i="36"/>
  <c r="M26" i="36"/>
  <c r="AA25" i="36"/>
  <c r="Z25" i="36"/>
  <c r="Y25" i="36"/>
  <c r="X25" i="36"/>
  <c r="W25" i="36"/>
  <c r="V25" i="36"/>
  <c r="U25" i="36"/>
  <c r="T25" i="36"/>
  <c r="S25" i="36"/>
  <c r="R25" i="36"/>
  <c r="Q25" i="36"/>
  <c r="P25" i="36"/>
  <c r="O25" i="36"/>
  <c r="N25" i="36"/>
  <c r="M25" i="36"/>
  <c r="AA24" i="36"/>
  <c r="Z24" i="36"/>
  <c r="Y24" i="36"/>
  <c r="X24" i="36"/>
  <c r="W24" i="36"/>
  <c r="V24" i="36"/>
  <c r="U24" i="36"/>
  <c r="T24" i="36"/>
  <c r="S24" i="36"/>
  <c r="R24" i="36"/>
  <c r="Q24" i="36"/>
  <c r="P24" i="36"/>
  <c r="O24" i="36"/>
  <c r="N24" i="36"/>
  <c r="M24" i="36"/>
  <c r="AA23" i="36"/>
  <c r="Z23" i="36"/>
  <c r="Y23" i="36"/>
  <c r="X23" i="36"/>
  <c r="W23" i="36"/>
  <c r="V23" i="36"/>
  <c r="U23" i="36"/>
  <c r="T23" i="36"/>
  <c r="S23" i="36"/>
  <c r="R23" i="36"/>
  <c r="Q23" i="36"/>
  <c r="P23" i="36"/>
  <c r="O23" i="36"/>
  <c r="N23" i="36"/>
  <c r="M23" i="36"/>
  <c r="D73" i="36" l="1"/>
  <c r="E8" i="37"/>
  <c r="E7" i="37"/>
  <c r="BL6" i="30" l="1"/>
  <c r="BL8" i="30"/>
  <c r="AO89" i="27" l="1"/>
  <c r="AO93" i="27" l="1"/>
  <c r="P61" i="36"/>
  <c r="Q61" i="36"/>
  <c r="R61" i="36"/>
  <c r="S61" i="36"/>
  <c r="T61" i="36"/>
  <c r="U61" i="36"/>
  <c r="W61" i="36"/>
  <c r="X61" i="36"/>
  <c r="Y61" i="36"/>
  <c r="P62" i="36"/>
  <c r="Q62" i="36"/>
  <c r="R62" i="36"/>
  <c r="S62" i="36"/>
  <c r="T62" i="36"/>
  <c r="U62" i="36"/>
  <c r="V62" i="36"/>
  <c r="W62" i="36"/>
  <c r="X62" i="36"/>
  <c r="Y62" i="36"/>
  <c r="Z62" i="36"/>
  <c r="AA62" i="36"/>
  <c r="P63" i="36"/>
  <c r="Q63" i="36"/>
  <c r="R63" i="36"/>
  <c r="S63" i="36"/>
  <c r="T63" i="36"/>
  <c r="U63" i="36"/>
  <c r="W63" i="36"/>
  <c r="X63" i="36"/>
  <c r="Y63" i="36"/>
  <c r="Z63" i="36"/>
  <c r="P64" i="36"/>
  <c r="Q64" i="36"/>
  <c r="R64" i="36"/>
  <c r="S64" i="36"/>
  <c r="T64" i="36"/>
  <c r="U64" i="36"/>
  <c r="V64" i="36"/>
  <c r="W64" i="36"/>
  <c r="X64" i="36"/>
  <c r="Y64" i="36"/>
  <c r="Z64" i="36"/>
  <c r="AA64" i="36"/>
  <c r="Q65" i="36"/>
  <c r="R65" i="36"/>
  <c r="S65" i="36"/>
  <c r="T65" i="36"/>
  <c r="U65" i="36"/>
  <c r="V65" i="36"/>
  <c r="W65" i="36"/>
  <c r="X65" i="36"/>
  <c r="Y65" i="36"/>
  <c r="Z65" i="36"/>
  <c r="AA65" i="36"/>
  <c r="M6" i="36"/>
  <c r="M7" i="36"/>
  <c r="M8" i="36"/>
  <c r="M9" i="36"/>
  <c r="M10" i="36"/>
  <c r="M5" i="36"/>
  <c r="CE39" i="28"/>
  <c r="AA63" i="36"/>
  <c r="AA56" i="36"/>
  <c r="Z61" i="36"/>
  <c r="Z56" i="36"/>
  <c r="Y56" i="36"/>
  <c r="X56" i="36"/>
  <c r="W56" i="36"/>
  <c r="V63" i="36"/>
  <c r="V56" i="36"/>
  <c r="U56" i="36"/>
  <c r="T56" i="36"/>
  <c r="S56" i="36"/>
  <c r="R56" i="36"/>
  <c r="Q56" i="36"/>
  <c r="P56" i="36"/>
  <c r="M62" i="36" l="1"/>
  <c r="O65" i="36"/>
  <c r="N65" i="36"/>
  <c r="O63" i="36"/>
  <c r="O64" i="36"/>
  <c r="N63" i="36"/>
  <c r="O62" i="36"/>
  <c r="M61" i="36"/>
  <c r="N62" i="36"/>
  <c r="N64" i="36"/>
  <c r="M65" i="36"/>
  <c r="O61" i="36"/>
  <c r="M64" i="36"/>
  <c r="N61" i="36"/>
  <c r="M63" i="36"/>
  <c r="N10" i="36"/>
  <c r="O10" i="36" s="1"/>
  <c r="P10" i="36" s="1"/>
  <c r="Q10" i="36" s="1"/>
  <c r="R10" i="36" s="1"/>
  <c r="S10" i="36" s="1"/>
  <c r="T10" i="36" s="1"/>
  <c r="U10" i="36" s="1"/>
  <c r="V10" i="36" s="1"/>
  <c r="W10" i="36" s="1"/>
  <c r="X10" i="36" s="1"/>
  <c r="Y10" i="36" s="1"/>
  <c r="Z10" i="36" s="1"/>
  <c r="AA10" i="36" s="1"/>
  <c r="N7" i="36"/>
  <c r="O7" i="36" s="1"/>
  <c r="P7" i="36" s="1"/>
  <c r="Q7" i="36" s="1"/>
  <c r="R7" i="36" s="1"/>
  <c r="S7" i="36" s="1"/>
  <c r="T7" i="36" s="1"/>
  <c r="U7" i="36" s="1"/>
  <c r="V7" i="36" s="1"/>
  <c r="W7" i="36" s="1"/>
  <c r="X7" i="36" s="1"/>
  <c r="Y7" i="36" s="1"/>
  <c r="Z7" i="36" s="1"/>
  <c r="AA7" i="36" s="1"/>
  <c r="N5" i="36"/>
  <c r="O5" i="36" s="1"/>
  <c r="P5" i="36" s="1"/>
  <c r="V28" i="36"/>
  <c r="V35" i="36" s="1"/>
  <c r="N8" i="36"/>
  <c r="O8" i="36"/>
  <c r="P8" i="36" s="1"/>
  <c r="Q8" i="36" s="1"/>
  <c r="R8" i="36" s="1"/>
  <c r="S8" i="36" s="1"/>
  <c r="T8" i="36" s="1"/>
  <c r="U8" i="36" s="1"/>
  <c r="V8" i="36" s="1"/>
  <c r="W8" i="36" s="1"/>
  <c r="X8" i="36" s="1"/>
  <c r="Y8" i="36" s="1"/>
  <c r="Z8" i="36" s="1"/>
  <c r="AA8" i="36" s="1"/>
  <c r="N6" i="36"/>
  <c r="O6" i="36" s="1"/>
  <c r="P6" i="36" s="1"/>
  <c r="Q6" i="36" s="1"/>
  <c r="R6" i="36" s="1"/>
  <c r="S6" i="36" s="1"/>
  <c r="T6" i="36" s="1"/>
  <c r="U6" i="36" s="1"/>
  <c r="V6" i="36" s="1"/>
  <c r="W6" i="36" s="1"/>
  <c r="X6" i="36" s="1"/>
  <c r="Y6" i="36" s="1"/>
  <c r="Z6" i="36" s="1"/>
  <c r="AA6" i="36" s="1"/>
  <c r="P28" i="36"/>
  <c r="P33" i="36" s="1"/>
  <c r="V61" i="36"/>
  <c r="V66" i="36" s="1"/>
  <c r="V70" i="36" s="1"/>
  <c r="N28" i="36"/>
  <c r="N34" i="36" s="1"/>
  <c r="AA28" i="36"/>
  <c r="AA34" i="36" s="1"/>
  <c r="AA61" i="36"/>
  <c r="AA66" i="36" s="1"/>
  <c r="AA69" i="36" s="1"/>
  <c r="M11" i="36"/>
  <c r="N9" i="36"/>
  <c r="O9" i="36" s="1"/>
  <c r="P9" i="36" s="1"/>
  <c r="Q9" i="36" s="1"/>
  <c r="R9" i="36" s="1"/>
  <c r="S9" i="36" s="1"/>
  <c r="T9" i="36" s="1"/>
  <c r="U9" i="36" s="1"/>
  <c r="V9" i="36" s="1"/>
  <c r="W9" i="36" s="1"/>
  <c r="X9" i="36" s="1"/>
  <c r="Y9" i="36" s="1"/>
  <c r="Z9" i="36" s="1"/>
  <c r="AA9" i="36" s="1"/>
  <c r="S28" i="36"/>
  <c r="S35" i="36" s="1"/>
  <c r="T66" i="36"/>
  <c r="T69" i="36" s="1"/>
  <c r="X28" i="36"/>
  <c r="X31" i="36" s="1"/>
  <c r="R28" i="36"/>
  <c r="R31" i="36" s="1"/>
  <c r="U28" i="36"/>
  <c r="U34" i="36" s="1"/>
  <c r="P65" i="36"/>
  <c r="P66" i="36" s="1"/>
  <c r="P69" i="36" s="1"/>
  <c r="T28" i="36"/>
  <c r="T35" i="36" s="1"/>
  <c r="Q28" i="36"/>
  <c r="Q34" i="36" s="1"/>
  <c r="Z28" i="36"/>
  <c r="Z32" i="36" s="1"/>
  <c r="O28" i="36"/>
  <c r="O35" i="36" s="1"/>
  <c r="W28" i="36"/>
  <c r="W34" i="36" s="1"/>
  <c r="Y28" i="36"/>
  <c r="Y35" i="36" s="1"/>
  <c r="M28" i="36"/>
  <c r="M33" i="36" s="1"/>
  <c r="T73" i="36"/>
  <c r="T20" i="36"/>
  <c r="AA20" i="36"/>
  <c r="Z20" i="36"/>
  <c r="Z66" i="36"/>
  <c r="Z73" i="36" s="1"/>
  <c r="Y20" i="36"/>
  <c r="Y66" i="36"/>
  <c r="Y73" i="36" s="1"/>
  <c r="X69" i="36"/>
  <c r="X20" i="36"/>
  <c r="X66" i="36"/>
  <c r="X72" i="36" s="1"/>
  <c r="W20" i="36"/>
  <c r="W66" i="36"/>
  <c r="W69" i="36" s="1"/>
  <c r="V20" i="36"/>
  <c r="U20" i="36"/>
  <c r="U66" i="36"/>
  <c r="U69" i="36" s="1"/>
  <c r="T70" i="36"/>
  <c r="T71" i="36"/>
  <c r="T72" i="36"/>
  <c r="S20" i="36"/>
  <c r="S66" i="36"/>
  <c r="S69" i="36" s="1"/>
  <c r="R20" i="36"/>
  <c r="R66" i="36"/>
  <c r="R69" i="36" s="1"/>
  <c r="Q20" i="36"/>
  <c r="Q66" i="36"/>
  <c r="Q69" i="36" s="1"/>
  <c r="P20" i="36"/>
  <c r="O20" i="36"/>
  <c r="N20" i="36"/>
  <c r="M20" i="36"/>
  <c r="V34" i="36" l="1"/>
  <c r="N66" i="36"/>
  <c r="X34" i="36"/>
  <c r="O66" i="36"/>
  <c r="V32" i="36"/>
  <c r="M66" i="36"/>
  <c r="V33" i="36"/>
  <c r="V31" i="36"/>
  <c r="S31" i="36"/>
  <c r="W33" i="36"/>
  <c r="W32" i="36"/>
  <c r="Q32" i="36"/>
  <c r="T31" i="36"/>
  <c r="S32" i="36"/>
  <c r="P34" i="36"/>
  <c r="R32" i="36"/>
  <c r="AA35" i="36"/>
  <c r="AA32" i="36"/>
  <c r="P32" i="36"/>
  <c r="P31" i="36"/>
  <c r="N32" i="36"/>
  <c r="N35" i="36"/>
  <c r="AA31" i="36"/>
  <c r="R35" i="36"/>
  <c r="R34" i="36"/>
  <c r="N33" i="36"/>
  <c r="AA33" i="36"/>
  <c r="P35" i="36"/>
  <c r="X35" i="36"/>
  <c r="O33" i="36"/>
  <c r="X33" i="36"/>
  <c r="W35" i="36"/>
  <c r="N31" i="36"/>
  <c r="S34" i="36"/>
  <c r="O11" i="36"/>
  <c r="N11" i="36"/>
  <c r="S33" i="36"/>
  <c r="Y32" i="36"/>
  <c r="T32" i="36"/>
  <c r="Y34" i="36"/>
  <c r="X32" i="36"/>
  <c r="Q31" i="36"/>
  <c r="T33" i="36"/>
  <c r="Y31" i="36"/>
  <c r="O34" i="36"/>
  <c r="Q35" i="36"/>
  <c r="Z31" i="36"/>
  <c r="Z33" i="36"/>
  <c r="Q33" i="36"/>
  <c r="M32" i="36"/>
  <c r="Z34" i="36"/>
  <c r="W31" i="36"/>
  <c r="U35" i="36"/>
  <c r="Y33" i="36"/>
  <c r="U32" i="36"/>
  <c r="Z35" i="36"/>
  <c r="O32" i="36"/>
  <c r="O31" i="36"/>
  <c r="R33" i="36"/>
  <c r="U31" i="36"/>
  <c r="T34" i="36"/>
  <c r="U33" i="36"/>
  <c r="M35" i="36"/>
  <c r="M31" i="36"/>
  <c r="M34" i="36"/>
  <c r="P11" i="36"/>
  <c r="Q5" i="36"/>
  <c r="V69" i="36"/>
  <c r="V72" i="36"/>
  <c r="V71" i="36"/>
  <c r="T74" i="36"/>
  <c r="V73" i="36"/>
  <c r="Y72" i="36"/>
  <c r="U70" i="36"/>
  <c r="U72" i="36"/>
  <c r="U73" i="36"/>
  <c r="U71" i="36"/>
  <c r="AA73" i="36"/>
  <c r="AA72" i="36"/>
  <c r="AA71" i="36"/>
  <c r="AA70" i="36"/>
  <c r="Z70" i="36"/>
  <c r="Z69" i="36"/>
  <c r="Z72" i="36"/>
  <c r="Z71" i="36"/>
  <c r="Y71" i="36"/>
  <c r="Y70" i="36"/>
  <c r="Y69" i="36"/>
  <c r="X73" i="36"/>
  <c r="X71" i="36"/>
  <c r="X70" i="36"/>
  <c r="W73" i="36"/>
  <c r="W72" i="36"/>
  <c r="W71" i="36"/>
  <c r="W70" i="36"/>
  <c r="V36" i="36"/>
  <c r="S73" i="36"/>
  <c r="S72" i="36"/>
  <c r="S71" i="36"/>
  <c r="S70" i="36"/>
  <c r="R73" i="36"/>
  <c r="R72" i="36"/>
  <c r="R71" i="36"/>
  <c r="R70" i="36"/>
  <c r="Q73" i="36"/>
  <c r="Q72" i="36"/>
  <c r="Q71" i="36"/>
  <c r="Q70" i="36"/>
  <c r="P73" i="36"/>
  <c r="P72" i="36"/>
  <c r="P71" i="36"/>
  <c r="P70" i="36"/>
  <c r="X36" i="36" l="1"/>
  <c r="AA36" i="36"/>
  <c r="P36" i="36"/>
  <c r="P41" i="36"/>
  <c r="N36" i="36"/>
  <c r="S36" i="36"/>
  <c r="AA40" i="36"/>
  <c r="W36" i="36"/>
  <c r="Q36" i="36"/>
  <c r="Y36" i="36"/>
  <c r="P43" i="36"/>
  <c r="P39" i="36"/>
  <c r="T36" i="36"/>
  <c r="O36" i="36"/>
  <c r="P42" i="36"/>
  <c r="AA42" i="36"/>
  <c r="AA43" i="36"/>
  <c r="U36" i="36"/>
  <c r="AA39" i="36"/>
  <c r="AA41" i="36"/>
  <c r="P40" i="36"/>
  <c r="Z36" i="36"/>
  <c r="R36" i="36"/>
  <c r="M36" i="36"/>
  <c r="R5" i="36"/>
  <c r="Q11" i="36"/>
  <c r="V74" i="36"/>
  <c r="S74" i="36"/>
  <c r="X74" i="36"/>
  <c r="U74" i="36"/>
  <c r="Q74" i="36"/>
  <c r="W74" i="36"/>
  <c r="R74" i="36"/>
  <c r="Z74" i="36"/>
  <c r="P74" i="36"/>
  <c r="AA74" i="36"/>
  <c r="Y74" i="36"/>
  <c r="P44" i="36" l="1"/>
  <c r="AA44" i="36"/>
  <c r="R11" i="36"/>
  <c r="S5" i="36"/>
  <c r="S11" i="36" l="1"/>
  <c r="T5" i="36"/>
  <c r="T11" i="36" l="1"/>
  <c r="U5" i="36"/>
  <c r="U11" i="36" l="1"/>
  <c r="V5" i="36"/>
  <c r="W5" i="36" l="1"/>
  <c r="V11" i="36"/>
  <c r="W11" i="36" l="1"/>
  <c r="X5" i="36"/>
  <c r="Y5" i="36" l="1"/>
  <c r="X11" i="36"/>
  <c r="Z5" i="36" l="1"/>
  <c r="AA5" i="36" s="1"/>
  <c r="Y11" i="36"/>
  <c r="AA11" i="36" l="1"/>
  <c r="Z11" i="36"/>
  <c r="CF5" i="28" l="1"/>
  <c r="CT65" i="28"/>
  <c r="CT64" i="28"/>
  <c r="CT63" i="28"/>
  <c r="CT62" i="28"/>
  <c r="CT61" i="28"/>
  <c r="CT56" i="28"/>
  <c r="CT28" i="28"/>
  <c r="CS65" i="28"/>
  <c r="CS64" i="28"/>
  <c r="CS63" i="28"/>
  <c r="CS62" i="28"/>
  <c r="CS61" i="28"/>
  <c r="CS56" i="28"/>
  <c r="CS28" i="28"/>
  <c r="CR65" i="28"/>
  <c r="CR64" i="28"/>
  <c r="CR63" i="28"/>
  <c r="CR62" i="28"/>
  <c r="CR61" i="28"/>
  <c r="CR56" i="28"/>
  <c r="CR28" i="28"/>
  <c r="CQ65" i="28"/>
  <c r="CQ64" i="28"/>
  <c r="CQ63" i="28"/>
  <c r="CQ62" i="28"/>
  <c r="CQ61" i="28"/>
  <c r="CQ56" i="28"/>
  <c r="CQ28" i="28"/>
  <c r="CP65" i="28"/>
  <c r="CP64" i="28"/>
  <c r="CP63" i="28"/>
  <c r="CP62" i="28"/>
  <c r="CP61" i="28"/>
  <c r="CP56" i="28"/>
  <c r="CP28" i="28"/>
  <c r="CO65" i="28"/>
  <c r="CO64" i="28"/>
  <c r="CO63" i="28"/>
  <c r="CO62" i="28"/>
  <c r="CO61" i="28"/>
  <c r="CO56" i="28"/>
  <c r="CO28" i="28"/>
  <c r="CN65" i="28"/>
  <c r="CN64" i="28"/>
  <c r="CN63" i="28"/>
  <c r="CN62" i="28"/>
  <c r="CN61" i="28"/>
  <c r="CN56" i="28"/>
  <c r="CN28" i="28"/>
  <c r="CM65" i="28"/>
  <c r="CM64" i="28"/>
  <c r="CM63" i="28"/>
  <c r="CM62" i="28"/>
  <c r="CM61" i="28"/>
  <c r="CM56" i="28"/>
  <c r="CM28" i="28"/>
  <c r="CL65" i="28"/>
  <c r="CL64" i="28"/>
  <c r="CL63" i="28"/>
  <c r="CL62" i="28"/>
  <c r="CL61" i="28"/>
  <c r="CL56" i="28"/>
  <c r="CL28" i="28"/>
  <c r="CK65" i="28"/>
  <c r="CK64" i="28"/>
  <c r="CK63" i="28"/>
  <c r="CK62" i="28"/>
  <c r="CK61" i="28"/>
  <c r="CK56" i="28"/>
  <c r="CK28" i="28"/>
  <c r="CJ65" i="28"/>
  <c r="CJ64" i="28"/>
  <c r="CJ63" i="28"/>
  <c r="CJ62" i="28"/>
  <c r="CJ61" i="28"/>
  <c r="CJ56" i="28"/>
  <c r="CJ28" i="28"/>
  <c r="CI65" i="28"/>
  <c r="CI64" i="28"/>
  <c r="CI63" i="28"/>
  <c r="CI62" i="28"/>
  <c r="CI61" i="28"/>
  <c r="CI56" i="28"/>
  <c r="CI28" i="28"/>
  <c r="CH65" i="28"/>
  <c r="CH64" i="28"/>
  <c r="CH63" i="28"/>
  <c r="CH62" i="28"/>
  <c r="CH61" i="28"/>
  <c r="CH28" i="28"/>
  <c r="CG65" i="28"/>
  <c r="CG64" i="28"/>
  <c r="CG63" i="28"/>
  <c r="CG62" i="28"/>
  <c r="CG61" i="28"/>
  <c r="CG28" i="28"/>
  <c r="CF65" i="28"/>
  <c r="CF64" i="28"/>
  <c r="CF63" i="28"/>
  <c r="CF62" i="28"/>
  <c r="CF61" i="28"/>
  <c r="CF28" i="28"/>
  <c r="CF32" i="28" l="1"/>
  <c r="CT33" i="28"/>
  <c r="CT35" i="28"/>
  <c r="CT34" i="28"/>
  <c r="CI34" i="28"/>
  <c r="CN34" i="28"/>
  <c r="CK34" i="28"/>
  <c r="CK32" i="28"/>
  <c r="CK33" i="28"/>
  <c r="CL32" i="28"/>
  <c r="CL33" i="28"/>
  <c r="CQ34" i="28"/>
  <c r="CN35" i="28"/>
  <c r="CP31" i="28"/>
  <c r="CS31" i="28"/>
  <c r="CM31" i="28"/>
  <c r="CT32" i="28"/>
  <c r="CM32" i="28"/>
  <c r="CR34" i="28"/>
  <c r="CM33" i="28"/>
  <c r="CH31" i="28"/>
  <c r="CL31" i="28"/>
  <c r="CM34" i="28"/>
  <c r="CQ33" i="28"/>
  <c r="CS33" i="28"/>
  <c r="CO31" i="28"/>
  <c r="CT31" i="28"/>
  <c r="CT66" i="28"/>
  <c r="CS66" i="28"/>
  <c r="CS69" i="28" s="1"/>
  <c r="CR66" i="28"/>
  <c r="CR69" i="28" s="1"/>
  <c r="CQ66" i="28"/>
  <c r="CQ69" i="28" s="1"/>
  <c r="CP66" i="28"/>
  <c r="CP71" i="28" s="1"/>
  <c r="CO66" i="28"/>
  <c r="CO72" i="28" s="1"/>
  <c r="CN66" i="28"/>
  <c r="CN69" i="28" s="1"/>
  <c r="CM66" i="28"/>
  <c r="CM70" i="28" s="1"/>
  <c r="CL66" i="28"/>
  <c r="CL73" i="28" s="1"/>
  <c r="CK31" i="28"/>
  <c r="CK20" i="28"/>
  <c r="CK66" i="28"/>
  <c r="CK69" i="28" s="1"/>
  <c r="CJ66" i="28"/>
  <c r="CJ73" i="28" s="1"/>
  <c r="CI66" i="28"/>
  <c r="CI69" i="28" s="1"/>
  <c r="CH66" i="28"/>
  <c r="CG66" i="28"/>
  <c r="CF66" i="28"/>
  <c r="CH20" i="28" l="1"/>
  <c r="CI32" i="28"/>
  <c r="CI31" i="28"/>
  <c r="CJ35" i="28"/>
  <c r="CI33" i="28"/>
  <c r="CQ35" i="28"/>
  <c r="CR33" i="28"/>
  <c r="CN32" i="28"/>
  <c r="CQ31" i="28"/>
  <c r="CG34" i="28"/>
  <c r="CM35" i="28"/>
  <c r="CM36" i="28" s="1"/>
  <c r="CL34" i="28"/>
  <c r="CR31" i="28"/>
  <c r="CL35" i="28"/>
  <c r="CQ32" i="28"/>
  <c r="CI35" i="28"/>
  <c r="CO34" i="28"/>
  <c r="CJ31" i="28"/>
  <c r="CN31" i="28"/>
  <c r="CL20" i="28"/>
  <c r="CH33" i="28"/>
  <c r="CH32" i="28"/>
  <c r="CS20" i="28"/>
  <c r="CS32" i="28"/>
  <c r="CR32" i="28"/>
  <c r="CK35" i="28"/>
  <c r="CK36" i="28" s="1"/>
  <c r="CH34" i="28"/>
  <c r="CN33" i="28"/>
  <c r="CR35" i="28"/>
  <c r="CP35" i="28"/>
  <c r="CP20" i="28"/>
  <c r="CP33" i="28"/>
  <c r="CT36" i="28"/>
  <c r="CJ33" i="28"/>
  <c r="CP32" i="28"/>
  <c r="CS35" i="28"/>
  <c r="CJ20" i="28"/>
  <c r="CM20" i="28"/>
  <c r="CO33" i="28"/>
  <c r="CJ32" i="28"/>
  <c r="CG35" i="28"/>
  <c r="CO35" i="28"/>
  <c r="CG33" i="28"/>
  <c r="CH35" i="28"/>
  <c r="CO32" i="28"/>
  <c r="CP34" i="28"/>
  <c r="CS34" i="28"/>
  <c r="CJ34" i="28"/>
  <c r="CI20" i="28"/>
  <c r="CG32" i="28"/>
  <c r="CT20" i="28"/>
  <c r="CJ69" i="28"/>
  <c r="CM69" i="28"/>
  <c r="CN20" i="28"/>
  <c r="CQ20" i="28"/>
  <c r="CQ71" i="28"/>
  <c r="CR20" i="28"/>
  <c r="CO20" i="28"/>
  <c r="CT72" i="28"/>
  <c r="CT73" i="28"/>
  <c r="CT71" i="28"/>
  <c r="CT70" i="28"/>
  <c r="CT69" i="28"/>
  <c r="CS73" i="28"/>
  <c r="CS72" i="28"/>
  <c r="CS71" i="28"/>
  <c r="CS70" i="28"/>
  <c r="CR73" i="28"/>
  <c r="CR72" i="28"/>
  <c r="CR70" i="28"/>
  <c r="CR71" i="28"/>
  <c r="CQ73" i="28"/>
  <c r="CQ72" i="28"/>
  <c r="CQ70" i="28"/>
  <c r="CP73" i="28"/>
  <c r="CP70" i="28"/>
  <c r="CP69" i="28"/>
  <c r="CP72" i="28"/>
  <c r="CO69" i="28"/>
  <c r="CO71" i="28"/>
  <c r="CO70" i="28"/>
  <c r="CO73" i="28"/>
  <c r="CN73" i="28"/>
  <c r="CN72" i="28"/>
  <c r="CN71" i="28"/>
  <c r="CN70" i="28"/>
  <c r="CM73" i="28"/>
  <c r="CM72" i="28"/>
  <c r="CM71" i="28"/>
  <c r="CL72" i="28"/>
  <c r="CL70" i="28"/>
  <c r="CL69" i="28"/>
  <c r="CL71" i="28"/>
  <c r="CK72" i="28"/>
  <c r="CK71" i="28"/>
  <c r="CK73" i="28"/>
  <c r="CK70" i="28"/>
  <c r="CJ72" i="28"/>
  <c r="CJ70" i="28"/>
  <c r="CJ71" i="28"/>
  <c r="CI73" i="28"/>
  <c r="CI72" i="28"/>
  <c r="CI71" i="28"/>
  <c r="CI70" i="28"/>
  <c r="CS42" i="28" l="1"/>
  <c r="CQ36" i="28"/>
  <c r="CS39" i="28"/>
  <c r="CS41" i="28"/>
  <c r="CS43" i="28"/>
  <c r="CS40" i="28"/>
  <c r="CS36" i="28"/>
  <c r="CP36" i="28"/>
  <c r="CT74" i="28"/>
  <c r="CN74" i="28"/>
  <c r="CR36" i="28"/>
  <c r="CN36" i="28"/>
  <c r="CL36" i="28"/>
  <c r="CI36" i="28"/>
  <c r="CH36" i="28"/>
  <c r="CJ36" i="28"/>
  <c r="CO36" i="28"/>
  <c r="CM74" i="28"/>
  <c r="CJ74" i="28"/>
  <c r="CR74" i="28"/>
  <c r="CQ74" i="28"/>
  <c r="CK74" i="28"/>
  <c r="CI74" i="28"/>
  <c r="CS74" i="28"/>
  <c r="CP74" i="28"/>
  <c r="CO74" i="28"/>
  <c r="CL74" i="28"/>
  <c r="CS44" i="28" l="1"/>
  <c r="CJ85" i="27"/>
  <c r="CI85" i="27"/>
  <c r="CH85" i="27"/>
  <c r="P87" i="34"/>
  <c r="P88" i="34" s="1"/>
  <c r="P78" i="34"/>
  <c r="P67" i="34"/>
  <c r="P57" i="34"/>
  <c r="P47" i="34"/>
  <c r="P37" i="34"/>
  <c r="P27" i="34"/>
  <c r="O87" i="34"/>
  <c r="O88" i="34" s="1"/>
  <c r="O78" i="34"/>
  <c r="O67" i="34"/>
  <c r="O57" i="34"/>
  <c r="O47" i="34"/>
  <c r="O37" i="34"/>
  <c r="O27" i="34"/>
  <c r="N87" i="34"/>
  <c r="N88" i="34" s="1"/>
  <c r="N89" i="34" s="1"/>
  <c r="N78" i="34"/>
  <c r="N79" i="34" s="1"/>
  <c r="N67" i="34"/>
  <c r="N57" i="34"/>
  <c r="N47" i="34"/>
  <c r="N37" i="34"/>
  <c r="N27" i="34"/>
  <c r="BL36" i="30"/>
  <c r="BL29" i="30"/>
  <c r="BL22" i="30"/>
  <c r="BL15" i="30"/>
  <c r="P16" i="34" l="1"/>
  <c r="O16" i="34"/>
  <c r="N16" i="34"/>
  <c r="N81" i="34"/>
  <c r="N82" i="34" s="1"/>
  <c r="N80" i="34"/>
  <c r="N91" i="34"/>
  <c r="N92" i="34" s="1"/>
  <c r="O89" i="34" s="1"/>
  <c r="N90" i="34"/>
  <c r="N93" i="34"/>
  <c r="M6" i="34"/>
  <c r="CE10" i="28"/>
  <c r="CF10" i="28" s="1"/>
  <c r="CG10" i="28" s="1"/>
  <c r="CH10" i="28" s="1"/>
  <c r="CI10" i="28" s="1"/>
  <c r="CJ10" i="28" s="1"/>
  <c r="CK10" i="28" s="1"/>
  <c r="CL10" i="28" s="1"/>
  <c r="CM10" i="28" s="1"/>
  <c r="CN10" i="28" s="1"/>
  <c r="CO10" i="28" s="1"/>
  <c r="CP10" i="28" s="1"/>
  <c r="CQ10" i="28" s="1"/>
  <c r="CR10" i="28" s="1"/>
  <c r="CS10" i="28" s="1"/>
  <c r="CT10" i="28" s="1"/>
  <c r="CE9" i="28"/>
  <c r="CE8" i="28"/>
  <c r="CE7" i="28"/>
  <c r="CE6" i="28"/>
  <c r="CE5" i="28"/>
  <c r="CG5" i="28" s="1"/>
  <c r="O93" i="34" l="1"/>
  <c r="O91" i="34"/>
  <c r="O92" i="34" s="1"/>
  <c r="P89" i="34" s="1"/>
  <c r="P91" i="34" s="1"/>
  <c r="P92" i="34" s="1"/>
  <c r="O90" i="34"/>
  <c r="P90" i="34" s="1"/>
  <c r="O79" i="34"/>
  <c r="CF6" i="28"/>
  <c r="CG6" i="28" s="1"/>
  <c r="CH5" i="28"/>
  <c r="CF33" i="28"/>
  <c r="CF7" i="28"/>
  <c r="CG7" i="28" s="1"/>
  <c r="CF34" i="28"/>
  <c r="CF8" i="28"/>
  <c r="CG8" i="28" s="1"/>
  <c r="CF35" i="28"/>
  <c r="CF9" i="28"/>
  <c r="CG9" i="28" s="1"/>
  <c r="CE65" i="28"/>
  <c r="CE64" i="28"/>
  <c r="CE63" i="28"/>
  <c r="CE62" i="28"/>
  <c r="CE61" i="28"/>
  <c r="CE56" i="28"/>
  <c r="CE28" i="28"/>
  <c r="CG85" i="27"/>
  <c r="CG87" i="27" s="1"/>
  <c r="CG88" i="27" s="1"/>
  <c r="CG78" i="27"/>
  <c r="CG8" i="27"/>
  <c r="M31" i="37"/>
  <c r="M24" i="37"/>
  <c r="M17" i="37"/>
  <c r="M10" i="37"/>
  <c r="M3" i="37"/>
  <c r="L65" i="36"/>
  <c r="L64" i="36"/>
  <c r="L63" i="36"/>
  <c r="L62" i="36"/>
  <c r="L61" i="36"/>
  <c r="L56" i="36"/>
  <c r="L28" i="36"/>
  <c r="L19" i="36"/>
  <c r="L18" i="36"/>
  <c r="L17" i="36"/>
  <c r="L16" i="36"/>
  <c r="L15" i="36"/>
  <c r="L14" i="36"/>
  <c r="L11" i="36"/>
  <c r="M8" i="34"/>
  <c r="M85" i="34"/>
  <c r="M87" i="34" s="1"/>
  <c r="M88" i="34" s="1"/>
  <c r="M89" i="34" s="1"/>
  <c r="M93" i="34" s="1"/>
  <c r="M78" i="34"/>
  <c r="M79" i="34" s="1"/>
  <c r="P93" i="34" l="1"/>
  <c r="O81" i="34"/>
  <c r="O82" i="34" s="1"/>
  <c r="O80" i="34"/>
  <c r="CH67" i="27"/>
  <c r="CH43" i="28"/>
  <c r="CH57" i="27"/>
  <c r="CH42" i="28"/>
  <c r="CH9" i="28"/>
  <c r="CI67" i="27"/>
  <c r="CH7" i="28"/>
  <c r="CI47" i="27"/>
  <c r="CH47" i="27"/>
  <c r="CH41" i="28"/>
  <c r="CG11" i="28"/>
  <c r="CI5" i="28"/>
  <c r="CJ27" i="27"/>
  <c r="CH8" i="28"/>
  <c r="CI57" i="27"/>
  <c r="CH6" i="28"/>
  <c r="CI37" i="27"/>
  <c r="CH37" i="27"/>
  <c r="CH40" i="28"/>
  <c r="L35" i="36"/>
  <c r="L31" i="36"/>
  <c r="L34" i="36"/>
  <c r="L32" i="36"/>
  <c r="L33" i="36"/>
  <c r="CE11" i="28"/>
  <c r="CE66" i="28"/>
  <c r="CE69" i="28" s="1"/>
  <c r="L20" i="36"/>
  <c r="L66" i="36"/>
  <c r="L71" i="36" s="1"/>
  <c r="M48" i="34" s="1"/>
  <c r="M81" i="34"/>
  <c r="M82" i="34" s="1"/>
  <c r="M80" i="34"/>
  <c r="M91" i="34"/>
  <c r="M92" i="34" s="1"/>
  <c r="M90" i="34"/>
  <c r="L6" i="34"/>
  <c r="M47" i="34" l="1"/>
  <c r="M41" i="36"/>
  <c r="M37" i="34"/>
  <c r="M40" i="36"/>
  <c r="M57" i="34"/>
  <c r="M42" i="36"/>
  <c r="M27" i="34"/>
  <c r="M39" i="36"/>
  <c r="M67" i="34"/>
  <c r="M43" i="36"/>
  <c r="P79" i="34"/>
  <c r="P81" i="34" s="1"/>
  <c r="P82" i="34" s="1"/>
  <c r="CI6" i="28"/>
  <c r="CJ6" i="28" s="1"/>
  <c r="CK6" i="28" s="1"/>
  <c r="CL6" i="28" s="1"/>
  <c r="CM6" i="28" s="1"/>
  <c r="CN6" i="28" s="1"/>
  <c r="CO6" i="28" s="1"/>
  <c r="CP6" i="28" s="1"/>
  <c r="CQ6" i="28" s="1"/>
  <c r="CR6" i="28" s="1"/>
  <c r="CS6" i="28" s="1"/>
  <c r="CT6" i="28" s="1"/>
  <c r="CJ37" i="27"/>
  <c r="CI8" i="28"/>
  <c r="CJ8" i="28" s="1"/>
  <c r="CK8" i="28" s="1"/>
  <c r="CL8" i="28" s="1"/>
  <c r="CM8" i="28" s="1"/>
  <c r="CN8" i="28" s="1"/>
  <c r="CO8" i="28" s="1"/>
  <c r="CP8" i="28" s="1"/>
  <c r="CQ8" i="28" s="1"/>
  <c r="CR8" i="28" s="1"/>
  <c r="CS8" i="28" s="1"/>
  <c r="CT8" i="28" s="1"/>
  <c r="CJ57" i="27"/>
  <c r="CH11" i="28"/>
  <c r="CJ5" i="28"/>
  <c r="CI9" i="28"/>
  <c r="CJ9" i="28" s="1"/>
  <c r="CK9" i="28" s="1"/>
  <c r="CL9" i="28" s="1"/>
  <c r="CM9" i="28" s="1"/>
  <c r="CN9" i="28" s="1"/>
  <c r="CO9" i="28" s="1"/>
  <c r="CP9" i="28" s="1"/>
  <c r="CQ9" i="28" s="1"/>
  <c r="CR9" i="28" s="1"/>
  <c r="CS9" i="28" s="1"/>
  <c r="CT9" i="28" s="1"/>
  <c r="CJ67" i="27"/>
  <c r="CI7" i="28"/>
  <c r="CJ7" i="28" s="1"/>
  <c r="CK7" i="28" s="1"/>
  <c r="CL7" i="28" s="1"/>
  <c r="CM7" i="28" s="1"/>
  <c r="CN7" i="28" s="1"/>
  <c r="CO7" i="28" s="1"/>
  <c r="CP7" i="28" s="1"/>
  <c r="CQ7" i="28" s="1"/>
  <c r="CR7" i="28" s="1"/>
  <c r="CS7" i="28" s="1"/>
  <c r="CT7" i="28" s="1"/>
  <c r="CJ47" i="27"/>
  <c r="L36" i="36"/>
  <c r="M44" i="36" s="1"/>
  <c r="L70" i="36"/>
  <c r="M38" i="34" s="1"/>
  <c r="CG28" i="27"/>
  <c r="CG29" i="27" s="1"/>
  <c r="CG30" i="27" s="1"/>
  <c r="CE73" i="28"/>
  <c r="CG68" i="27" s="1"/>
  <c r="CE72" i="28"/>
  <c r="CG58" i="27" s="1"/>
  <c r="CG59" i="27" s="1"/>
  <c r="CG60" i="27" s="1"/>
  <c r="CE71" i="28"/>
  <c r="CG48" i="27" s="1"/>
  <c r="CG49" i="27" s="1"/>
  <c r="CG50" i="27" s="1"/>
  <c r="CE70" i="28"/>
  <c r="CG38" i="27" s="1"/>
  <c r="CG39" i="27" s="1"/>
  <c r="CG40" i="27" s="1"/>
  <c r="L72" i="36"/>
  <c r="M58" i="34" s="1"/>
  <c r="L73" i="36"/>
  <c r="M68" i="34" s="1"/>
  <c r="L69" i="36"/>
  <c r="CD10" i="28"/>
  <c r="CE19" i="28" s="1"/>
  <c r="CD9" i="28"/>
  <c r="CE18" i="28" s="1"/>
  <c r="CD8" i="28"/>
  <c r="CE17" i="28" s="1"/>
  <c r="CD7" i="28"/>
  <c r="CE16" i="28" s="1"/>
  <c r="CD6" i="28"/>
  <c r="CE15" i="28" s="1"/>
  <c r="CD5" i="28"/>
  <c r="CE14" i="28" s="1"/>
  <c r="M16" i="34" l="1"/>
  <c r="P80" i="34"/>
  <c r="CJ16" i="27"/>
  <c r="CE31" i="28"/>
  <c r="CK5" i="28"/>
  <c r="CJ11" i="28"/>
  <c r="CI11" i="28"/>
  <c r="CE32" i="28"/>
  <c r="CG37" i="27" s="1"/>
  <c r="CG41" i="27" s="1"/>
  <c r="CE33" i="28"/>
  <c r="CG47" i="27" s="1"/>
  <c r="CG51" i="27" s="1"/>
  <c r="CE34" i="28"/>
  <c r="CG57" i="27" s="1"/>
  <c r="CG61" i="27" s="1"/>
  <c r="CE35" i="28"/>
  <c r="CG67" i="27" s="1"/>
  <c r="CE20" i="28"/>
  <c r="CG69" i="27"/>
  <c r="CG17" i="27"/>
  <c r="CG27" i="27"/>
  <c r="CE74" i="28"/>
  <c r="M28" i="34"/>
  <c r="L74" i="36"/>
  <c r="CD65" i="28"/>
  <c r="CD64" i="28"/>
  <c r="CD63" i="28"/>
  <c r="CD62" i="28"/>
  <c r="CD61" i="28"/>
  <c r="CD56" i="28"/>
  <c r="CD28" i="28"/>
  <c r="CF87" i="27"/>
  <c r="CF88" i="27" s="1"/>
  <c r="CF85" i="27"/>
  <c r="CF78" i="27"/>
  <c r="CF8" i="27"/>
  <c r="L31" i="37"/>
  <c r="L24" i="37"/>
  <c r="L17" i="37"/>
  <c r="L10" i="37"/>
  <c r="L3" i="37"/>
  <c r="K65" i="36"/>
  <c r="K64" i="36"/>
  <c r="K63" i="36"/>
  <c r="K62" i="36"/>
  <c r="K61" i="36"/>
  <c r="K56" i="36"/>
  <c r="K28" i="36"/>
  <c r="K19" i="36"/>
  <c r="L85" i="34"/>
  <c r="L87" i="34" s="1"/>
  <c r="L88" i="34" s="1"/>
  <c r="L89" i="34" s="1"/>
  <c r="L93" i="34" s="1"/>
  <c r="L78" i="34"/>
  <c r="L79" i="34" s="1"/>
  <c r="L8" i="34"/>
  <c r="J10" i="36"/>
  <c r="J9" i="36"/>
  <c r="K18" i="36" s="1"/>
  <c r="J8" i="36"/>
  <c r="K17" i="36" s="1"/>
  <c r="J7" i="36"/>
  <c r="K16" i="36" s="1"/>
  <c r="J6" i="36"/>
  <c r="K15" i="36" s="1"/>
  <c r="J5" i="36"/>
  <c r="CG16" i="27" l="1"/>
  <c r="CE36" i="28"/>
  <c r="CL5" i="28"/>
  <c r="CK11" i="28"/>
  <c r="K32" i="36"/>
  <c r="L37" i="34" s="1"/>
  <c r="M17" i="34"/>
  <c r="CD66" i="28"/>
  <c r="CD73" i="28" s="1"/>
  <c r="CF68" i="27" s="1"/>
  <c r="CF69" i="27" s="1"/>
  <c r="CG31" i="27"/>
  <c r="CG70" i="27"/>
  <c r="CG18" i="27"/>
  <c r="K35" i="36"/>
  <c r="L67" i="34" s="1"/>
  <c r="K33" i="36"/>
  <c r="L47" i="34" s="1"/>
  <c r="K34" i="36"/>
  <c r="L57" i="34" s="1"/>
  <c r="CD11" i="28"/>
  <c r="K66" i="36"/>
  <c r="K69" i="36" s="1"/>
  <c r="K14" i="36"/>
  <c r="K11" i="36"/>
  <c r="L80" i="34"/>
  <c r="L81" i="34"/>
  <c r="L82" i="34" s="1"/>
  <c r="L91" i="34"/>
  <c r="L92" i="34" s="1"/>
  <c r="L90" i="34"/>
  <c r="CC10" i="28"/>
  <c r="CD19" i="28" s="1"/>
  <c r="CC9" i="28"/>
  <c r="CD18" i="28" s="1"/>
  <c r="CD35" i="28" s="1"/>
  <c r="CF67" i="27" s="1"/>
  <c r="CC8" i="28"/>
  <c r="CD17" i="28" s="1"/>
  <c r="CD34" i="28" s="1"/>
  <c r="CF57" i="27" s="1"/>
  <c r="CC7" i="28"/>
  <c r="CD16" i="28" s="1"/>
  <c r="CC6" i="28"/>
  <c r="CD15" i="28" s="1"/>
  <c r="CC5" i="28"/>
  <c r="CD14" i="28" s="1"/>
  <c r="CD72" i="28" l="1"/>
  <c r="CF58" i="27" s="1"/>
  <c r="CF59" i="27" s="1"/>
  <c r="CF60" i="27" s="1"/>
  <c r="CF61" i="27" s="1"/>
  <c r="CM5" i="28"/>
  <c r="CL11" i="28"/>
  <c r="CD71" i="28"/>
  <c r="CF48" i="27" s="1"/>
  <c r="CF49" i="27" s="1"/>
  <c r="CF50" i="27" s="1"/>
  <c r="CF51" i="27" s="1"/>
  <c r="CD70" i="28"/>
  <c r="CF38" i="27" s="1"/>
  <c r="CF39" i="27" s="1"/>
  <c r="CF40" i="27" s="1"/>
  <c r="CD69" i="28"/>
  <c r="CD33" i="28"/>
  <c r="CF47" i="27" s="1"/>
  <c r="CD74" i="28"/>
  <c r="CD31" i="28"/>
  <c r="CF27" i="27" s="1"/>
  <c r="CF16" i="27" s="1"/>
  <c r="CF28" i="27"/>
  <c r="CF29" i="27" s="1"/>
  <c r="CF30" i="27" s="1"/>
  <c r="CD32" i="28"/>
  <c r="CF37" i="27" s="1"/>
  <c r="CG71" i="27"/>
  <c r="CG19" i="27"/>
  <c r="CD20" i="28"/>
  <c r="CF70" i="27"/>
  <c r="L28" i="34"/>
  <c r="K31" i="36"/>
  <c r="K20" i="36"/>
  <c r="K73" i="36"/>
  <c r="L68" i="34" s="1"/>
  <c r="K70" i="36"/>
  <c r="L38" i="34" s="1"/>
  <c r="K72" i="36"/>
  <c r="L58" i="34" s="1"/>
  <c r="K71" i="36"/>
  <c r="L48" i="34" s="1"/>
  <c r="K6" i="34"/>
  <c r="F6" i="34"/>
  <c r="CF41" i="27" l="1"/>
  <c r="CN5" i="28"/>
  <c r="CM11" i="28"/>
  <c r="CD36" i="28"/>
  <c r="CF18" i="27"/>
  <c r="CF17" i="27"/>
  <c r="CG20" i="27"/>
  <c r="CF31" i="27"/>
  <c r="CF19" i="27"/>
  <c r="CF71" i="27"/>
  <c r="L17" i="34"/>
  <c r="K36" i="36"/>
  <c r="L27" i="34"/>
  <c r="L16" i="34" s="1"/>
  <c r="K74" i="36"/>
  <c r="CC65" i="28"/>
  <c r="CC64" i="28"/>
  <c r="CC63" i="28"/>
  <c r="CC62" i="28"/>
  <c r="CC61" i="28"/>
  <c r="CC56" i="28"/>
  <c r="CC28" i="28"/>
  <c r="K31" i="37"/>
  <c r="K24" i="37"/>
  <c r="K17" i="37"/>
  <c r="K10" i="37"/>
  <c r="K3" i="37"/>
  <c r="J65" i="36"/>
  <c r="J64" i="36"/>
  <c r="J63" i="36"/>
  <c r="J62" i="36"/>
  <c r="J61" i="36"/>
  <c r="J56" i="36"/>
  <c r="J28" i="36"/>
  <c r="J19" i="36"/>
  <c r="J18" i="36"/>
  <c r="J17" i="36"/>
  <c r="J16" i="36"/>
  <c r="J15" i="36"/>
  <c r="J32" i="36" s="1"/>
  <c r="K37" i="34" s="1"/>
  <c r="J14" i="36"/>
  <c r="J31" i="36" s="1"/>
  <c r="J11" i="36"/>
  <c r="K85" i="34"/>
  <c r="K87" i="34" s="1"/>
  <c r="K88" i="34" s="1"/>
  <c r="K89" i="34" s="1"/>
  <c r="K79" i="34"/>
  <c r="K81" i="34" s="1"/>
  <c r="K82" i="34" s="1"/>
  <c r="K78" i="34"/>
  <c r="K8" i="34"/>
  <c r="CE85" i="27"/>
  <c r="CE87" i="27" s="1"/>
  <c r="CE88" i="27" s="1"/>
  <c r="CE78" i="27"/>
  <c r="CE8" i="27"/>
  <c r="CB10" i="28"/>
  <c r="CC19" i="28" s="1"/>
  <c r="CB9" i="28"/>
  <c r="CC18" i="28" s="1"/>
  <c r="CB8" i="28"/>
  <c r="CC17" i="28" s="1"/>
  <c r="CB7" i="28"/>
  <c r="CC16" i="28" s="1"/>
  <c r="CB6" i="28"/>
  <c r="CC15" i="28" s="1"/>
  <c r="CB5" i="28"/>
  <c r="J6" i="34"/>
  <c r="CD84" i="27"/>
  <c r="CO5" i="28" l="1"/>
  <c r="CN11" i="28"/>
  <c r="J66" i="36"/>
  <c r="J73" i="36" s="1"/>
  <c r="K68" i="34" s="1"/>
  <c r="CF20" i="27"/>
  <c r="J34" i="36"/>
  <c r="K57" i="34" s="1"/>
  <c r="CC33" i="28"/>
  <c r="CE47" i="27" s="1"/>
  <c r="CC35" i="28"/>
  <c r="CE67" i="27" s="1"/>
  <c r="CC34" i="28"/>
  <c r="CE57" i="27" s="1"/>
  <c r="J69" i="36"/>
  <c r="K28" i="34" s="1"/>
  <c r="CC32" i="28"/>
  <c r="CE37" i="27" s="1"/>
  <c r="CC66" i="28"/>
  <c r="CC69" i="28" s="1"/>
  <c r="CC11" i="28"/>
  <c r="CC14" i="28"/>
  <c r="K27" i="34"/>
  <c r="J33" i="36"/>
  <c r="K47" i="34" s="1"/>
  <c r="J70" i="36"/>
  <c r="K38" i="34" s="1"/>
  <c r="J71" i="36"/>
  <c r="K48" i="34" s="1"/>
  <c r="J35" i="36"/>
  <c r="K67" i="34" s="1"/>
  <c r="J72" i="36"/>
  <c r="K58" i="34" s="1"/>
  <c r="J20" i="36"/>
  <c r="K93" i="34"/>
  <c r="K91" i="34"/>
  <c r="K92" i="34" s="1"/>
  <c r="K90" i="34"/>
  <c r="K80" i="34"/>
  <c r="CB65" i="28"/>
  <c r="CB64" i="28"/>
  <c r="CB63" i="28"/>
  <c r="CB62" i="28"/>
  <c r="CB61" i="28"/>
  <c r="CB56" i="28"/>
  <c r="CB28" i="28"/>
  <c r="CB14" i="28"/>
  <c r="CD85" i="27"/>
  <c r="CD87" i="27" s="1"/>
  <c r="CD88" i="27" s="1"/>
  <c r="CD78" i="27"/>
  <c r="CD8" i="27"/>
  <c r="J31" i="37"/>
  <c r="J24" i="37"/>
  <c r="J17" i="37"/>
  <c r="J10" i="37"/>
  <c r="J3" i="37"/>
  <c r="I65" i="36"/>
  <c r="I64" i="36"/>
  <c r="I63" i="36"/>
  <c r="I62" i="36"/>
  <c r="I61" i="36"/>
  <c r="I56" i="36"/>
  <c r="I28" i="36"/>
  <c r="I19" i="36"/>
  <c r="I18" i="36"/>
  <c r="I17" i="36"/>
  <c r="I16" i="36"/>
  <c r="I15" i="36"/>
  <c r="J85" i="34"/>
  <c r="J87" i="34" s="1"/>
  <c r="J88" i="34" s="1"/>
  <c r="J89" i="34" s="1"/>
  <c r="J93" i="34" s="1"/>
  <c r="J78" i="34"/>
  <c r="J79" i="34" s="1"/>
  <c r="J8" i="34"/>
  <c r="I93" i="34"/>
  <c r="I6" i="34"/>
  <c r="CA10" i="28"/>
  <c r="CB19" i="28" s="1"/>
  <c r="CA9" i="28"/>
  <c r="CB18" i="28" s="1"/>
  <c r="CA8" i="28"/>
  <c r="CB17" i="28" s="1"/>
  <c r="CA7" i="28"/>
  <c r="CB16" i="28" s="1"/>
  <c r="CA6" i="28"/>
  <c r="CB15" i="28" s="1"/>
  <c r="CA5" i="28"/>
  <c r="CP5" i="28" l="1"/>
  <c r="CO11" i="28"/>
  <c r="I33" i="36"/>
  <c r="J47" i="34" s="1"/>
  <c r="I35" i="36"/>
  <c r="J67" i="34" s="1"/>
  <c r="CB32" i="28"/>
  <c r="CD37" i="27" s="1"/>
  <c r="CB33" i="28"/>
  <c r="CD47" i="27" s="1"/>
  <c r="J36" i="36"/>
  <c r="J74" i="36"/>
  <c r="CE28" i="27"/>
  <c r="CE29" i="27" s="1"/>
  <c r="CE30" i="27" s="1"/>
  <c r="CC31" i="28"/>
  <c r="CC20" i="28"/>
  <c r="CC73" i="28"/>
  <c r="CE68" i="27" s="1"/>
  <c r="CC72" i="28"/>
  <c r="CE58" i="27" s="1"/>
  <c r="CE59" i="27" s="1"/>
  <c r="CE60" i="27" s="1"/>
  <c r="CE61" i="27" s="1"/>
  <c r="CC71" i="28"/>
  <c r="CE48" i="27" s="1"/>
  <c r="CE49" i="27" s="1"/>
  <c r="CE50" i="27" s="1"/>
  <c r="CE51" i="27" s="1"/>
  <c r="CC70" i="28"/>
  <c r="CE38" i="27" s="1"/>
  <c r="CE39" i="27" s="1"/>
  <c r="CE40" i="27" s="1"/>
  <c r="CE41" i="27" s="1"/>
  <c r="K17" i="34"/>
  <c r="K16" i="34"/>
  <c r="CB34" i="28"/>
  <c r="CD57" i="27" s="1"/>
  <c r="CB35" i="28"/>
  <c r="CD67" i="27" s="1"/>
  <c r="I34" i="36"/>
  <c r="J57" i="34" s="1"/>
  <c r="I32" i="36"/>
  <c r="J37" i="34" s="1"/>
  <c r="CB31" i="28"/>
  <c r="CB20" i="28"/>
  <c r="CB66" i="28"/>
  <c r="CB72" i="28" s="1"/>
  <c r="CD58" i="27" s="1"/>
  <c r="CD59" i="27" s="1"/>
  <c r="CD60" i="27" s="1"/>
  <c r="CB11" i="28"/>
  <c r="I11" i="36"/>
  <c r="I66" i="36"/>
  <c r="I69" i="36" s="1"/>
  <c r="J81" i="34"/>
  <c r="J82" i="34" s="1"/>
  <c r="J80" i="34"/>
  <c r="J90" i="34"/>
  <c r="J91" i="34"/>
  <c r="J92" i="34" s="1"/>
  <c r="H5" i="36"/>
  <c r="I14" i="36" s="1"/>
  <c r="CQ5" i="28" l="1"/>
  <c r="CP11" i="28"/>
  <c r="CB69" i="28"/>
  <c r="CD61" i="27"/>
  <c r="CB73" i="28"/>
  <c r="CD68" i="27" s="1"/>
  <c r="CD69" i="27" s="1"/>
  <c r="CD70" i="27" s="1"/>
  <c r="CB71" i="28"/>
  <c r="CD48" i="27" s="1"/>
  <c r="CD49" i="27" s="1"/>
  <c r="CD50" i="27" s="1"/>
  <c r="CD51" i="27" s="1"/>
  <c r="CB70" i="28"/>
  <c r="CD38" i="27" s="1"/>
  <c r="CD39" i="27" s="1"/>
  <c r="CD40" i="27" s="1"/>
  <c r="CD41" i="27" s="1"/>
  <c r="CE17" i="27"/>
  <c r="CE69" i="27"/>
  <c r="CC36" i="28"/>
  <c r="CE27" i="27"/>
  <c r="CE16" i="27" s="1"/>
  <c r="CC74" i="28"/>
  <c r="CB36" i="28"/>
  <c r="CD27" i="27"/>
  <c r="CD16" i="27" s="1"/>
  <c r="CD28" i="27"/>
  <c r="CD29" i="27" s="1"/>
  <c r="CD30" i="27" s="1"/>
  <c r="I31" i="36"/>
  <c r="I20" i="36"/>
  <c r="I73" i="36"/>
  <c r="J68" i="34" s="1"/>
  <c r="I70" i="36"/>
  <c r="J38" i="34" s="1"/>
  <c r="I72" i="36"/>
  <c r="J58" i="34" s="1"/>
  <c r="I71" i="36"/>
  <c r="J48" i="34" s="1"/>
  <c r="J28" i="34"/>
  <c r="I87" i="34"/>
  <c r="I88" i="34" s="1"/>
  <c r="I89" i="34" s="1"/>
  <c r="I85" i="34"/>
  <c r="I79" i="34"/>
  <c r="I81" i="34" s="1"/>
  <c r="I82" i="34" s="1"/>
  <c r="I78" i="34"/>
  <c r="I8" i="34"/>
  <c r="H65" i="36"/>
  <c r="H64" i="36"/>
  <c r="H63" i="36"/>
  <c r="H62" i="36"/>
  <c r="H61" i="36"/>
  <c r="H56" i="36"/>
  <c r="H28" i="36"/>
  <c r="H19" i="36"/>
  <c r="H18" i="36"/>
  <c r="H17" i="36"/>
  <c r="H16" i="36"/>
  <c r="H15" i="36"/>
  <c r="H14" i="36"/>
  <c r="H11" i="36"/>
  <c r="I31" i="37"/>
  <c r="I24" i="37"/>
  <c r="I17" i="37"/>
  <c r="I10" i="37"/>
  <c r="I3" i="37"/>
  <c r="CC85" i="27"/>
  <c r="CC87" i="27" s="1"/>
  <c r="CC88" i="27" s="1"/>
  <c r="CC78" i="27"/>
  <c r="CC8" i="27"/>
  <c r="CA65" i="28"/>
  <c r="CA64" i="28"/>
  <c r="CA63" i="28"/>
  <c r="CA62" i="28"/>
  <c r="CA61" i="28"/>
  <c r="CA56" i="28"/>
  <c r="CA28" i="28"/>
  <c r="CB74" i="28" l="1"/>
  <c r="CR5" i="28"/>
  <c r="CQ11" i="28"/>
  <c r="CE31" i="27"/>
  <c r="CE18" i="27"/>
  <c r="CE70" i="27"/>
  <c r="CD31" i="27"/>
  <c r="CD18" i="27"/>
  <c r="CD17" i="27"/>
  <c r="CD71" i="27"/>
  <c r="CD19" i="27"/>
  <c r="J17" i="34"/>
  <c r="I74" i="36"/>
  <c r="I36" i="36"/>
  <c r="J27" i="34"/>
  <c r="J16" i="34" s="1"/>
  <c r="H35" i="36"/>
  <c r="I67" i="34" s="1"/>
  <c r="H34" i="36"/>
  <c r="I57" i="34" s="1"/>
  <c r="H33" i="36"/>
  <c r="I47" i="34" s="1"/>
  <c r="I91" i="34"/>
  <c r="I92" i="34" s="1"/>
  <c r="I90" i="34"/>
  <c r="I80" i="34"/>
  <c r="H20" i="36"/>
  <c r="H31" i="36"/>
  <c r="I27" i="34" s="1"/>
  <c r="H66" i="36"/>
  <c r="H69" i="36" s="1"/>
  <c r="H32" i="36"/>
  <c r="I37" i="34" s="1"/>
  <c r="CA66" i="28"/>
  <c r="CA69" i="28" s="1"/>
  <c r="CC28" i="27" s="1"/>
  <c r="CC29" i="27" s="1"/>
  <c r="CC30" i="27" s="1"/>
  <c r="CA11" i="28"/>
  <c r="CS5" i="28" l="1"/>
  <c r="CR11" i="28"/>
  <c r="CE71" i="27"/>
  <c r="CE19" i="27"/>
  <c r="CD20" i="27"/>
  <c r="I16" i="34"/>
  <c r="H71" i="36"/>
  <c r="I48" i="34" s="1"/>
  <c r="H70" i="36"/>
  <c r="I38" i="34" s="1"/>
  <c r="I28" i="34"/>
  <c r="H72" i="36"/>
  <c r="I58" i="34" s="1"/>
  <c r="H73" i="36"/>
  <c r="I68" i="34" s="1"/>
  <c r="H36" i="36"/>
  <c r="CA73" i="28"/>
  <c r="CC68" i="27" s="1"/>
  <c r="CA71" i="28"/>
  <c r="CC48" i="27" s="1"/>
  <c r="CC49" i="27" s="1"/>
  <c r="CC50" i="27" s="1"/>
  <c r="CA70" i="28"/>
  <c r="CA72" i="28"/>
  <c r="CC58" i="27" s="1"/>
  <c r="CC59" i="27" s="1"/>
  <c r="CC60" i="27" s="1"/>
  <c r="CT5" i="28" l="1"/>
  <c r="CT11" i="28" s="1"/>
  <c r="CS11" i="28"/>
  <c r="CE20" i="27"/>
  <c r="I17" i="34"/>
  <c r="H74" i="36"/>
  <c r="CA74" i="28"/>
  <c r="CC38" i="27"/>
  <c r="CC39" i="27" s="1"/>
  <c r="CC40" i="27" s="1"/>
  <c r="CC69" i="27"/>
  <c r="BZ10" i="28"/>
  <c r="CA19" i="28" s="1"/>
  <c r="BZ9" i="28"/>
  <c r="CA18" i="28" s="1"/>
  <c r="BZ8" i="28"/>
  <c r="CA17" i="28" s="1"/>
  <c r="BZ7" i="28"/>
  <c r="CA16" i="28" s="1"/>
  <c r="BZ6" i="28"/>
  <c r="CA15" i="28" s="1"/>
  <c r="BZ5" i="28"/>
  <c r="CA14" i="28" s="1"/>
  <c r="CA35" i="28" l="1"/>
  <c r="CC67" i="27" s="1"/>
  <c r="CA32" i="28"/>
  <c r="CC37" i="27" s="1"/>
  <c r="CA33" i="28"/>
  <c r="CC47" i="27" s="1"/>
  <c r="CC51" i="27" s="1"/>
  <c r="CA34" i="28"/>
  <c r="CC57" i="27" s="1"/>
  <c r="CC61" i="27" s="1"/>
  <c r="CA31" i="28"/>
  <c r="CA20" i="28"/>
  <c r="CC41" i="27"/>
  <c r="CC17" i="27"/>
  <c r="CC70" i="27"/>
  <c r="CC18" i="27"/>
  <c r="H6" i="34"/>
  <c r="CC27" i="27" l="1"/>
  <c r="CA36" i="28"/>
  <c r="CC71" i="27"/>
  <c r="CC19" i="27"/>
  <c r="BZ65" i="28"/>
  <c r="BZ64" i="28"/>
  <c r="BZ63" i="28"/>
  <c r="BZ62" i="28"/>
  <c r="BZ61" i="28"/>
  <c r="BZ56" i="28"/>
  <c r="BZ28" i="28"/>
  <c r="CB85" i="27"/>
  <c r="CB87" i="27" s="1"/>
  <c r="CB88" i="27" s="1"/>
  <c r="CB78" i="27"/>
  <c r="CB8" i="27"/>
  <c r="H3" i="37"/>
  <c r="G6" i="34"/>
  <c r="H85" i="34"/>
  <c r="H87" i="34" s="1"/>
  <c r="H88" i="34" s="1"/>
  <c r="H89" i="34" s="1"/>
  <c r="H79" i="34"/>
  <c r="H81" i="34" s="1"/>
  <c r="H82" i="34" s="1"/>
  <c r="H78" i="34"/>
  <c r="H8" i="34"/>
  <c r="H31" i="37"/>
  <c r="H24" i="37"/>
  <c r="H17" i="37"/>
  <c r="H10" i="37"/>
  <c r="G65" i="36"/>
  <c r="G64" i="36"/>
  <c r="G63" i="36"/>
  <c r="G62" i="36"/>
  <c r="G61" i="36"/>
  <c r="G56" i="36"/>
  <c r="G28" i="36"/>
  <c r="G19" i="36"/>
  <c r="G18" i="36"/>
  <c r="G17" i="36"/>
  <c r="G16" i="36"/>
  <c r="G15" i="36"/>
  <c r="G14" i="36"/>
  <c r="G11" i="36"/>
  <c r="BY10" i="28"/>
  <c r="BZ19" i="28" s="1"/>
  <c r="BY9" i="28"/>
  <c r="BZ18" i="28" s="1"/>
  <c r="BY8" i="28"/>
  <c r="BZ17" i="28" s="1"/>
  <c r="BY7" i="28"/>
  <c r="BZ16" i="28" s="1"/>
  <c r="BY6" i="28"/>
  <c r="BZ15" i="28" s="1"/>
  <c r="BY5" i="28"/>
  <c r="BZ14" i="28" s="1"/>
  <c r="CC31" i="27" l="1"/>
  <c r="CC20" i="27" s="1"/>
  <c r="CC16" i="27"/>
  <c r="BZ35" i="28"/>
  <c r="CB67" i="27" s="1"/>
  <c r="BZ32" i="28"/>
  <c r="CB37" i="27" s="1"/>
  <c r="BZ34" i="28"/>
  <c r="CB57" i="27" s="1"/>
  <c r="BZ33" i="28"/>
  <c r="CB47" i="27" s="1"/>
  <c r="BZ31" i="28"/>
  <c r="BZ20" i="28"/>
  <c r="BZ66" i="28"/>
  <c r="BZ69" i="28" s="1"/>
  <c r="BZ11" i="28"/>
  <c r="H93" i="34"/>
  <c r="H91" i="34"/>
  <c r="H92" i="34" s="1"/>
  <c r="H90" i="34"/>
  <c r="H80" i="34"/>
  <c r="G35" i="36"/>
  <c r="H67" i="34" s="1"/>
  <c r="G34" i="36"/>
  <c r="H57" i="34" s="1"/>
  <c r="G20" i="36"/>
  <c r="G31" i="36"/>
  <c r="H27" i="34" s="1"/>
  <c r="G66" i="36"/>
  <c r="G69" i="36" s="1"/>
  <c r="H28" i="34" s="1"/>
  <c r="G32" i="36"/>
  <c r="H37" i="34" s="1"/>
  <c r="G33" i="36"/>
  <c r="H47" i="34" s="1"/>
  <c r="BY65" i="28"/>
  <c r="BY64" i="28"/>
  <c r="BY63" i="28"/>
  <c r="BY62" i="28"/>
  <c r="BY61" i="28"/>
  <c r="BY56" i="28"/>
  <c r="BY28" i="28"/>
  <c r="G31" i="37"/>
  <c r="G24" i="37"/>
  <c r="G17" i="37"/>
  <c r="G10" i="37"/>
  <c r="G3" i="37"/>
  <c r="F65" i="36"/>
  <c r="F64" i="36"/>
  <c r="F63" i="36"/>
  <c r="F62" i="36"/>
  <c r="F61" i="36"/>
  <c r="F56" i="36"/>
  <c r="F28" i="36"/>
  <c r="F19" i="36"/>
  <c r="F18" i="36"/>
  <c r="F17" i="36"/>
  <c r="F16" i="36"/>
  <c r="F33" i="36" s="1"/>
  <c r="G47" i="34" s="1"/>
  <c r="F15" i="36"/>
  <c r="F14" i="36"/>
  <c r="F11" i="36"/>
  <c r="G85" i="34"/>
  <c r="G87" i="34" s="1"/>
  <c r="G88" i="34" s="1"/>
  <c r="G78" i="34"/>
  <c r="G8" i="34"/>
  <c r="CA87" i="27"/>
  <c r="CA88" i="27" s="1"/>
  <c r="CA85" i="27"/>
  <c r="CA78" i="27"/>
  <c r="CA8" i="27"/>
  <c r="F66" i="36" l="1"/>
  <c r="H16" i="34"/>
  <c r="CB28" i="27"/>
  <c r="CB29" i="27" s="1"/>
  <c r="CB30" i="27" s="1"/>
  <c r="BZ73" i="28"/>
  <c r="CB68" i="27" s="1"/>
  <c r="BZ72" i="28"/>
  <c r="CB58" i="27" s="1"/>
  <c r="CB59" i="27" s="1"/>
  <c r="CB60" i="27" s="1"/>
  <c r="CB61" i="27" s="1"/>
  <c r="BZ71" i="28"/>
  <c r="CB48" i="27" s="1"/>
  <c r="CB49" i="27" s="1"/>
  <c r="CB50" i="27" s="1"/>
  <c r="CB51" i="27" s="1"/>
  <c r="BZ36" i="28"/>
  <c r="CB27" i="27"/>
  <c r="CB16" i="27" s="1"/>
  <c r="BZ70" i="28"/>
  <c r="CB38" i="27" s="1"/>
  <c r="CB39" i="27" s="1"/>
  <c r="CB40" i="27" s="1"/>
  <c r="CB41" i="27" s="1"/>
  <c r="G36" i="36"/>
  <c r="G73" i="36"/>
  <c r="H68" i="34" s="1"/>
  <c r="G72" i="36"/>
  <c r="H58" i="34" s="1"/>
  <c r="G71" i="36"/>
  <c r="H48" i="34" s="1"/>
  <c r="G70" i="36"/>
  <c r="F31" i="36"/>
  <c r="G27" i="34" s="1"/>
  <c r="F34" i="36"/>
  <c r="G57" i="34" s="1"/>
  <c r="F35" i="36"/>
  <c r="G67" i="34" s="1"/>
  <c r="F32" i="36"/>
  <c r="G37" i="34" s="1"/>
  <c r="BY66" i="28"/>
  <c r="BY71" i="28" s="1"/>
  <c r="CA48" i="27" s="1"/>
  <c r="CA49" i="27" s="1"/>
  <c r="CA50" i="27" s="1"/>
  <c r="BY11" i="28"/>
  <c r="F73" i="36"/>
  <c r="G68" i="34" s="1"/>
  <c r="F72" i="36"/>
  <c r="G58" i="34" s="1"/>
  <c r="F71" i="36"/>
  <c r="G48" i="34" s="1"/>
  <c r="F70" i="36"/>
  <c r="G38" i="34" s="1"/>
  <c r="F69" i="36"/>
  <c r="F20" i="36"/>
  <c r="F87" i="34"/>
  <c r="F88" i="34" s="1"/>
  <c r="BW87" i="27"/>
  <c r="BX10" i="28"/>
  <c r="BX9" i="28"/>
  <c r="BY18" i="28" s="1"/>
  <c r="BX8" i="28"/>
  <c r="BY17" i="28" s="1"/>
  <c r="BX7" i="28"/>
  <c r="BY16" i="28" s="1"/>
  <c r="BX6" i="28"/>
  <c r="BY15" i="28" s="1"/>
  <c r="BX5" i="28"/>
  <c r="BY14" i="28" s="1"/>
  <c r="BZ6" i="27"/>
  <c r="F8" i="34"/>
  <c r="E3" i="37"/>
  <c r="F31" i="37"/>
  <c r="F32" i="37" s="1"/>
  <c r="F33" i="37" s="1"/>
  <c r="F24" i="37"/>
  <c r="F25" i="37" s="1"/>
  <c r="F26" i="37" s="1"/>
  <c r="F17" i="37"/>
  <c r="F18" i="37" s="1"/>
  <c r="F19" i="37" s="1"/>
  <c r="F10" i="37"/>
  <c r="F11" i="37" s="1"/>
  <c r="F12" i="37" s="1"/>
  <c r="F3" i="37"/>
  <c r="F4" i="37" s="1"/>
  <c r="F5" i="37" s="1"/>
  <c r="E65" i="36"/>
  <c r="E64" i="36"/>
  <c r="E63" i="36"/>
  <c r="E62" i="36"/>
  <c r="E61" i="36"/>
  <c r="E56" i="36"/>
  <c r="E28" i="36"/>
  <c r="E19" i="36"/>
  <c r="E18" i="36"/>
  <c r="E17" i="36"/>
  <c r="E16" i="36"/>
  <c r="E15" i="36"/>
  <c r="E32" i="36" s="1"/>
  <c r="F37" i="34" s="1"/>
  <c r="E14" i="36"/>
  <c r="E11" i="36"/>
  <c r="F85" i="34"/>
  <c r="F78" i="34"/>
  <c r="BX65" i="28"/>
  <c r="BX64" i="28"/>
  <c r="BX63" i="28"/>
  <c r="BX62" i="28"/>
  <c r="BX61" i="28"/>
  <c r="BX56" i="28"/>
  <c r="BX28" i="28"/>
  <c r="E33" i="36" l="1"/>
  <c r="F47" i="34" s="1"/>
  <c r="BY69" i="28"/>
  <c r="BY19" i="28"/>
  <c r="BY31" i="28" s="1"/>
  <c r="BY70" i="28"/>
  <c r="CA38" i="27" s="1"/>
  <c r="CA39" i="27" s="1"/>
  <c r="CA40" i="27" s="1"/>
  <c r="BY73" i="28"/>
  <c r="CA68" i="27" s="1"/>
  <c r="CA69" i="27" s="1"/>
  <c r="BY72" i="28"/>
  <c r="CA58" i="27" s="1"/>
  <c r="CA59" i="27" s="1"/>
  <c r="CA60" i="27" s="1"/>
  <c r="G74" i="36"/>
  <c r="H38" i="34"/>
  <c r="H17" i="34"/>
  <c r="CB17" i="27"/>
  <c r="CB69" i="27"/>
  <c r="CB31" i="27"/>
  <c r="BZ74" i="28"/>
  <c r="G11" i="37"/>
  <c r="G32" i="37"/>
  <c r="G18" i="37"/>
  <c r="G4" i="37"/>
  <c r="F36" i="36"/>
  <c r="G16" i="34"/>
  <c r="G25" i="37"/>
  <c r="CA28" i="27"/>
  <c r="CA29" i="27" s="1"/>
  <c r="CA30" i="27" s="1"/>
  <c r="F74" i="36"/>
  <c r="G28" i="34"/>
  <c r="E34" i="36"/>
  <c r="F57" i="34" s="1"/>
  <c r="E35" i="36"/>
  <c r="F67" i="34" s="1"/>
  <c r="E31" i="36"/>
  <c r="F27" i="37"/>
  <c r="F28" i="37" s="1"/>
  <c r="F29" i="37" s="1"/>
  <c r="F6" i="37"/>
  <c r="F7" i="37" s="1"/>
  <c r="F8" i="37" s="1"/>
  <c r="F20" i="37"/>
  <c r="F21" i="37" s="1"/>
  <c r="F22" i="37" s="1"/>
  <c r="F13" i="37"/>
  <c r="F14" i="37" s="1"/>
  <c r="F15" i="37" s="1"/>
  <c r="F34" i="37"/>
  <c r="F35" i="37" s="1"/>
  <c r="F36" i="37" s="1"/>
  <c r="F27" i="34"/>
  <c r="E20" i="36"/>
  <c r="E66" i="36"/>
  <c r="E69" i="36" s="1"/>
  <c r="BX66" i="28"/>
  <c r="BX70" i="28" s="1"/>
  <c r="BX11" i="28"/>
  <c r="G26" i="37" l="1"/>
  <c r="H25" i="37"/>
  <c r="G5" i="37"/>
  <c r="G6" i="37" s="1"/>
  <c r="G7" i="37" s="1"/>
  <c r="G8" i="37" s="1"/>
  <c r="G29" i="34" s="1"/>
  <c r="H4" i="37"/>
  <c r="G19" i="37"/>
  <c r="G20" i="37" s="1"/>
  <c r="G21" i="37" s="1"/>
  <c r="G22" i="37" s="1"/>
  <c r="G49" i="34" s="1"/>
  <c r="G50" i="34" s="1"/>
  <c r="G51" i="34" s="1"/>
  <c r="H18" i="37"/>
  <c r="G33" i="37"/>
  <c r="G34" i="37" s="1"/>
  <c r="G35" i="37" s="1"/>
  <c r="G36" i="37" s="1"/>
  <c r="G69" i="34" s="1"/>
  <c r="G70" i="34" s="1"/>
  <c r="G71" i="34" s="1"/>
  <c r="H32" i="37"/>
  <c r="G12" i="37"/>
  <c r="G13" i="37" s="1"/>
  <c r="G14" i="37" s="1"/>
  <c r="G15" i="37" s="1"/>
  <c r="G39" i="34" s="1"/>
  <c r="G40" i="34" s="1"/>
  <c r="G41" i="34" s="1"/>
  <c r="H11" i="37"/>
  <c r="BY20" i="28"/>
  <c r="BY35" i="28"/>
  <c r="CA67" i="27" s="1"/>
  <c r="BY33" i="28"/>
  <c r="CA47" i="27" s="1"/>
  <c r="CA51" i="27" s="1"/>
  <c r="BY74" i="28"/>
  <c r="CA17" i="27"/>
  <c r="BY34" i="28"/>
  <c r="CA57" i="27" s="1"/>
  <c r="CA61" i="27" s="1"/>
  <c r="BY32" i="28"/>
  <c r="CA37" i="27" s="1"/>
  <c r="CA41" i="27" s="1"/>
  <c r="CB70" i="27"/>
  <c r="CB18" i="27"/>
  <c r="G27" i="37"/>
  <c r="G28" i="37" s="1"/>
  <c r="G29" i="37" s="1"/>
  <c r="G59" i="34" s="1"/>
  <c r="G60" i="34" s="1"/>
  <c r="G61" i="34" s="1"/>
  <c r="E70" i="36"/>
  <c r="F38" i="34" s="1"/>
  <c r="F39" i="34" s="1"/>
  <c r="F40" i="34" s="1"/>
  <c r="F41" i="34" s="1"/>
  <c r="F16" i="34"/>
  <c r="G17" i="34"/>
  <c r="CA70" i="27"/>
  <c r="CA18" i="27"/>
  <c r="CA27" i="27"/>
  <c r="E36" i="36"/>
  <c r="BX69" i="28"/>
  <c r="F28" i="34"/>
  <c r="F29" i="34" s="1"/>
  <c r="F30" i="34" s="1"/>
  <c r="F31" i="34" s="1"/>
  <c r="E73" i="36"/>
  <c r="F68" i="34" s="1"/>
  <c r="E72" i="36"/>
  <c r="F58" i="34" s="1"/>
  <c r="F59" i="34" s="1"/>
  <c r="F60" i="34" s="1"/>
  <c r="F61" i="34" s="1"/>
  <c r="E71" i="36"/>
  <c r="F48" i="34" s="1"/>
  <c r="F49" i="34" s="1"/>
  <c r="F50" i="34" s="1"/>
  <c r="F51" i="34" s="1"/>
  <c r="BX73" i="28"/>
  <c r="BX72" i="28"/>
  <c r="BX71" i="28"/>
  <c r="H12" i="37" l="1"/>
  <c r="I11" i="37"/>
  <c r="H13" i="37"/>
  <c r="H14" i="37" s="1"/>
  <c r="H15" i="37" s="1"/>
  <c r="H39" i="34" s="1"/>
  <c r="H40" i="34" s="1"/>
  <c r="H41" i="34" s="1"/>
  <c r="H5" i="37"/>
  <c r="H6" i="37" s="1"/>
  <c r="H7" i="37" s="1"/>
  <c r="H8" i="37" s="1"/>
  <c r="H29" i="34" s="1"/>
  <c r="H30" i="34" s="1"/>
  <c r="H31" i="34" s="1"/>
  <c r="I4" i="37"/>
  <c r="H19" i="37"/>
  <c r="H20" i="37" s="1"/>
  <c r="H21" i="37" s="1"/>
  <c r="H22" i="37" s="1"/>
  <c r="H49" i="34" s="1"/>
  <c r="H50" i="34" s="1"/>
  <c r="H51" i="34" s="1"/>
  <c r="I18" i="37"/>
  <c r="H33" i="37"/>
  <c r="H34" i="37" s="1"/>
  <c r="H35" i="37" s="1"/>
  <c r="H36" i="37" s="1"/>
  <c r="H69" i="34" s="1"/>
  <c r="I32" i="37"/>
  <c r="I25" i="37"/>
  <c r="H26" i="37"/>
  <c r="H27" i="37"/>
  <c r="H28" i="37" s="1"/>
  <c r="H29" i="37" s="1"/>
  <c r="H59" i="34" s="1"/>
  <c r="H60" i="34" s="1"/>
  <c r="H61" i="34" s="1"/>
  <c r="CA16" i="27"/>
  <c r="BY36" i="28"/>
  <c r="CB71" i="27"/>
  <c r="CB19" i="27"/>
  <c r="G30" i="34"/>
  <c r="G31" i="34" s="1"/>
  <c r="G20" i="34" s="1"/>
  <c r="G18" i="34"/>
  <c r="CA31" i="27"/>
  <c r="CA71" i="27"/>
  <c r="CA19" i="27"/>
  <c r="BX74" i="28"/>
  <c r="F17" i="34"/>
  <c r="F69" i="34"/>
  <c r="E74" i="36"/>
  <c r="BZ87" i="27"/>
  <c r="BZ88" i="27" s="1"/>
  <c r="BZ85" i="27"/>
  <c r="BZ78" i="27"/>
  <c r="BZ68" i="27"/>
  <c r="BZ69" i="27" s="1"/>
  <c r="BZ58" i="27"/>
  <c r="BZ59" i="27" s="1"/>
  <c r="BZ60" i="27" s="1"/>
  <c r="BZ48" i="27"/>
  <c r="BZ49" i="27" s="1"/>
  <c r="BZ50" i="27" s="1"/>
  <c r="BZ38" i="27"/>
  <c r="BZ39" i="27" s="1"/>
  <c r="BZ40" i="27" s="1"/>
  <c r="BZ28" i="27"/>
  <c r="BZ29" i="27" s="1"/>
  <c r="BZ30" i="27" s="1"/>
  <c r="BZ8" i="27"/>
  <c r="H70" i="34" l="1"/>
  <c r="H18" i="34"/>
  <c r="I33" i="37"/>
  <c r="J32" i="37"/>
  <c r="I34" i="37"/>
  <c r="I19" i="37"/>
  <c r="J18" i="37"/>
  <c r="I20" i="37"/>
  <c r="I5" i="37"/>
  <c r="I6" i="37" s="1"/>
  <c r="I7" i="37" s="1"/>
  <c r="I8" i="37" s="1"/>
  <c r="I29" i="34" s="1"/>
  <c r="I30" i="34" s="1"/>
  <c r="I31" i="34" s="1"/>
  <c r="J4" i="37"/>
  <c r="I12" i="37"/>
  <c r="J11" i="37"/>
  <c r="I26" i="37"/>
  <c r="J25" i="37"/>
  <c r="I27" i="37"/>
  <c r="CB20" i="27"/>
  <c r="G19" i="34"/>
  <c r="CA20" i="27"/>
  <c r="F70" i="34"/>
  <c r="F18" i="34"/>
  <c r="BZ18" i="27"/>
  <c r="BZ17" i="27"/>
  <c r="BL20" i="30"/>
  <c r="BL21" i="30" s="1"/>
  <c r="BZ70" i="27"/>
  <c r="BL7" i="30"/>
  <c r="BL27" i="30"/>
  <c r="BL28" i="30" s="1"/>
  <c r="BL13" i="30"/>
  <c r="BL14" i="30" s="1"/>
  <c r="BL34" i="30"/>
  <c r="BL35" i="30" s="1"/>
  <c r="E6" i="34"/>
  <c r="J5" i="37" l="1"/>
  <c r="K4" i="37"/>
  <c r="J6" i="37"/>
  <c r="J7" i="37" s="1"/>
  <c r="J8" i="37" s="1"/>
  <c r="J29" i="34" s="1"/>
  <c r="J30" i="34" s="1"/>
  <c r="J31" i="34" s="1"/>
  <c r="J19" i="37"/>
  <c r="K18" i="37"/>
  <c r="I14" i="37"/>
  <c r="I15" i="37" s="1"/>
  <c r="I39" i="34" s="1"/>
  <c r="I40" i="34" s="1"/>
  <c r="I41" i="34" s="1"/>
  <c r="I21" i="37"/>
  <c r="I22" i="37" s="1"/>
  <c r="I49" i="34" s="1"/>
  <c r="I50" i="34" s="1"/>
  <c r="I51" i="34" s="1"/>
  <c r="J26" i="37"/>
  <c r="J27" i="37" s="1"/>
  <c r="K25" i="37"/>
  <c r="J33" i="37"/>
  <c r="J34" i="37" s="1"/>
  <c r="J35" i="37" s="1"/>
  <c r="J36" i="37" s="1"/>
  <c r="J69" i="34" s="1"/>
  <c r="K32" i="37"/>
  <c r="I28" i="37"/>
  <c r="I29" i="37" s="1"/>
  <c r="I59" i="34" s="1"/>
  <c r="I60" i="34" s="1"/>
  <c r="I61" i="34" s="1"/>
  <c r="I35" i="37"/>
  <c r="I36" i="37" s="1"/>
  <c r="I69" i="34" s="1"/>
  <c r="I13" i="37"/>
  <c r="J12" i="37"/>
  <c r="K11" i="37"/>
  <c r="J13" i="37"/>
  <c r="J14" i="37" s="1"/>
  <c r="J15" i="37" s="1"/>
  <c r="J39" i="34" s="1"/>
  <c r="J40" i="34" s="1"/>
  <c r="J41" i="34" s="1"/>
  <c r="H71" i="34"/>
  <c r="H20" i="34" s="1"/>
  <c r="H19" i="34"/>
  <c r="F19" i="34"/>
  <c r="F71" i="34"/>
  <c r="BZ19" i="27"/>
  <c r="J70" i="34" l="1"/>
  <c r="K26" i="37"/>
  <c r="K27" i="37" s="1"/>
  <c r="K28" i="37" s="1"/>
  <c r="K29" i="37" s="1"/>
  <c r="K59" i="34" s="1"/>
  <c r="K60" i="34" s="1"/>
  <c r="K61" i="34" s="1"/>
  <c r="L25" i="37"/>
  <c r="J28" i="37"/>
  <c r="J29" i="37" s="1"/>
  <c r="J59" i="34" s="1"/>
  <c r="J60" i="34" s="1"/>
  <c r="J61" i="34" s="1"/>
  <c r="K19" i="37"/>
  <c r="K20" i="37" s="1"/>
  <c r="K21" i="37" s="1"/>
  <c r="K22" i="37" s="1"/>
  <c r="K49" i="34" s="1"/>
  <c r="K50" i="34" s="1"/>
  <c r="K51" i="34" s="1"/>
  <c r="L18" i="37"/>
  <c r="K12" i="37"/>
  <c r="K13" i="37" s="1"/>
  <c r="K14" i="37" s="1"/>
  <c r="K15" i="37" s="1"/>
  <c r="K39" i="34" s="1"/>
  <c r="K40" i="34" s="1"/>
  <c r="K41" i="34" s="1"/>
  <c r="L11" i="37"/>
  <c r="J20" i="37"/>
  <c r="J21" i="37" s="1"/>
  <c r="J22" i="37" s="1"/>
  <c r="J49" i="34" s="1"/>
  <c r="J50" i="34" s="1"/>
  <c r="J51" i="34" s="1"/>
  <c r="I70" i="34"/>
  <c r="I18" i="34"/>
  <c r="K5" i="37"/>
  <c r="K6" i="37" s="1"/>
  <c r="K7" i="37" s="1"/>
  <c r="K8" i="37" s="1"/>
  <c r="K29" i="34" s="1"/>
  <c r="K30" i="34" s="1"/>
  <c r="K31" i="34" s="1"/>
  <c r="L4" i="37"/>
  <c r="K33" i="37"/>
  <c r="K34" i="37" s="1"/>
  <c r="K35" i="37" s="1"/>
  <c r="K36" i="37" s="1"/>
  <c r="K69" i="34" s="1"/>
  <c r="L32" i="37"/>
  <c r="F20" i="34"/>
  <c r="BW10" i="28"/>
  <c r="BX19" i="28" s="1"/>
  <c r="BW9" i="28"/>
  <c r="BX18" i="28" s="1"/>
  <c r="BX35" i="28" s="1"/>
  <c r="BZ67" i="27" s="1"/>
  <c r="BW8" i="28"/>
  <c r="BX17" i="28" s="1"/>
  <c r="BW7" i="28"/>
  <c r="BX16" i="28" s="1"/>
  <c r="BX33" i="28" s="1"/>
  <c r="BZ47" i="27" s="1"/>
  <c r="BZ51" i="27" s="1"/>
  <c r="BW6" i="28"/>
  <c r="BX15" i="28" s="1"/>
  <c r="BX32" i="28" s="1"/>
  <c r="BZ37" i="27" s="1"/>
  <c r="BZ41" i="27" s="1"/>
  <c r="BW5" i="28"/>
  <c r="BX14" i="28" s="1"/>
  <c r="BX34" i="28" l="1"/>
  <c r="BZ57" i="27" s="1"/>
  <c r="BZ61" i="27" s="1"/>
  <c r="K70" i="34"/>
  <c r="K18" i="34"/>
  <c r="L5" i="37"/>
  <c r="M4" i="37"/>
  <c r="L6" i="37"/>
  <c r="L7" i="37" s="1"/>
  <c r="L8" i="37" s="1"/>
  <c r="L29" i="34" s="1"/>
  <c r="L30" i="34" s="1"/>
  <c r="L31" i="34" s="1"/>
  <c r="L33" i="37"/>
  <c r="L34" i="37" s="1"/>
  <c r="L35" i="37" s="1"/>
  <c r="L36" i="37" s="1"/>
  <c r="L69" i="34" s="1"/>
  <c r="M32" i="37"/>
  <c r="L12" i="37"/>
  <c r="L13" i="37" s="1"/>
  <c r="L14" i="37" s="1"/>
  <c r="L15" i="37" s="1"/>
  <c r="L39" i="34" s="1"/>
  <c r="L40" i="34" s="1"/>
  <c r="L41" i="34" s="1"/>
  <c r="M11" i="37"/>
  <c r="L19" i="37"/>
  <c r="L20" i="37" s="1"/>
  <c r="L21" i="37" s="1"/>
  <c r="L22" i="37" s="1"/>
  <c r="L49" i="34" s="1"/>
  <c r="L50" i="34" s="1"/>
  <c r="L51" i="34" s="1"/>
  <c r="M18" i="37"/>
  <c r="L26" i="37"/>
  <c r="L27" i="37" s="1"/>
  <c r="L28" i="37" s="1"/>
  <c r="L29" i="37" s="1"/>
  <c r="L59" i="34" s="1"/>
  <c r="L60" i="34" s="1"/>
  <c r="L61" i="34" s="1"/>
  <c r="M25" i="37"/>
  <c r="I71" i="34"/>
  <c r="I20" i="34" s="1"/>
  <c r="I19" i="34"/>
  <c r="J18" i="34"/>
  <c r="J71" i="34"/>
  <c r="J20" i="34" s="1"/>
  <c r="J19" i="34"/>
  <c r="BX31" i="28"/>
  <c r="BX20" i="28"/>
  <c r="BZ71" i="27"/>
  <c r="BY6" i="27"/>
  <c r="M12" i="37" l="1"/>
  <c r="M13" i="37" s="1"/>
  <c r="M33" i="37"/>
  <c r="M34" i="37"/>
  <c r="M35" i="37" s="1"/>
  <c r="M36" i="37" s="1"/>
  <c r="M69" i="34" s="1"/>
  <c r="L18" i="34"/>
  <c r="L70" i="34"/>
  <c r="M26" i="37"/>
  <c r="M27" i="37" s="1"/>
  <c r="M5" i="37"/>
  <c r="M6" i="37" s="1"/>
  <c r="M7" i="37" s="1"/>
  <c r="M8" i="37" s="1"/>
  <c r="M29" i="34" s="1"/>
  <c r="M30" i="34" s="1"/>
  <c r="M31" i="34" s="1"/>
  <c r="M19" i="37"/>
  <c r="M20" i="37" s="1"/>
  <c r="M21" i="37" s="1"/>
  <c r="M22" i="37" s="1"/>
  <c r="M49" i="34" s="1"/>
  <c r="M50" i="34" s="1"/>
  <c r="M51" i="34" s="1"/>
  <c r="K71" i="34"/>
  <c r="K20" i="34" s="1"/>
  <c r="K19" i="34"/>
  <c r="BZ27" i="27"/>
  <c r="BX36" i="28"/>
  <c r="E85" i="34"/>
  <c r="L71" i="34" l="1"/>
  <c r="L20" i="34" s="1"/>
  <c r="L19" i="34"/>
  <c r="M28" i="37"/>
  <c r="M29" i="37" s="1"/>
  <c r="M59" i="34" s="1"/>
  <c r="M60" i="34" s="1"/>
  <c r="M61" i="34" s="1"/>
  <c r="M70" i="34"/>
  <c r="M14" i="37"/>
  <c r="M15" i="37" s="1"/>
  <c r="M39" i="34" s="1"/>
  <c r="M40" i="34" s="1"/>
  <c r="M41" i="34" s="1"/>
  <c r="BZ31" i="27"/>
  <c r="BZ20" i="27" s="1"/>
  <c r="BZ16" i="27"/>
  <c r="BY85" i="27"/>
  <c r="D65" i="36"/>
  <c r="D64" i="36"/>
  <c r="D63" i="36"/>
  <c r="D62" i="36"/>
  <c r="D61" i="36"/>
  <c r="D56" i="36"/>
  <c r="D28" i="36"/>
  <c r="D19" i="36"/>
  <c r="D18" i="36"/>
  <c r="D17" i="36"/>
  <c r="D16" i="36"/>
  <c r="D15" i="36"/>
  <c r="D14" i="36"/>
  <c r="D11" i="36"/>
  <c r="E87" i="34"/>
  <c r="E88" i="34" s="1"/>
  <c r="E78" i="34"/>
  <c r="E8" i="34"/>
  <c r="E31" i="37"/>
  <c r="E24" i="37"/>
  <c r="E17" i="37"/>
  <c r="E10" i="37"/>
  <c r="M19" i="34" l="1"/>
  <c r="M71" i="34"/>
  <c r="M20" i="34" s="1"/>
  <c r="M18" i="34"/>
  <c r="D33" i="36"/>
  <c r="E47" i="34" s="1"/>
  <c r="D34" i="36"/>
  <c r="E57" i="34" s="1"/>
  <c r="D35" i="36"/>
  <c r="E67" i="34" s="1"/>
  <c r="D32" i="36"/>
  <c r="E37" i="34" s="1"/>
  <c r="D20" i="36"/>
  <c r="D31" i="36"/>
  <c r="D66" i="36"/>
  <c r="D69" i="36" s="1"/>
  <c r="F89" i="34"/>
  <c r="E13" i="37"/>
  <c r="E27" i="37"/>
  <c r="E28" i="37" s="1"/>
  <c r="E29" i="37" s="1"/>
  <c r="F93" i="34" l="1"/>
  <c r="G93" i="34" s="1"/>
  <c r="F90" i="34"/>
  <c r="G90" i="34" s="1"/>
  <c r="F91" i="34"/>
  <c r="F92" i="34" s="1"/>
  <c r="G89" i="34" s="1"/>
  <c r="G91" i="34" s="1"/>
  <c r="G92" i="34" s="1"/>
  <c r="E68" i="34"/>
  <c r="D71" i="36"/>
  <c r="E48" i="34" s="1"/>
  <c r="D72" i="36"/>
  <c r="E58" i="34" s="1"/>
  <c r="E59" i="34" s="1"/>
  <c r="D70" i="36"/>
  <c r="E38" i="34" s="1"/>
  <c r="E14" i="37"/>
  <c r="E15" i="37" s="1"/>
  <c r="E28" i="34"/>
  <c r="E34" i="37"/>
  <c r="E35" i="37" s="1"/>
  <c r="E36" i="37" s="1"/>
  <c r="E20" i="37"/>
  <c r="E21" i="37" s="1"/>
  <c r="E22" i="37" s="1"/>
  <c r="E6" i="37"/>
  <c r="D36" i="36"/>
  <c r="E27" i="34"/>
  <c r="E16" i="34" s="1"/>
  <c r="E17" i="34" l="1"/>
  <c r="E49" i="34"/>
  <c r="E50" i="34" s="1"/>
  <c r="E51" i="34" s="1"/>
  <c r="E69" i="34"/>
  <c r="E70" i="34" s="1"/>
  <c r="E60" i="34"/>
  <c r="E61" i="34" s="1"/>
  <c r="D74" i="36"/>
  <c r="E39" i="34"/>
  <c r="E29" i="34"/>
  <c r="E40" i="34" l="1"/>
  <c r="E41" i="34" s="1"/>
  <c r="E18" i="34"/>
  <c r="E30" i="34"/>
  <c r="E31" i="34" s="1"/>
  <c r="E71" i="34"/>
  <c r="E19" i="34" l="1"/>
  <c r="E20" i="34"/>
  <c r="BK31" i="30" l="1"/>
  <c r="BK24" i="30"/>
  <c r="BK17" i="30"/>
  <c r="BK10" i="30"/>
  <c r="BK3" i="30"/>
  <c r="BW65" i="28"/>
  <c r="BW64" i="28"/>
  <c r="BW63" i="28"/>
  <c r="BW62" i="28"/>
  <c r="BW61" i="28"/>
  <c r="BW56" i="28"/>
  <c r="BW28" i="28"/>
  <c r="BY87" i="27"/>
  <c r="BY88" i="27" s="1"/>
  <c r="BY78" i="27"/>
  <c r="BY8" i="27"/>
  <c r="BX6" i="27"/>
  <c r="D6" i="34"/>
  <c r="BK13" i="30" l="1"/>
  <c r="BK27" i="30"/>
  <c r="BW66" i="28"/>
  <c r="BW69" i="28" s="1"/>
  <c r="BW11" i="28"/>
  <c r="BV10" i="28"/>
  <c r="BW19" i="28" s="1"/>
  <c r="BV9" i="28"/>
  <c r="BW18" i="28" s="1"/>
  <c r="BV8" i="28"/>
  <c r="BW17" i="28" s="1"/>
  <c r="BW34" i="28" s="1"/>
  <c r="BY57" i="27" s="1"/>
  <c r="BV7" i="28"/>
  <c r="BW16" i="28" s="1"/>
  <c r="BW33" i="28" s="1"/>
  <c r="BY47" i="27" s="1"/>
  <c r="BV6" i="28"/>
  <c r="BW15" i="28" s="1"/>
  <c r="BV5" i="28"/>
  <c r="BW14" i="28" s="1"/>
  <c r="BW20" i="28" l="1"/>
  <c r="BW35" i="28"/>
  <c r="BY67" i="27" s="1"/>
  <c r="BW31" i="28"/>
  <c r="BW32" i="28"/>
  <c r="BY37" i="27" s="1"/>
  <c r="BK28" i="30"/>
  <c r="BK29" i="30" s="1"/>
  <c r="BK14" i="30"/>
  <c r="BK15" i="30" s="1"/>
  <c r="BK34" i="30"/>
  <c r="BK35" i="30" s="1"/>
  <c r="BK36" i="30" s="1"/>
  <c r="BK20" i="30"/>
  <c r="BK21" i="30" s="1"/>
  <c r="BK22" i="30" s="1"/>
  <c r="BK6" i="30"/>
  <c r="BK7" i="30" s="1"/>
  <c r="BK8" i="30" s="1"/>
  <c r="BY28" i="27"/>
  <c r="BY29" i="27" s="1"/>
  <c r="BW73" i="28"/>
  <c r="BY68" i="27" s="1"/>
  <c r="BY69" i="27" s="1"/>
  <c r="BW72" i="28"/>
  <c r="BY58" i="27" s="1"/>
  <c r="BY59" i="27" s="1"/>
  <c r="BW71" i="28"/>
  <c r="BY48" i="27" s="1"/>
  <c r="BY49" i="27" s="1"/>
  <c r="BW70" i="28"/>
  <c r="BY38" i="27" s="1"/>
  <c r="BY39" i="27" s="1"/>
  <c r="BY27" i="27"/>
  <c r="B74" i="36"/>
  <c r="B65" i="36"/>
  <c r="B64" i="36"/>
  <c r="B63" i="36"/>
  <c r="B62" i="36"/>
  <c r="B61" i="36"/>
  <c r="B56" i="36"/>
  <c r="C56" i="36"/>
  <c r="B36" i="36"/>
  <c r="B28" i="36"/>
  <c r="B20" i="36"/>
  <c r="B11" i="36"/>
  <c r="C11" i="36"/>
  <c r="C17" i="36"/>
  <c r="C63" i="36"/>
  <c r="D8" i="34"/>
  <c r="D31" i="37"/>
  <c r="D24" i="37"/>
  <c r="D17" i="37"/>
  <c r="D10" i="37"/>
  <c r="D3" i="37"/>
  <c r="D4" i="37" s="1"/>
  <c r="C65" i="36"/>
  <c r="C64" i="36"/>
  <c r="C62" i="36"/>
  <c r="C61" i="36"/>
  <c r="C28" i="36"/>
  <c r="C19" i="36"/>
  <c r="C18" i="36"/>
  <c r="C14" i="36"/>
  <c r="D87" i="34"/>
  <c r="D78" i="34"/>
  <c r="BJ31" i="30"/>
  <c r="BJ24" i="30"/>
  <c r="BJ17" i="30"/>
  <c r="BJ10" i="30"/>
  <c r="BJ3" i="30"/>
  <c r="BV65" i="28"/>
  <c r="BV64" i="28"/>
  <c r="BV63" i="28"/>
  <c r="BV62" i="28"/>
  <c r="BV61" i="28"/>
  <c r="BV56" i="28"/>
  <c r="BV28" i="28"/>
  <c r="BX85" i="27"/>
  <c r="BX87" i="27" s="1"/>
  <c r="BX88" i="27" s="1"/>
  <c r="BX78" i="27"/>
  <c r="BX8" i="27"/>
  <c r="BK87" i="27"/>
  <c r="BN87" i="27"/>
  <c r="BQ87" i="27"/>
  <c r="BW88" i="27"/>
  <c r="BT87" i="27"/>
  <c r="BT88" i="27" s="1"/>
  <c r="BW36" i="28" l="1"/>
  <c r="B66" i="36"/>
  <c r="BY16" i="27"/>
  <c r="BY60" i="27"/>
  <c r="BY61" i="27" s="1"/>
  <c r="BY40" i="27"/>
  <c r="BY41" i="27" s="1"/>
  <c r="BY17" i="27"/>
  <c r="BW74" i="28"/>
  <c r="C31" i="36"/>
  <c r="C35" i="36"/>
  <c r="D67" i="34" s="1"/>
  <c r="C15" i="36"/>
  <c r="C16" i="36"/>
  <c r="C33" i="36" s="1"/>
  <c r="D47" i="34" s="1"/>
  <c r="C34" i="36"/>
  <c r="D57" i="34" s="1"/>
  <c r="C66" i="36"/>
  <c r="C70" i="36" s="1"/>
  <c r="D38" i="34" s="1"/>
  <c r="BV11" i="28"/>
  <c r="BV66" i="28"/>
  <c r="BV69" i="28" s="1"/>
  <c r="BU10" i="28"/>
  <c r="BV19" i="28" s="1"/>
  <c r="BU9" i="28"/>
  <c r="BV18" i="28" s="1"/>
  <c r="BU8" i="28"/>
  <c r="BV17" i="28" s="1"/>
  <c r="BU7" i="28"/>
  <c r="BV16" i="28" s="1"/>
  <c r="BU6" i="28"/>
  <c r="BV15" i="28" s="1"/>
  <c r="BV32" i="28" s="1"/>
  <c r="BX37" i="27" s="1"/>
  <c r="BU5" i="28"/>
  <c r="BV14" i="28" s="1"/>
  <c r="BV20" i="28" l="1"/>
  <c r="C73" i="36"/>
  <c r="BV33" i="28"/>
  <c r="BX47" i="27" s="1"/>
  <c r="BV34" i="28"/>
  <c r="BX57" i="27" s="1"/>
  <c r="BV35" i="28"/>
  <c r="BX67" i="27" s="1"/>
  <c r="BV31" i="28"/>
  <c r="BV36" i="28" s="1"/>
  <c r="BY18" i="27"/>
  <c r="BY30" i="27"/>
  <c r="BY31" i="27" s="1"/>
  <c r="BY50" i="27"/>
  <c r="BY51" i="27" s="1"/>
  <c r="BY70" i="27"/>
  <c r="C20" i="36"/>
  <c r="C71" i="36"/>
  <c r="D48" i="34" s="1"/>
  <c r="C69" i="36"/>
  <c r="D28" i="34" s="1"/>
  <c r="D68" i="34"/>
  <c r="C72" i="36"/>
  <c r="D58" i="34" s="1"/>
  <c r="D60" i="34" s="1"/>
  <c r="D61" i="34" s="1"/>
  <c r="C32" i="36"/>
  <c r="D37" i="34" s="1"/>
  <c r="D89" i="34"/>
  <c r="D27" i="34"/>
  <c r="D79" i="34"/>
  <c r="D81" i="34" s="1"/>
  <c r="D82" i="34" s="1"/>
  <c r="E79" i="34" s="1"/>
  <c r="E81" i="34" s="1"/>
  <c r="E82" i="34" s="1"/>
  <c r="F79" i="34" s="1"/>
  <c r="F81" i="34" s="1"/>
  <c r="F82" i="34" s="1"/>
  <c r="G79" i="34" s="1"/>
  <c r="G81" i="34" s="1"/>
  <c r="G82" i="34" s="1"/>
  <c r="BX28" i="27"/>
  <c r="BV70" i="28"/>
  <c r="BX38" i="27" s="1"/>
  <c r="BV73" i="28"/>
  <c r="BX68" i="27" s="1"/>
  <c r="BV72" i="28"/>
  <c r="BX58" i="27" s="1"/>
  <c r="BV71" i="28"/>
  <c r="BX48" i="27" s="1"/>
  <c r="BW6" i="27"/>
  <c r="BW8" i="27" s="1"/>
  <c r="BI31" i="30"/>
  <c r="BI24" i="30"/>
  <c r="BI17" i="30"/>
  <c r="BI10" i="30"/>
  <c r="BI3" i="30"/>
  <c r="BU65" i="28"/>
  <c r="BU64" i="28"/>
  <c r="BU63" i="28"/>
  <c r="BU62" i="28"/>
  <c r="BU61" i="28"/>
  <c r="BU56" i="28"/>
  <c r="BU28" i="28"/>
  <c r="BW85" i="27"/>
  <c r="BW78" i="27"/>
  <c r="BT10" i="28"/>
  <c r="BU19" i="28" s="1"/>
  <c r="BT9" i="28"/>
  <c r="BU18" i="28" s="1"/>
  <c r="BT8" i="28"/>
  <c r="BU17" i="28" s="1"/>
  <c r="BT7" i="28"/>
  <c r="BU16" i="28" s="1"/>
  <c r="BT6" i="28"/>
  <c r="BU15" i="28" s="1"/>
  <c r="BT5" i="28"/>
  <c r="BV6" i="27"/>
  <c r="D91" i="34" l="1"/>
  <c r="D92" i="34" s="1"/>
  <c r="BX27" i="27"/>
  <c r="BX16" i="27" s="1"/>
  <c r="BY19" i="27"/>
  <c r="BY71" i="27"/>
  <c r="C74" i="36"/>
  <c r="C36" i="36"/>
  <c r="D80" i="34"/>
  <c r="E80" i="34" s="1"/>
  <c r="F80" i="34" s="1"/>
  <c r="G80" i="34" s="1"/>
  <c r="D16" i="34"/>
  <c r="D17" i="34"/>
  <c r="D90" i="34"/>
  <c r="BX17" i="27"/>
  <c r="BV74" i="28"/>
  <c r="BU32" i="28"/>
  <c r="BW37" i="27" s="1"/>
  <c r="BU33" i="28"/>
  <c r="BW47" i="27" s="1"/>
  <c r="BU34" i="28"/>
  <c r="BW57" i="27" s="1"/>
  <c r="BU35" i="28"/>
  <c r="BW67" i="27" s="1"/>
  <c r="BU11" i="28"/>
  <c r="BU66" i="28"/>
  <c r="BU69" i="28" s="1"/>
  <c r="BU14" i="28"/>
  <c r="BH31" i="30"/>
  <c r="BH24" i="30"/>
  <c r="BH17" i="30"/>
  <c r="BH10" i="30"/>
  <c r="BH3" i="30"/>
  <c r="BT65" i="28"/>
  <c r="BT64" i="28"/>
  <c r="BT63" i="28"/>
  <c r="BT62" i="28"/>
  <c r="BT61" i="28"/>
  <c r="BT56" i="28"/>
  <c r="BT28" i="28"/>
  <c r="BY20" i="27" l="1"/>
  <c r="BW28" i="27"/>
  <c r="BU20" i="28"/>
  <c r="BU31" i="28"/>
  <c r="BU73" i="28"/>
  <c r="BW68" i="27" s="1"/>
  <c r="BU71" i="28"/>
  <c r="BW48" i="27" s="1"/>
  <c r="BU72" i="28"/>
  <c r="BW58" i="27" s="1"/>
  <c r="BU70" i="28"/>
  <c r="BW38" i="27" s="1"/>
  <c r="BT66" i="28"/>
  <c r="BT69" i="28" s="1"/>
  <c r="BT11" i="28"/>
  <c r="BW17" i="27" l="1"/>
  <c r="BU36" i="28"/>
  <c r="BW27" i="27"/>
  <c r="BW16" i="27" s="1"/>
  <c r="BU74" i="28"/>
  <c r="BT73" i="28"/>
  <c r="BT72" i="28"/>
  <c r="BT71" i="28"/>
  <c r="BT70" i="28"/>
  <c r="BT74" i="28" s="1"/>
  <c r="BV8" i="27" l="1"/>
  <c r="BV85" i="27"/>
  <c r="BV87" i="27" s="1"/>
  <c r="BV88" i="27" s="1"/>
  <c r="BV78" i="27"/>
  <c r="BV68" i="27"/>
  <c r="BV58" i="27"/>
  <c r="BV48" i="27"/>
  <c r="BV38" i="27"/>
  <c r="BV28" i="27"/>
  <c r="BS10" i="28"/>
  <c r="BT19" i="28" s="1"/>
  <c r="BS9" i="28"/>
  <c r="BT18" i="28" s="1"/>
  <c r="BS8" i="28"/>
  <c r="BT17" i="28" s="1"/>
  <c r="BS7" i="28"/>
  <c r="BT16" i="28" s="1"/>
  <c r="BS6" i="28"/>
  <c r="BT15" i="28" s="1"/>
  <c r="BS5" i="28"/>
  <c r="BT14" i="28" s="1"/>
  <c r="BU6" i="27"/>
  <c r="BT34" i="28" l="1"/>
  <c r="BV57" i="27" s="1"/>
  <c r="BT35" i="28"/>
  <c r="BV67" i="27" s="1"/>
  <c r="BT33" i="28"/>
  <c r="BV47" i="27" s="1"/>
  <c r="BT32" i="28"/>
  <c r="BV37" i="27" s="1"/>
  <c r="BT31" i="28"/>
  <c r="BT20" i="28"/>
  <c r="BV17" i="27"/>
  <c r="BG31" i="30"/>
  <c r="BG24" i="30"/>
  <c r="BG17" i="30"/>
  <c r="BG10" i="30"/>
  <c r="BG3" i="30"/>
  <c r="BS65" i="28"/>
  <c r="BS64" i="28"/>
  <c r="BS63" i="28"/>
  <c r="BS62" i="28"/>
  <c r="BS61" i="28"/>
  <c r="BS56" i="28"/>
  <c r="BS28" i="28"/>
  <c r="BT36" i="28" l="1"/>
  <c r="BV27" i="27"/>
  <c r="BV16" i="27" s="1"/>
  <c r="D11" i="37"/>
  <c r="BS66" i="28"/>
  <c r="BS69" i="28" s="1"/>
  <c r="BS11" i="28"/>
  <c r="D12" i="37" l="1"/>
  <c r="D13" i="37" s="1"/>
  <c r="D32" i="37"/>
  <c r="BS73" i="28"/>
  <c r="BS72" i="28"/>
  <c r="BS71" i="28"/>
  <c r="BS70" i="28"/>
  <c r="D14" i="37" l="1"/>
  <c r="D40" i="34" s="1"/>
  <c r="D41" i="34" s="1"/>
  <c r="D25" i="37"/>
  <c r="D33" i="37"/>
  <c r="D34" i="37" s="1"/>
  <c r="BS74" i="28"/>
  <c r="BU8" i="27"/>
  <c r="BU85" i="27"/>
  <c r="BU87" i="27" s="1"/>
  <c r="BU88" i="27" s="1"/>
  <c r="BU78" i="27"/>
  <c r="BU68" i="27"/>
  <c r="BU58" i="27"/>
  <c r="BU48" i="27"/>
  <c r="BU38" i="27"/>
  <c r="BU28" i="27"/>
  <c r="BQ88" i="27"/>
  <c r="BT84" i="27"/>
  <c r="D26" i="37" l="1"/>
  <c r="D27" i="37" s="1"/>
  <c r="D18" i="37"/>
  <c r="D35" i="37"/>
  <c r="D5" i="37"/>
  <c r="BU17" i="27"/>
  <c r="BR10" i="28"/>
  <c r="BS19" i="28" s="1"/>
  <c r="BR9" i="28"/>
  <c r="BS18" i="28" s="1"/>
  <c r="BS35" i="28" s="1"/>
  <c r="BU67" i="27" s="1"/>
  <c r="BR8" i="28"/>
  <c r="BS17" i="28" s="1"/>
  <c r="BS34" i="28" s="1"/>
  <c r="BU57" i="27" s="1"/>
  <c r="BR7" i="28"/>
  <c r="BS16" i="28" s="1"/>
  <c r="BR6" i="28"/>
  <c r="BS15" i="28" s="1"/>
  <c r="BS32" i="28" s="1"/>
  <c r="BU37" i="27" s="1"/>
  <c r="BR5" i="28"/>
  <c r="BS14" i="28" s="1"/>
  <c r="BT6" i="27"/>
  <c r="BS20" i="28" l="1"/>
  <c r="BS31" i="28"/>
  <c r="BS33" i="28"/>
  <c r="BU47" i="27" s="1"/>
  <c r="D6" i="37"/>
  <c r="D7" i="37"/>
  <c r="D30" i="34" s="1"/>
  <c r="D31" i="34" s="1"/>
  <c r="D19" i="37"/>
  <c r="D20" i="37" s="1"/>
  <c r="D28" i="37"/>
  <c r="D70" i="34"/>
  <c r="BF31" i="30"/>
  <c r="BF24" i="30"/>
  <c r="BF17" i="30"/>
  <c r="BF10" i="30"/>
  <c r="BF3" i="30"/>
  <c r="BR65" i="28"/>
  <c r="BR64" i="28"/>
  <c r="BR63" i="28"/>
  <c r="BR62" i="28"/>
  <c r="BR61" i="28"/>
  <c r="BR56" i="28"/>
  <c r="BR28" i="28"/>
  <c r="BS36" i="28" l="1"/>
  <c r="BU27" i="27"/>
  <c r="BU16" i="27" s="1"/>
  <c r="D71" i="34"/>
  <c r="D42" i="34"/>
  <c r="D43" i="34" s="1"/>
  <c r="D44" i="34" s="1"/>
  <c r="E42" i="34" s="1"/>
  <c r="E43" i="34" s="1"/>
  <c r="E44" i="34" s="1"/>
  <c r="F42" i="34" s="1"/>
  <c r="F43" i="34" s="1"/>
  <c r="F44" i="34" s="1"/>
  <c r="G42" i="34" s="1"/>
  <c r="G43" i="34" s="1"/>
  <c r="G44" i="34" s="1"/>
  <c r="H42" i="34" s="1"/>
  <c r="H43" i="34" s="1"/>
  <c r="H44" i="34" s="1"/>
  <c r="I42" i="34" s="1"/>
  <c r="I43" i="34" s="1"/>
  <c r="I44" i="34" s="1"/>
  <c r="J42" i="34" s="1"/>
  <c r="J43" i="34" s="1"/>
  <c r="J44" i="34" s="1"/>
  <c r="K42" i="34" s="1"/>
  <c r="K43" i="34" s="1"/>
  <c r="K44" i="34" s="1"/>
  <c r="L42" i="34" s="1"/>
  <c r="L43" i="34" s="1"/>
  <c r="L44" i="34" s="1"/>
  <c r="M42" i="34" s="1"/>
  <c r="M43" i="34" s="1"/>
  <c r="M44" i="34" s="1"/>
  <c r="D21" i="37"/>
  <c r="D50" i="34" s="1"/>
  <c r="D51" i="34" s="1"/>
  <c r="BR66" i="28"/>
  <c r="BR70" i="28" s="1"/>
  <c r="BR11" i="28"/>
  <c r="D18" i="34" l="1"/>
  <c r="D19" i="34"/>
  <c r="D20" i="34"/>
  <c r="BR69" i="28"/>
  <c r="BR73" i="28"/>
  <c r="BR72" i="28"/>
  <c r="BR71" i="28"/>
  <c r="D32" i="34" l="1"/>
  <c r="D33" i="34" s="1"/>
  <c r="D34" i="34" s="1"/>
  <c r="E32" i="34" s="1"/>
  <c r="E33" i="34" s="1"/>
  <c r="E34" i="34" s="1"/>
  <c r="F32" i="34" s="1"/>
  <c r="BR74" i="28"/>
  <c r="BT85" i="27"/>
  <c r="BT78" i="27"/>
  <c r="BT68" i="27"/>
  <c r="BT58" i="27"/>
  <c r="BT48" i="27"/>
  <c r="BT38" i="27"/>
  <c r="BT28" i="27"/>
  <c r="BT8" i="27"/>
  <c r="BQ10" i="28"/>
  <c r="BQ9" i="28"/>
  <c r="BQ8" i="28"/>
  <c r="BQ7" i="28"/>
  <c r="BQ6" i="28"/>
  <c r="BQ5" i="28"/>
  <c r="BR14" i="28" s="1"/>
  <c r="BS6" i="27"/>
  <c r="BS8" i="27" s="1"/>
  <c r="BE3" i="30"/>
  <c r="BE31" i="30"/>
  <c r="BE24" i="30"/>
  <c r="BE17" i="30"/>
  <c r="BE10" i="30"/>
  <c r="BQ65" i="28"/>
  <c r="BQ64" i="28"/>
  <c r="BQ63" i="28"/>
  <c r="BQ62" i="28"/>
  <c r="BQ61" i="28"/>
  <c r="BQ56" i="28"/>
  <c r="BQ28" i="28"/>
  <c r="BS85" i="27"/>
  <c r="BS87" i="27" s="1"/>
  <c r="BS88" i="27" s="1"/>
  <c r="BS78" i="27"/>
  <c r="BP10" i="28"/>
  <c r="BP9" i="28"/>
  <c r="BP8" i="28"/>
  <c r="BP7" i="28"/>
  <c r="BP6" i="28"/>
  <c r="BP5" i="28"/>
  <c r="BR6" i="27"/>
  <c r="BR8" i="27" s="1"/>
  <c r="BD31" i="30"/>
  <c r="BD24" i="30"/>
  <c r="BD17" i="30"/>
  <c r="BD10" i="30"/>
  <c r="BD3" i="30"/>
  <c r="BP65" i="28"/>
  <c r="BP64" i="28"/>
  <c r="BP63" i="28"/>
  <c r="BP62" i="28"/>
  <c r="BP61" i="28"/>
  <c r="BP56" i="28"/>
  <c r="BP28" i="28"/>
  <c r="BR87" i="27"/>
  <c r="BR88" i="27" s="1"/>
  <c r="BR85" i="27"/>
  <c r="BR78" i="27"/>
  <c r="BQ84" i="27"/>
  <c r="BQ19" i="28" l="1"/>
  <c r="BR19" i="28"/>
  <c r="BR31" i="28" s="1"/>
  <c r="BQ16" i="28"/>
  <c r="BQ33" i="28" s="1"/>
  <c r="BS47" i="27" s="1"/>
  <c r="BR16" i="28"/>
  <c r="BQ17" i="28"/>
  <c r="BQ34" i="28" s="1"/>
  <c r="BS57" i="27" s="1"/>
  <c r="BR17" i="28"/>
  <c r="BR34" i="28" s="1"/>
  <c r="BT57" i="27" s="1"/>
  <c r="BQ18" i="28"/>
  <c r="BQ35" i="28" s="1"/>
  <c r="BS67" i="27" s="1"/>
  <c r="BR18" i="28"/>
  <c r="BP17" i="28"/>
  <c r="BQ15" i="28"/>
  <c r="BQ32" i="28" s="1"/>
  <c r="BS37" i="27" s="1"/>
  <c r="BR15" i="28"/>
  <c r="BR20" i="28" s="1"/>
  <c r="F33" i="34"/>
  <c r="D62" i="34"/>
  <c r="D63" i="34" s="1"/>
  <c r="D64" i="34" s="1"/>
  <c r="D52" i="34"/>
  <c r="D53" i="34" s="1"/>
  <c r="D54" i="34" s="1"/>
  <c r="E52" i="34" s="1"/>
  <c r="E53" i="34" s="1"/>
  <c r="E54" i="34" s="1"/>
  <c r="F52" i="34" s="1"/>
  <c r="F53" i="34" s="1"/>
  <c r="F54" i="34" s="1"/>
  <c r="G52" i="34" s="1"/>
  <c r="G53" i="34" s="1"/>
  <c r="G54" i="34" s="1"/>
  <c r="H52" i="34" s="1"/>
  <c r="H53" i="34" s="1"/>
  <c r="H54" i="34" s="1"/>
  <c r="I52" i="34" s="1"/>
  <c r="I53" i="34" s="1"/>
  <c r="I54" i="34" s="1"/>
  <c r="J52" i="34" s="1"/>
  <c r="J53" i="34" s="1"/>
  <c r="J54" i="34" s="1"/>
  <c r="K52" i="34" s="1"/>
  <c r="K53" i="34" s="1"/>
  <c r="K54" i="34" s="1"/>
  <c r="L52" i="34" s="1"/>
  <c r="L53" i="34" s="1"/>
  <c r="L54" i="34" s="1"/>
  <c r="M52" i="34" s="1"/>
  <c r="M53" i="34" s="1"/>
  <c r="M54" i="34" s="1"/>
  <c r="BT17" i="27"/>
  <c r="BQ66" i="28"/>
  <c r="BQ69" i="28" s="1"/>
  <c r="BQ11" i="28"/>
  <c r="BQ14" i="28"/>
  <c r="BP66" i="28"/>
  <c r="BP69" i="28" s="1"/>
  <c r="BP11" i="28"/>
  <c r="BP14" i="28"/>
  <c r="BF87" i="27"/>
  <c r="BQ6" i="27"/>
  <c r="BQ8" i="27" s="1"/>
  <c r="BO10" i="28"/>
  <c r="BO9" i="28"/>
  <c r="BP18" i="28" s="1"/>
  <c r="BO8" i="28"/>
  <c r="BO7" i="28"/>
  <c r="BO6" i="28"/>
  <c r="BP15" i="28" s="1"/>
  <c r="BO5" i="28"/>
  <c r="BO14" i="28" s="1"/>
  <c r="BC31" i="30"/>
  <c r="BC24" i="30"/>
  <c r="BC17" i="30"/>
  <c r="BC10" i="30"/>
  <c r="BC3" i="30"/>
  <c r="BO65" i="28"/>
  <c r="BO64" i="28"/>
  <c r="BO63" i="28"/>
  <c r="BO62" i="28"/>
  <c r="BO61" i="28"/>
  <c r="BO56" i="28"/>
  <c r="BO28" i="28"/>
  <c r="BO15" i="28"/>
  <c r="BQ85" i="27"/>
  <c r="BQ78" i="27"/>
  <c r="BN10" i="28"/>
  <c r="BN9" i="28"/>
  <c r="BN8" i="28"/>
  <c r="BN7" i="28"/>
  <c r="BN6" i="28"/>
  <c r="BN5" i="28"/>
  <c r="BP6" i="27"/>
  <c r="BR33" i="28" l="1"/>
  <c r="BT47" i="27" s="1"/>
  <c r="BT27" i="27"/>
  <c r="BO18" i="28"/>
  <c r="BO19" i="28"/>
  <c r="BO32" i="28" s="1"/>
  <c r="BQ37" i="27" s="1"/>
  <c r="BP19" i="28"/>
  <c r="BR32" i="28"/>
  <c r="BT37" i="27" s="1"/>
  <c r="BO16" i="28"/>
  <c r="BO33" i="28" s="1"/>
  <c r="BQ47" i="27" s="1"/>
  <c r="BP16" i="28"/>
  <c r="BR35" i="28"/>
  <c r="BT67" i="27" s="1"/>
  <c r="BO17" i="28"/>
  <c r="F34" i="34"/>
  <c r="E62" i="34"/>
  <c r="E63" i="34" s="1"/>
  <c r="E64" i="34" s="1"/>
  <c r="F62" i="34" s="1"/>
  <c r="F63" i="34" s="1"/>
  <c r="F64" i="34" s="1"/>
  <c r="G62" i="34" s="1"/>
  <c r="G63" i="34" s="1"/>
  <c r="G64" i="34" s="1"/>
  <c r="H62" i="34" s="1"/>
  <c r="H63" i="34" s="1"/>
  <c r="H64" i="34" s="1"/>
  <c r="I62" i="34" s="1"/>
  <c r="I63" i="34" s="1"/>
  <c r="I64" i="34" s="1"/>
  <c r="D10" i="34"/>
  <c r="D12" i="34" s="1"/>
  <c r="D13" i="34" s="1"/>
  <c r="E10" i="34" s="1"/>
  <c r="E12" i="34" s="1"/>
  <c r="E13" i="34" s="1"/>
  <c r="F10" i="34" s="1"/>
  <c r="F12" i="34" s="1"/>
  <c r="F13" i="34" s="1"/>
  <c r="G10" i="34" s="1"/>
  <c r="G12" i="34" s="1"/>
  <c r="G13" i="34" s="1"/>
  <c r="H10" i="34" s="1"/>
  <c r="H12" i="34" s="1"/>
  <c r="H13" i="34" s="1"/>
  <c r="I10" i="34" s="1"/>
  <c r="I12" i="34" s="1"/>
  <c r="I13" i="34" s="1"/>
  <c r="J10" i="34" s="1"/>
  <c r="J12" i="34" s="1"/>
  <c r="J13" i="34" s="1"/>
  <c r="K10" i="34" s="1"/>
  <c r="K12" i="34" s="1"/>
  <c r="K13" i="34" s="1"/>
  <c r="L10" i="34" s="1"/>
  <c r="L12" i="34" s="1"/>
  <c r="L13" i="34" s="1"/>
  <c r="M10" i="34" s="1"/>
  <c r="M12" i="34" s="1"/>
  <c r="M13" i="34" s="1"/>
  <c r="BS28" i="27"/>
  <c r="BQ31" i="28"/>
  <c r="BQ20" i="28"/>
  <c r="BQ73" i="28"/>
  <c r="BS68" i="27" s="1"/>
  <c r="BQ72" i="28"/>
  <c r="BS58" i="27" s="1"/>
  <c r="BQ71" i="28"/>
  <c r="BS48" i="27" s="1"/>
  <c r="BQ70" i="28"/>
  <c r="BS38" i="27" s="1"/>
  <c r="BP72" i="28"/>
  <c r="BR58" i="27" s="1"/>
  <c r="BR28" i="27"/>
  <c r="BP73" i="28"/>
  <c r="BR68" i="27" s="1"/>
  <c r="BP71" i="28"/>
  <c r="BR48" i="27" s="1"/>
  <c r="BP70" i="28"/>
  <c r="BR38" i="27" s="1"/>
  <c r="BO66" i="28"/>
  <c r="BO69" i="28" s="1"/>
  <c r="BO11" i="28"/>
  <c r="BB3" i="30"/>
  <c r="BB31" i="30"/>
  <c r="BB24" i="30"/>
  <c r="BB17" i="30"/>
  <c r="BB10" i="30"/>
  <c r="BN65" i="28"/>
  <c r="BN64" i="28"/>
  <c r="BN63" i="28"/>
  <c r="BN62" i="28"/>
  <c r="BN61" i="28"/>
  <c r="BN56" i="28"/>
  <c r="BN28" i="28"/>
  <c r="BP8" i="27"/>
  <c r="BP87" i="27"/>
  <c r="BP88" i="27" s="1"/>
  <c r="BP85" i="27"/>
  <c r="BP78" i="27"/>
  <c r="BM10" i="28"/>
  <c r="BN19" i="28" s="1"/>
  <c r="BM9" i="28"/>
  <c r="BN18" i="28" s="1"/>
  <c r="BM8" i="28"/>
  <c r="BN17" i="28" s="1"/>
  <c r="BM7" i="28"/>
  <c r="BN16" i="28" s="1"/>
  <c r="BM6" i="28"/>
  <c r="BN15" i="28" s="1"/>
  <c r="BM5" i="28"/>
  <c r="BO31" i="28" l="1"/>
  <c r="BP20" i="28"/>
  <c r="BO35" i="28"/>
  <c r="BQ67" i="27" s="1"/>
  <c r="BO20" i="28"/>
  <c r="BP33" i="28"/>
  <c r="BR47" i="27" s="1"/>
  <c r="BO34" i="28"/>
  <c r="BQ57" i="27" s="1"/>
  <c r="BN66" i="28"/>
  <c r="BN73" i="28" s="1"/>
  <c r="BP68" i="27" s="1"/>
  <c r="BP35" i="28"/>
  <c r="BR67" i="27" s="1"/>
  <c r="BP32" i="28"/>
  <c r="BR37" i="27" s="1"/>
  <c r="BP34" i="28"/>
  <c r="BR57" i="27" s="1"/>
  <c r="BP31" i="28"/>
  <c r="BR27" i="27" s="1"/>
  <c r="BT16" i="27"/>
  <c r="BR36" i="28"/>
  <c r="J62" i="34"/>
  <c r="J63" i="34" s="1"/>
  <c r="J64" i="34" s="1"/>
  <c r="K62" i="34" s="1"/>
  <c r="K63" i="34" s="1"/>
  <c r="K64" i="34" s="1"/>
  <c r="L62" i="34" s="1"/>
  <c r="L63" i="34" s="1"/>
  <c r="L64" i="34" s="1"/>
  <c r="M62" i="34" s="1"/>
  <c r="M63" i="34" s="1"/>
  <c r="M64" i="34" s="1"/>
  <c r="G32" i="34"/>
  <c r="G33" i="34" s="1"/>
  <c r="G34" i="34" s="1"/>
  <c r="H32" i="34" s="1"/>
  <c r="H33" i="34" s="1"/>
  <c r="H34" i="34" s="1"/>
  <c r="I32" i="34" s="1"/>
  <c r="I33" i="34" s="1"/>
  <c r="I34" i="34" s="1"/>
  <c r="J32" i="34" s="1"/>
  <c r="J33" i="34" s="1"/>
  <c r="J34" i="34" s="1"/>
  <c r="K32" i="34" s="1"/>
  <c r="K33" i="34" s="1"/>
  <c r="K34" i="34" s="1"/>
  <c r="L32" i="34" s="1"/>
  <c r="L33" i="34" s="1"/>
  <c r="L34" i="34" s="1"/>
  <c r="M32" i="34" s="1"/>
  <c r="M33" i="34" s="1"/>
  <c r="M34" i="34" s="1"/>
  <c r="D11" i="34"/>
  <c r="E11" i="34" s="1"/>
  <c r="F11" i="34" s="1"/>
  <c r="G11" i="34" s="1"/>
  <c r="H11" i="34" s="1"/>
  <c r="I11" i="34" s="1"/>
  <c r="J11" i="34" s="1"/>
  <c r="K11" i="34" s="1"/>
  <c r="L11" i="34" s="1"/>
  <c r="M11" i="34" s="1"/>
  <c r="BS17" i="27"/>
  <c r="BQ36" i="28"/>
  <c r="BS27" i="27"/>
  <c r="BS16" i="27" s="1"/>
  <c r="BQ74" i="28"/>
  <c r="BR17" i="27"/>
  <c r="BP74" i="28"/>
  <c r="BQ28" i="27"/>
  <c r="BO72" i="28"/>
  <c r="BQ58" i="27" s="1"/>
  <c r="BQ27" i="27"/>
  <c r="BO71" i="28"/>
  <c r="BQ48" i="27" s="1"/>
  <c r="BO70" i="28"/>
  <c r="BQ38" i="27" s="1"/>
  <c r="BO73" i="28"/>
  <c r="BQ68" i="27" s="1"/>
  <c r="BN35" i="28"/>
  <c r="BP67" i="27" s="1"/>
  <c r="BN32" i="28"/>
  <c r="BP37" i="27" s="1"/>
  <c r="BN33" i="28"/>
  <c r="BP47" i="27" s="1"/>
  <c r="BN34" i="28"/>
  <c r="BP57" i="27" s="1"/>
  <c r="BN11" i="28"/>
  <c r="BN14" i="28"/>
  <c r="BN31" i="28" s="1"/>
  <c r="BO6" i="27"/>
  <c r="BO36" i="28" l="1"/>
  <c r="BR16" i="27"/>
  <c r="BQ16" i="27"/>
  <c r="BN71" i="28"/>
  <c r="BP48" i="27" s="1"/>
  <c r="BN72" i="28"/>
  <c r="BP58" i="27" s="1"/>
  <c r="BN69" i="28"/>
  <c r="BP28" i="27" s="1"/>
  <c r="BP36" i="28"/>
  <c r="BN70" i="28"/>
  <c r="BP38" i="27" s="1"/>
  <c r="BQ17" i="27"/>
  <c r="BO74" i="28"/>
  <c r="BN20" i="28"/>
  <c r="BN36" i="28"/>
  <c r="BP27" i="27"/>
  <c r="BP16" i="27" s="1"/>
  <c r="BA31" i="30"/>
  <c r="BA24" i="30"/>
  <c r="BA17" i="30"/>
  <c r="BA10" i="30"/>
  <c r="BA3" i="30"/>
  <c r="BM65" i="28"/>
  <c r="BM64" i="28"/>
  <c r="BM63" i="28"/>
  <c r="BM62" i="28"/>
  <c r="BM61" i="28"/>
  <c r="BM56" i="28"/>
  <c r="BM28" i="28"/>
  <c r="BO87" i="27"/>
  <c r="BO88" i="27" s="1"/>
  <c r="BM87" i="27"/>
  <c r="BO8" i="27"/>
  <c r="BO85" i="27"/>
  <c r="BO78" i="27"/>
  <c r="BM66" i="28" l="1"/>
  <c r="BM73" i="28" s="1"/>
  <c r="BO68" i="27" s="1"/>
  <c r="BN74" i="28"/>
  <c r="BP17" i="27"/>
  <c r="BM11" i="28"/>
  <c r="BN88" i="27"/>
  <c r="BK88" i="27"/>
  <c r="BN84" i="27"/>
  <c r="BL10" i="28"/>
  <c r="BL9" i="28"/>
  <c r="BL8" i="28"/>
  <c r="BM17" i="28" s="1"/>
  <c r="BL7" i="28"/>
  <c r="BL6" i="28"/>
  <c r="BL5" i="28"/>
  <c r="BM14" i="28" s="1"/>
  <c r="BN6" i="27"/>
  <c r="BN8" i="27" s="1"/>
  <c r="AZ31" i="30"/>
  <c r="AZ32" i="30" s="1"/>
  <c r="AZ33" i="30" s="1"/>
  <c r="AZ24" i="30"/>
  <c r="AZ25" i="30" s="1"/>
  <c r="AZ26" i="30" s="1"/>
  <c r="AZ17" i="30"/>
  <c r="AZ18" i="30" s="1"/>
  <c r="AZ19" i="30" s="1"/>
  <c r="AZ20" i="30" s="1"/>
  <c r="AZ21" i="30" s="1"/>
  <c r="AZ10" i="30"/>
  <c r="AZ11" i="30" s="1"/>
  <c r="AZ12" i="30" s="1"/>
  <c r="AZ3" i="30"/>
  <c r="AZ4" i="30" s="1"/>
  <c r="AZ5" i="30" s="1"/>
  <c r="BL65" i="28"/>
  <c r="BL64" i="28"/>
  <c r="BL63" i="28"/>
  <c r="BL62" i="28"/>
  <c r="BL61" i="28"/>
  <c r="BL56" i="28"/>
  <c r="BL28" i="28"/>
  <c r="BN85" i="27"/>
  <c r="BN78" i="27"/>
  <c r="BM6" i="27"/>
  <c r="BM15" i="27"/>
  <c r="BM70" i="28" l="1"/>
  <c r="BO38" i="27" s="1"/>
  <c r="BM69" i="28"/>
  <c r="BM72" i="28"/>
  <c r="BO58" i="27" s="1"/>
  <c r="BM71" i="28"/>
  <c r="BO48" i="27" s="1"/>
  <c r="BA32" i="30"/>
  <c r="BB32" i="30" s="1"/>
  <c r="BC32" i="30" s="1"/>
  <c r="BL66" i="28"/>
  <c r="BL69" i="28" s="1"/>
  <c r="BM19" i="28"/>
  <c r="BM34" i="28" s="1"/>
  <c r="BO57" i="27" s="1"/>
  <c r="BM15" i="28"/>
  <c r="BM32" i="28" s="1"/>
  <c r="BO37" i="27" s="1"/>
  <c r="BM16" i="28"/>
  <c r="BM33" i="28" s="1"/>
  <c r="BO47" i="27" s="1"/>
  <c r="BA25" i="30"/>
  <c r="BA18" i="30"/>
  <c r="BA11" i="30"/>
  <c r="BA4" i="30"/>
  <c r="BM18" i="28"/>
  <c r="BA33" i="30"/>
  <c r="BM74" i="28"/>
  <c r="BO28" i="27"/>
  <c r="BL73" i="28"/>
  <c r="BN68" i="27" s="1"/>
  <c r="BL71" i="28"/>
  <c r="BN48" i="27" s="1"/>
  <c r="BL72" i="28"/>
  <c r="BN58" i="27" s="1"/>
  <c r="AZ27" i="30"/>
  <c r="AZ28" i="30" s="1"/>
  <c r="AZ29" i="30" s="1"/>
  <c r="AZ22" i="30"/>
  <c r="AZ13" i="30"/>
  <c r="AZ14" i="30" s="1"/>
  <c r="AZ15" i="30" s="1"/>
  <c r="AZ6" i="30"/>
  <c r="AZ7" i="30" s="1"/>
  <c r="AZ8" i="30" s="1"/>
  <c r="AZ34" i="30"/>
  <c r="AZ35" i="30" s="1"/>
  <c r="AZ36" i="30" s="1"/>
  <c r="BL11" i="28"/>
  <c r="BN28" i="27"/>
  <c r="AY33" i="30"/>
  <c r="AY26" i="30"/>
  <c r="AY19" i="30"/>
  <c r="AY12" i="30"/>
  <c r="AY5" i="30"/>
  <c r="AY32" i="30"/>
  <c r="AY25" i="30"/>
  <c r="AY18" i="30"/>
  <c r="AY11" i="30"/>
  <c r="AY4" i="30"/>
  <c r="BM85" i="27"/>
  <c r="BM88" i="27" s="1"/>
  <c r="BM8" i="27"/>
  <c r="BM78" i="27"/>
  <c r="AY3" i="30"/>
  <c r="BB33" i="30" l="1"/>
  <c r="BB34" i="30" s="1"/>
  <c r="BN59" i="27"/>
  <c r="BN60" i="27" s="1"/>
  <c r="BL70" i="28"/>
  <c r="BN38" i="27" s="1"/>
  <c r="BM35" i="28"/>
  <c r="BO67" i="27" s="1"/>
  <c r="BN49" i="27"/>
  <c r="BN50" i="27" s="1"/>
  <c r="BM20" i="28"/>
  <c r="BB35" i="30"/>
  <c r="BB36" i="30" s="1"/>
  <c r="BP69" i="27" s="1"/>
  <c r="BD32" i="30"/>
  <c r="BC33" i="30"/>
  <c r="BC34" i="30"/>
  <c r="BB25" i="30"/>
  <c r="BA26" i="30"/>
  <c r="BA27" i="30" s="1"/>
  <c r="BA28" i="30" s="1"/>
  <c r="BA29" i="30" s="1"/>
  <c r="BO59" i="27" s="1"/>
  <c r="BO60" i="27" s="1"/>
  <c r="BO61" i="27" s="1"/>
  <c r="BB4" i="30"/>
  <c r="BA5" i="30"/>
  <c r="BA6" i="30" s="1"/>
  <c r="BA12" i="30"/>
  <c r="BA13" i="30" s="1"/>
  <c r="BA14" i="30" s="1"/>
  <c r="BA15" i="30" s="1"/>
  <c r="BO39" i="27" s="1"/>
  <c r="BO40" i="27" s="1"/>
  <c r="BO41" i="27" s="1"/>
  <c r="BB11" i="30"/>
  <c r="BA19" i="30"/>
  <c r="BA20" i="30" s="1"/>
  <c r="BA21" i="30" s="1"/>
  <c r="BA22" i="30" s="1"/>
  <c r="BO49" i="27" s="1"/>
  <c r="BO50" i="27" s="1"/>
  <c r="BO51" i="27" s="1"/>
  <c r="BB18" i="30"/>
  <c r="BM31" i="28"/>
  <c r="BO17" i="27"/>
  <c r="BA34" i="30"/>
  <c r="BA35" i="30" s="1"/>
  <c r="BA36" i="30" s="1"/>
  <c r="BO69" i="27" s="1"/>
  <c r="BN17" i="27"/>
  <c r="BN69" i="27"/>
  <c r="BN70" i="27" s="1"/>
  <c r="BL74" i="28"/>
  <c r="BN39" i="27"/>
  <c r="BN40" i="27" s="1"/>
  <c r="BN29" i="27"/>
  <c r="BN30" i="27" s="1"/>
  <c r="BC4" i="30" l="1"/>
  <c r="BB5" i="30"/>
  <c r="BB12" i="30"/>
  <c r="BC11" i="30"/>
  <c r="BB13" i="30"/>
  <c r="BC35" i="30"/>
  <c r="BC36" i="30" s="1"/>
  <c r="BQ69" i="27" s="1"/>
  <c r="BO27" i="27"/>
  <c r="BO16" i="27" s="1"/>
  <c r="BM36" i="28"/>
  <c r="BD33" i="30"/>
  <c r="BD34" i="30" s="1"/>
  <c r="BD35" i="30" s="1"/>
  <c r="BD36" i="30" s="1"/>
  <c r="BR69" i="27" s="1"/>
  <c r="BE32" i="30"/>
  <c r="BC18" i="30"/>
  <c r="BB19" i="30"/>
  <c r="BB20" i="30" s="1"/>
  <c r="BP70" i="27"/>
  <c r="BA7" i="30"/>
  <c r="BA8" i="30" s="1"/>
  <c r="BO29" i="27" s="1"/>
  <c r="BO30" i="27" s="1"/>
  <c r="BB26" i="30"/>
  <c r="BC25" i="30"/>
  <c r="BO70" i="27"/>
  <c r="BN19" i="27"/>
  <c r="BN18" i="27"/>
  <c r="BO31" i="27" l="1"/>
  <c r="BR70" i="27"/>
  <c r="BC26" i="30"/>
  <c r="BD25" i="30"/>
  <c r="BC27" i="30"/>
  <c r="BC28" i="30" s="1"/>
  <c r="BC29" i="30" s="1"/>
  <c r="BQ59" i="27" s="1"/>
  <c r="BQ60" i="27" s="1"/>
  <c r="BQ61" i="27" s="1"/>
  <c r="BQ70" i="27"/>
  <c r="BB14" i="30"/>
  <c r="BB15" i="30" s="1"/>
  <c r="BP39" i="27" s="1"/>
  <c r="BP40" i="27" s="1"/>
  <c r="BP41" i="27" s="1"/>
  <c r="BE33" i="30"/>
  <c r="BE34" i="30" s="1"/>
  <c r="BE35" i="30" s="1"/>
  <c r="BE36" i="30" s="1"/>
  <c r="BS69" i="27" s="1"/>
  <c r="BF32" i="30"/>
  <c r="BP71" i="27"/>
  <c r="BD18" i="30"/>
  <c r="BC19" i="30"/>
  <c r="BB27" i="30"/>
  <c r="BB28" i="30" s="1"/>
  <c r="BB29" i="30" s="1"/>
  <c r="BP59" i="27" s="1"/>
  <c r="BC12" i="30"/>
  <c r="BC13" i="30" s="1"/>
  <c r="BD11" i="30"/>
  <c r="BB21" i="30"/>
  <c r="BB22" i="30" s="1"/>
  <c r="BP49" i="27" s="1"/>
  <c r="BP50" i="27" s="1"/>
  <c r="BP51" i="27" s="1"/>
  <c r="BD4" i="30"/>
  <c r="BC5" i="30"/>
  <c r="BC6" i="30" s="1"/>
  <c r="BO18" i="27"/>
  <c r="BB6" i="30"/>
  <c r="BB7" i="30" s="1"/>
  <c r="BB8" i="30" s="1"/>
  <c r="BP29" i="27" s="1"/>
  <c r="BP30" i="27" s="1"/>
  <c r="BP31" i="27" s="1"/>
  <c r="BO71" i="27"/>
  <c r="BO19" i="27"/>
  <c r="BS70" i="27" l="1"/>
  <c r="BD5" i="30"/>
  <c r="BE4" i="30"/>
  <c r="BD6" i="30"/>
  <c r="BD7" i="30" s="1"/>
  <c r="BD8" i="30" s="1"/>
  <c r="BR29" i="27" s="1"/>
  <c r="BR30" i="27" s="1"/>
  <c r="BR31" i="27" s="1"/>
  <c r="BF33" i="30"/>
  <c r="BG32" i="30"/>
  <c r="BF34" i="30"/>
  <c r="BP60" i="27"/>
  <c r="BP18" i="27"/>
  <c r="BC21" i="30"/>
  <c r="BC22" i="30" s="1"/>
  <c r="BQ49" i="27" s="1"/>
  <c r="BQ50" i="27" s="1"/>
  <c r="BQ51" i="27" s="1"/>
  <c r="BD26" i="30"/>
  <c r="BD27" i="30" s="1"/>
  <c r="BD28" i="30" s="1"/>
  <c r="BD29" i="30" s="1"/>
  <c r="BR59" i="27" s="1"/>
  <c r="BE25" i="30"/>
  <c r="BC20" i="30"/>
  <c r="BD12" i="30"/>
  <c r="BE11" i="30"/>
  <c r="BD13" i="30"/>
  <c r="BD14" i="30" s="1"/>
  <c r="BD15" i="30" s="1"/>
  <c r="BR39" i="27" s="1"/>
  <c r="BR40" i="27" s="1"/>
  <c r="BR41" i="27" s="1"/>
  <c r="BQ71" i="27"/>
  <c r="BD19" i="30"/>
  <c r="BD20" i="30" s="1"/>
  <c r="BD21" i="30" s="1"/>
  <c r="BD22" i="30" s="1"/>
  <c r="BR49" i="27" s="1"/>
  <c r="BR50" i="27" s="1"/>
  <c r="BR51" i="27" s="1"/>
  <c r="BE18" i="30"/>
  <c r="BR71" i="27"/>
  <c r="BC14" i="30"/>
  <c r="BC15" i="30" s="1"/>
  <c r="BQ39" i="27" s="1"/>
  <c r="BQ40" i="27" s="1"/>
  <c r="BQ41" i="27" s="1"/>
  <c r="BC7" i="30"/>
  <c r="BC8" i="30" s="1"/>
  <c r="BQ29" i="27" s="1"/>
  <c r="BQ30" i="27" s="1"/>
  <c r="BQ31" i="27" s="1"/>
  <c r="BO20" i="27"/>
  <c r="BR60" i="27" l="1"/>
  <c r="BR18" i="27"/>
  <c r="BE12" i="30"/>
  <c r="BE13" i="30" s="1"/>
  <c r="BE14" i="30" s="1"/>
  <c r="BE15" i="30" s="1"/>
  <c r="BS39" i="27" s="1"/>
  <c r="BS40" i="27" s="1"/>
  <c r="BS41" i="27" s="1"/>
  <c r="BF11" i="30"/>
  <c r="BQ19" i="27"/>
  <c r="BE19" i="30"/>
  <c r="BF18" i="30"/>
  <c r="BE20" i="30"/>
  <c r="BE21" i="30" s="1"/>
  <c r="BE22" i="30" s="1"/>
  <c r="BS49" i="27" s="1"/>
  <c r="BS50" i="27" s="1"/>
  <c r="BS51" i="27" s="1"/>
  <c r="BQ20" i="27"/>
  <c r="BE5" i="30"/>
  <c r="BE6" i="30" s="1"/>
  <c r="BE7" i="30" s="1"/>
  <c r="BE8" i="30" s="1"/>
  <c r="BS29" i="27" s="1"/>
  <c r="BS30" i="27" s="1"/>
  <c r="BS31" i="27" s="1"/>
  <c r="BF4" i="30"/>
  <c r="BP61" i="27"/>
  <c r="BP20" i="27" s="1"/>
  <c r="BP19" i="27"/>
  <c r="BG33" i="30"/>
  <c r="BH32" i="30"/>
  <c r="BG34" i="30"/>
  <c r="BG35" i="30" s="1"/>
  <c r="BG36" i="30" s="1"/>
  <c r="BU69" i="27" s="1"/>
  <c r="BF35" i="30"/>
  <c r="BF36" i="30" s="1"/>
  <c r="BT69" i="27" s="1"/>
  <c r="BQ18" i="27"/>
  <c r="BS71" i="27"/>
  <c r="BE26" i="30"/>
  <c r="BF25" i="30"/>
  <c r="BE27" i="30"/>
  <c r="BE28" i="30" s="1"/>
  <c r="BE29" i="30" s="1"/>
  <c r="BS59" i="27" s="1"/>
  <c r="BF5" i="30" l="1"/>
  <c r="BG4" i="30"/>
  <c r="BF6" i="30"/>
  <c r="BF7" i="30" s="1"/>
  <c r="BF8" i="30" s="1"/>
  <c r="BT29" i="27" s="1"/>
  <c r="BT30" i="27" s="1"/>
  <c r="BT31" i="27" s="1"/>
  <c r="BU70" i="27"/>
  <c r="BF12" i="30"/>
  <c r="BF13" i="30" s="1"/>
  <c r="BF14" i="30" s="1"/>
  <c r="BF15" i="30" s="1"/>
  <c r="BT39" i="27" s="1"/>
  <c r="BT40" i="27" s="1"/>
  <c r="BT41" i="27" s="1"/>
  <c r="BG11" i="30"/>
  <c r="BF19" i="30"/>
  <c r="BF20" i="30" s="1"/>
  <c r="BF21" i="30" s="1"/>
  <c r="BF22" i="30" s="1"/>
  <c r="BT49" i="27" s="1"/>
  <c r="BT50" i="27" s="1"/>
  <c r="BT51" i="27" s="1"/>
  <c r="BG18" i="30"/>
  <c r="BS60" i="27"/>
  <c r="BS18" i="27"/>
  <c r="BT70" i="27"/>
  <c r="BH33" i="30"/>
  <c r="BI32" i="30"/>
  <c r="BH34" i="30"/>
  <c r="BF26" i="30"/>
  <c r="BF27" i="30" s="1"/>
  <c r="BF28" i="30" s="1"/>
  <c r="BF29" i="30" s="1"/>
  <c r="BT59" i="27" s="1"/>
  <c r="BT60" i="27" s="1"/>
  <c r="BT61" i="27" s="1"/>
  <c r="BG25" i="30"/>
  <c r="BR61" i="27"/>
  <c r="BR20" i="27" s="1"/>
  <c r="BR19" i="27"/>
  <c r="AY31" i="30"/>
  <c r="AY24" i="30"/>
  <c r="AY17" i="30"/>
  <c r="AY10" i="30"/>
  <c r="BK10" i="28"/>
  <c r="BL19" i="28" s="1"/>
  <c r="BK9" i="28"/>
  <c r="BK8" i="28"/>
  <c r="BK7" i="28"/>
  <c r="BK6" i="28"/>
  <c r="BK5" i="28"/>
  <c r="BK65" i="28"/>
  <c r="BK64" i="28"/>
  <c r="BK63" i="28"/>
  <c r="BK62" i="28"/>
  <c r="BK61" i="28"/>
  <c r="BK66" i="28" s="1"/>
  <c r="BK72" i="28" s="1"/>
  <c r="BM58" i="27" s="1"/>
  <c r="BK56" i="28"/>
  <c r="BK28" i="28"/>
  <c r="BG12" i="30" l="1"/>
  <c r="BG13" i="30" s="1"/>
  <c r="BG14" i="30" s="1"/>
  <c r="BG15" i="30" s="1"/>
  <c r="BU39" i="27" s="1"/>
  <c r="BU40" i="27" s="1"/>
  <c r="BU41" i="27" s="1"/>
  <c r="BH11" i="30"/>
  <c r="BL18" i="28"/>
  <c r="BL35" i="28" s="1"/>
  <c r="BN67" i="27" s="1"/>
  <c r="BK70" i="28"/>
  <c r="BM38" i="27" s="1"/>
  <c r="BL15" i="28"/>
  <c r="BL32" i="28" s="1"/>
  <c r="BN37" i="27" s="1"/>
  <c r="BN41" i="27" s="1"/>
  <c r="BK71" i="28"/>
  <c r="BM48" i="27" s="1"/>
  <c r="BG19" i="30"/>
  <c r="BH18" i="30"/>
  <c r="BG20" i="30"/>
  <c r="BG21" i="30" s="1"/>
  <c r="BG22" i="30" s="1"/>
  <c r="BU49" i="27" s="1"/>
  <c r="BU50" i="27" s="1"/>
  <c r="BU51" i="27" s="1"/>
  <c r="BL14" i="28"/>
  <c r="BG26" i="30"/>
  <c r="BG27" i="30" s="1"/>
  <c r="BG28" i="30" s="1"/>
  <c r="BG29" i="30" s="1"/>
  <c r="BU59" i="27" s="1"/>
  <c r="BH25" i="30"/>
  <c r="BL16" i="28"/>
  <c r="BL33" i="28" s="1"/>
  <c r="BN47" i="27" s="1"/>
  <c r="BN51" i="27" s="1"/>
  <c r="BL17" i="28"/>
  <c r="BL34" i="28" s="1"/>
  <c r="BN57" i="27" s="1"/>
  <c r="BN61" i="27" s="1"/>
  <c r="BT18" i="27"/>
  <c r="BG5" i="30"/>
  <c r="BG6" i="30" s="1"/>
  <c r="BG7" i="30" s="1"/>
  <c r="BG8" i="30" s="1"/>
  <c r="BU29" i="27" s="1"/>
  <c r="BU30" i="27" s="1"/>
  <c r="BU31" i="27" s="1"/>
  <c r="BH4" i="30"/>
  <c r="BU71" i="27"/>
  <c r="BK73" i="28"/>
  <c r="BM68" i="27" s="1"/>
  <c r="BI33" i="30"/>
  <c r="BI34" i="30" s="1"/>
  <c r="BJ32" i="30"/>
  <c r="BH35" i="30"/>
  <c r="BH36" i="30" s="1"/>
  <c r="BV69" i="27" s="1"/>
  <c r="BT19" i="27"/>
  <c r="BT71" i="27"/>
  <c r="BT20" i="27" s="1"/>
  <c r="BS61" i="27"/>
  <c r="BS20" i="27" s="1"/>
  <c r="BS19" i="27"/>
  <c r="AY13" i="30"/>
  <c r="AY14" i="30" s="1"/>
  <c r="AY15" i="30" s="1"/>
  <c r="AY34" i="30"/>
  <c r="AY27" i="30"/>
  <c r="AY28" i="30" s="1"/>
  <c r="AY29" i="30" s="1"/>
  <c r="BM59" i="27" s="1"/>
  <c r="BM60" i="27" s="1"/>
  <c r="BK11" i="28"/>
  <c r="BK69" i="28"/>
  <c r="BM39" i="27" l="1"/>
  <c r="BM40" i="27" s="1"/>
  <c r="BN71" i="27"/>
  <c r="BV70" i="27"/>
  <c r="BJ33" i="30"/>
  <c r="BJ34" i="30"/>
  <c r="BJ35" i="30" s="1"/>
  <c r="BJ36" i="30" s="1"/>
  <c r="BX69" i="27" s="1"/>
  <c r="BH5" i="30"/>
  <c r="BI4" i="30"/>
  <c r="BU60" i="27"/>
  <c r="BU18" i="27"/>
  <c r="BH26" i="30"/>
  <c r="BH27" i="30" s="1"/>
  <c r="BH28" i="30" s="1"/>
  <c r="BH29" i="30" s="1"/>
  <c r="BV59" i="27" s="1"/>
  <c r="BV60" i="27" s="1"/>
  <c r="BV61" i="27" s="1"/>
  <c r="BI25" i="30"/>
  <c r="BL31" i="28"/>
  <c r="BL20" i="28"/>
  <c r="BH12" i="30"/>
  <c r="BH13" i="30" s="1"/>
  <c r="BH14" i="30" s="1"/>
  <c r="BH15" i="30" s="1"/>
  <c r="BV39" i="27" s="1"/>
  <c r="BV40" i="27" s="1"/>
  <c r="BV41" i="27" s="1"/>
  <c r="BI11" i="30"/>
  <c r="BI35" i="30"/>
  <c r="BI36" i="30" s="1"/>
  <c r="BW69" i="27" s="1"/>
  <c r="BK74" i="28"/>
  <c r="BM28" i="27"/>
  <c r="BH19" i="30"/>
  <c r="BI18" i="30"/>
  <c r="BH20" i="30"/>
  <c r="BH21" i="30" s="1"/>
  <c r="BH22" i="30" s="1"/>
  <c r="BV49" i="27" s="1"/>
  <c r="BV50" i="27" s="1"/>
  <c r="BV51" i="27" s="1"/>
  <c r="AY35" i="30"/>
  <c r="AY36" i="30" s="1"/>
  <c r="BM69" i="27" s="1"/>
  <c r="BM70" i="27" s="1"/>
  <c r="AY6" i="30"/>
  <c r="AY7" i="30" s="1"/>
  <c r="AY8" i="30" s="1"/>
  <c r="AY20" i="30"/>
  <c r="AY21" i="30" s="1"/>
  <c r="AY22" i="30" s="1"/>
  <c r="BM49" i="27" s="1"/>
  <c r="BM50" i="27" s="1"/>
  <c r="BW70" i="27" l="1"/>
  <c r="BI5" i="30"/>
  <c r="BI6" i="30" s="1"/>
  <c r="BJ4" i="30"/>
  <c r="BN27" i="27"/>
  <c r="BL36" i="28"/>
  <c r="BI26" i="30"/>
  <c r="BJ25" i="30"/>
  <c r="BI12" i="30"/>
  <c r="BI13" i="30" s="1"/>
  <c r="BI14" i="30" s="1"/>
  <c r="BI15" i="30" s="1"/>
  <c r="BW39" i="27" s="1"/>
  <c r="BW40" i="27" s="1"/>
  <c r="BW41" i="27" s="1"/>
  <c r="BJ11" i="30"/>
  <c r="BX70" i="27"/>
  <c r="BV71" i="27"/>
  <c r="BI19" i="30"/>
  <c r="BI20" i="30" s="1"/>
  <c r="BI21" i="30" s="1"/>
  <c r="BI22" i="30" s="1"/>
  <c r="BW49" i="27" s="1"/>
  <c r="BW50" i="27" s="1"/>
  <c r="BW51" i="27" s="1"/>
  <c r="BJ18" i="30"/>
  <c r="BM29" i="27"/>
  <c r="BM30" i="27" s="1"/>
  <c r="BU61" i="27"/>
  <c r="BU20" i="27" s="1"/>
  <c r="BU19" i="27"/>
  <c r="BH6" i="30"/>
  <c r="BH7" i="30" s="1"/>
  <c r="BH8" i="30" s="1"/>
  <c r="BV29" i="27" s="1"/>
  <c r="BM17" i="27"/>
  <c r="BM18" i="27"/>
  <c r="BJ10" i="28"/>
  <c r="BK19" i="28" s="1"/>
  <c r="BJ9" i="28"/>
  <c r="BK18" i="28" s="1"/>
  <c r="BJ8" i="28"/>
  <c r="BK17" i="28" s="1"/>
  <c r="BK34" i="28" s="1"/>
  <c r="BM57" i="27" s="1"/>
  <c r="BM61" i="27" s="1"/>
  <c r="BJ7" i="28"/>
  <c r="BJ6" i="28"/>
  <c r="BK15" i="28" s="1"/>
  <c r="BJ5" i="28"/>
  <c r="BV30" i="27" l="1"/>
  <c r="BV18" i="27"/>
  <c r="BK16" i="28"/>
  <c r="BK33" i="28" s="1"/>
  <c r="BM47" i="27" s="1"/>
  <c r="BM51" i="27" s="1"/>
  <c r="BK35" i="28"/>
  <c r="BM67" i="27" s="1"/>
  <c r="BN31" i="27"/>
  <c r="BN20" i="27" s="1"/>
  <c r="BN16" i="27"/>
  <c r="BX71" i="27"/>
  <c r="BK32" i="28"/>
  <c r="BM37" i="27" s="1"/>
  <c r="BM41" i="27" s="1"/>
  <c r="BJ19" i="30"/>
  <c r="BJ20" i="30"/>
  <c r="BJ21" i="30" s="1"/>
  <c r="BJ22" i="30" s="1"/>
  <c r="BX49" i="27" s="1"/>
  <c r="BX50" i="27" s="1"/>
  <c r="BX51" i="27" s="1"/>
  <c r="BI27" i="30"/>
  <c r="BI28" i="30" s="1"/>
  <c r="BI29" i="30" s="1"/>
  <c r="BW59" i="27" s="1"/>
  <c r="BJ5" i="30"/>
  <c r="BJ6" i="30" s="1"/>
  <c r="BJ12" i="30"/>
  <c r="BJ13" i="30"/>
  <c r="BJ14" i="30" s="1"/>
  <c r="BJ15" i="30" s="1"/>
  <c r="BX39" i="27" s="1"/>
  <c r="BX40" i="27" s="1"/>
  <c r="BX41" i="27" s="1"/>
  <c r="BI7" i="30"/>
  <c r="BI8" i="30" s="1"/>
  <c r="BW29" i="27" s="1"/>
  <c r="BW30" i="27" s="1"/>
  <c r="BW31" i="27" s="1"/>
  <c r="BJ26" i="30"/>
  <c r="BJ27" i="30" s="1"/>
  <c r="BJ28" i="30" s="1"/>
  <c r="BJ29" i="30" s="1"/>
  <c r="BX59" i="27" s="1"/>
  <c r="BW71" i="27"/>
  <c r="BK14" i="28"/>
  <c r="BM19" i="27"/>
  <c r="BL6" i="27"/>
  <c r="BM71" i="27" l="1"/>
  <c r="BK31" i="28"/>
  <c r="BK20" i="28"/>
  <c r="BX60" i="27"/>
  <c r="BJ7" i="30"/>
  <c r="BJ8" i="30" s="1"/>
  <c r="BX29" i="27" s="1"/>
  <c r="BX30" i="27" s="1"/>
  <c r="BX31" i="27" s="1"/>
  <c r="BW60" i="27"/>
  <c r="BW18" i="27"/>
  <c r="BV31" i="27"/>
  <c r="BV20" i="27" s="1"/>
  <c r="BV19" i="27"/>
  <c r="AX31" i="30"/>
  <c r="AX24" i="30"/>
  <c r="AX17" i="30"/>
  <c r="AX10" i="30"/>
  <c r="AX3" i="30"/>
  <c r="BJ65" i="28"/>
  <c r="BJ64" i="28"/>
  <c r="BJ63" i="28"/>
  <c r="BJ62" i="28"/>
  <c r="BJ61" i="28"/>
  <c r="BJ56" i="28"/>
  <c r="BJ28" i="28"/>
  <c r="BX61" i="27" l="1"/>
  <c r="BX20" i="27" s="1"/>
  <c r="BX19" i="27"/>
  <c r="BJ66" i="28"/>
  <c r="BJ73" i="28" s="1"/>
  <c r="BX18" i="27"/>
  <c r="BW61" i="27"/>
  <c r="BW20" i="27" s="1"/>
  <c r="BW19" i="27"/>
  <c r="BM27" i="27"/>
  <c r="BK36" i="28"/>
  <c r="BJ69" i="28"/>
  <c r="BJ11" i="28"/>
  <c r="BJ72" i="28"/>
  <c r="BJ71" i="28" l="1"/>
  <c r="BJ74" i="28" s="1"/>
  <c r="BJ70" i="28"/>
  <c r="BM31" i="27"/>
  <c r="BM20" i="27" s="1"/>
  <c r="BM16" i="27"/>
  <c r="BL8" i="27" l="1"/>
  <c r="BL85" i="27"/>
  <c r="BL87" i="27" s="1"/>
  <c r="BL88" i="27" s="1"/>
  <c r="BL78" i="27"/>
  <c r="BL68" i="27"/>
  <c r="BL58" i="27"/>
  <c r="BL48" i="27"/>
  <c r="BL38" i="27"/>
  <c r="BL28" i="27"/>
  <c r="BK84" i="27"/>
  <c r="BL17" i="27" l="1"/>
  <c r="BK6" i="27"/>
  <c r="BI10" i="28" l="1"/>
  <c r="BI9" i="28"/>
  <c r="BI8" i="28"/>
  <c r="BI7" i="28"/>
  <c r="BI6" i="28"/>
  <c r="BI5" i="28"/>
  <c r="AW31" i="30"/>
  <c r="AW24" i="30"/>
  <c r="AW17" i="30"/>
  <c r="AW10" i="30"/>
  <c r="AW3" i="30"/>
  <c r="BI65" i="28"/>
  <c r="BI64" i="28"/>
  <c r="BI63" i="28"/>
  <c r="BI62" i="28"/>
  <c r="BI61" i="28"/>
  <c r="BI56" i="28"/>
  <c r="BI28" i="28"/>
  <c r="BK85" i="27"/>
  <c r="BK78" i="27"/>
  <c r="BK8" i="27"/>
  <c r="BH10" i="28"/>
  <c r="BH9" i="28"/>
  <c r="BH8" i="28"/>
  <c r="BH7" i="28"/>
  <c r="BH6" i="28"/>
  <c r="BH5" i="28"/>
  <c r="BJ6" i="27"/>
  <c r="BI16" i="28" l="1"/>
  <c r="BJ16" i="28"/>
  <c r="BI18" i="28"/>
  <c r="BJ18" i="28"/>
  <c r="BI17" i="28"/>
  <c r="BJ17" i="28"/>
  <c r="BI19" i="28"/>
  <c r="BI35" i="28" s="1"/>
  <c r="BK67" i="27" s="1"/>
  <c r="BJ19" i="28"/>
  <c r="BI14" i="28"/>
  <c r="BI31" i="28" s="1"/>
  <c r="BJ14" i="28"/>
  <c r="BI15" i="28"/>
  <c r="BI32" i="28" s="1"/>
  <c r="BK37" i="27" s="1"/>
  <c r="BJ15" i="28"/>
  <c r="BI66" i="28"/>
  <c r="BI11" i="28"/>
  <c r="AV31" i="30"/>
  <c r="AV24" i="30"/>
  <c r="AV17" i="30"/>
  <c r="AV10" i="30"/>
  <c r="AV3" i="30"/>
  <c r="BH65" i="28"/>
  <c r="BH64" i="28"/>
  <c r="BH63" i="28"/>
  <c r="BH62" i="28"/>
  <c r="BH61" i="28"/>
  <c r="BH56" i="28"/>
  <c r="BH28" i="28"/>
  <c r="BJ85" i="27"/>
  <c r="BJ87" i="27" s="1"/>
  <c r="BJ88" i="27" s="1"/>
  <c r="BJ78" i="27"/>
  <c r="BJ8" i="27"/>
  <c r="BI33" i="28" l="1"/>
  <c r="BK47" i="27" s="1"/>
  <c r="BI34" i="28"/>
  <c r="BK57" i="27" s="1"/>
  <c r="BI20" i="28"/>
  <c r="BJ34" i="28"/>
  <c r="BL57" i="27" s="1"/>
  <c r="BJ32" i="28"/>
  <c r="BL37" i="27" s="1"/>
  <c r="BJ35" i="28"/>
  <c r="BL67" i="27" s="1"/>
  <c r="BJ20" i="28"/>
  <c r="BJ31" i="28"/>
  <c r="BL27" i="27" s="1"/>
  <c r="BJ33" i="28"/>
  <c r="BL47" i="27" s="1"/>
  <c r="BI73" i="28"/>
  <c r="BK68" i="27" s="1"/>
  <c r="BI72" i="28"/>
  <c r="BK58" i="27" s="1"/>
  <c r="BI69" i="28"/>
  <c r="BI71" i="28"/>
  <c r="BK48" i="27" s="1"/>
  <c r="BI70" i="28"/>
  <c r="BK38" i="27" s="1"/>
  <c r="BI36" i="28"/>
  <c r="BK27" i="27"/>
  <c r="BK16" i="27" s="1"/>
  <c r="BH66" i="28"/>
  <c r="BH11" i="28"/>
  <c r="AL6" i="27"/>
  <c r="AL8" i="27" s="1"/>
  <c r="BJ36" i="28" l="1"/>
  <c r="BL16" i="27"/>
  <c r="BK28" i="27"/>
  <c r="BI74" i="28"/>
  <c r="BH73" i="28"/>
  <c r="BJ68" i="27" s="1"/>
  <c r="BH70" i="28"/>
  <c r="BJ38" i="27" s="1"/>
  <c r="BH69" i="28"/>
  <c r="BH72" i="28"/>
  <c r="BJ58" i="27" s="1"/>
  <c r="BH71" i="28"/>
  <c r="BJ48" i="27" s="1"/>
  <c r="BI6" i="27"/>
  <c r="BI8" i="27" s="1"/>
  <c r="BK17" i="27" l="1"/>
  <c r="BH74" i="28"/>
  <c r="BJ28" i="27"/>
  <c r="BG10" i="28"/>
  <c r="BH19" i="28" s="1"/>
  <c r="BG9" i="28"/>
  <c r="BH18" i="28" s="1"/>
  <c r="BG8" i="28"/>
  <c r="BH17" i="28" s="1"/>
  <c r="BG7" i="28"/>
  <c r="BH16" i="28" s="1"/>
  <c r="BG6" i="28"/>
  <c r="BH15" i="28" s="1"/>
  <c r="BG5" i="28"/>
  <c r="BH14" i="28" s="1"/>
  <c r="BH33" i="28" l="1"/>
  <c r="BJ47" i="27" s="1"/>
  <c r="BH32" i="28"/>
  <c r="BJ37" i="27" s="1"/>
  <c r="BH34" i="28"/>
  <c r="BJ57" i="27" s="1"/>
  <c r="BH35" i="28"/>
  <c r="BJ67" i="27" s="1"/>
  <c r="BH20" i="28"/>
  <c r="BH31" i="28"/>
  <c r="BJ17" i="27"/>
  <c r="AU31" i="30"/>
  <c r="AU24" i="30"/>
  <c r="AU17" i="30"/>
  <c r="AU10" i="30"/>
  <c r="AU3" i="30"/>
  <c r="BG65" i="28"/>
  <c r="BG64" i="28"/>
  <c r="BG63" i="28"/>
  <c r="BG62" i="28"/>
  <c r="BG61" i="28"/>
  <c r="BG56" i="28"/>
  <c r="BG28" i="28"/>
  <c r="BI85" i="27"/>
  <c r="BI87" i="27" s="1"/>
  <c r="BI88" i="27" s="1"/>
  <c r="BI78" i="27"/>
  <c r="BH36" i="28" l="1"/>
  <c r="BJ27" i="27"/>
  <c r="BJ16" i="27" s="1"/>
  <c r="BG66" i="28"/>
  <c r="BG73" i="28" s="1"/>
  <c r="BI68" i="27" s="1"/>
  <c r="BG11" i="28"/>
  <c r="BH84" i="27"/>
  <c r="BG70" i="28" l="1"/>
  <c r="BI38" i="27" s="1"/>
  <c r="BG69" i="28"/>
  <c r="BG74" i="28" s="1"/>
  <c r="BG72" i="28"/>
  <c r="BI58" i="27" s="1"/>
  <c r="BG71" i="28"/>
  <c r="BI48" i="27" s="1"/>
  <c r="BH6" i="27"/>
  <c r="BH8" i="27" s="1"/>
  <c r="BI28" i="27" l="1"/>
  <c r="BI17" i="27"/>
  <c r="BF10" i="28"/>
  <c r="BG19" i="28" s="1"/>
  <c r="BF9" i="28"/>
  <c r="BG18" i="28" s="1"/>
  <c r="BF8" i="28"/>
  <c r="BG17" i="28" s="1"/>
  <c r="BF7" i="28"/>
  <c r="BG16" i="28" s="1"/>
  <c r="BF6" i="28"/>
  <c r="BG15" i="28" s="1"/>
  <c r="BG32" i="28" s="1"/>
  <c r="BI37" i="27" s="1"/>
  <c r="BF5" i="28"/>
  <c r="BG14" i="28" s="1"/>
  <c r="BG35" i="28" l="1"/>
  <c r="BI67" i="27" s="1"/>
  <c r="BG33" i="28"/>
  <c r="BI47" i="27" s="1"/>
  <c r="BG34" i="28"/>
  <c r="BI57" i="27" s="1"/>
  <c r="BG31" i="28"/>
  <c r="BG20" i="28"/>
  <c r="BG36" i="28" l="1"/>
  <c r="BI27" i="27"/>
  <c r="BI16" i="27" s="1"/>
  <c r="AT31" i="30"/>
  <c r="AT24" i="30"/>
  <c r="AT17" i="30"/>
  <c r="AT10" i="30"/>
  <c r="AT3" i="30"/>
  <c r="BF65" i="28"/>
  <c r="BF64" i="28"/>
  <c r="BF63" i="28"/>
  <c r="BF62" i="28"/>
  <c r="BF61" i="28"/>
  <c r="BF56" i="28"/>
  <c r="BF28" i="28"/>
  <c r="BH85" i="27"/>
  <c r="BH87" i="27" s="1"/>
  <c r="BH88" i="27" s="1"/>
  <c r="BH78" i="27"/>
  <c r="BF66" i="28" l="1"/>
  <c r="BF71" i="28" s="1"/>
  <c r="BH48" i="27" s="1"/>
  <c r="BF11" i="28"/>
  <c r="BG6" i="27"/>
  <c r="BF73" i="28" l="1"/>
  <c r="BH68" i="27" s="1"/>
  <c r="BF72" i="28"/>
  <c r="BH58" i="27" s="1"/>
  <c r="BF70" i="28"/>
  <c r="BH38" i="27" s="1"/>
  <c r="BF69" i="28"/>
  <c r="BE10" i="28"/>
  <c r="BF19" i="28" s="1"/>
  <c r="BE9" i="28"/>
  <c r="BF18" i="28" s="1"/>
  <c r="BE8" i="28"/>
  <c r="BF17" i="28" s="1"/>
  <c r="BE7" i="28"/>
  <c r="BF16" i="28" s="1"/>
  <c r="BE6" i="28"/>
  <c r="BF15" i="28" s="1"/>
  <c r="BE5" i="28"/>
  <c r="BF14" i="28" s="1"/>
  <c r="BF33" i="28" l="1"/>
  <c r="BH47" i="27" s="1"/>
  <c r="BF32" i="28"/>
  <c r="BH37" i="27" s="1"/>
  <c r="BF34" i="28"/>
  <c r="BH57" i="27" s="1"/>
  <c r="BF35" i="28"/>
  <c r="BH67" i="27" s="1"/>
  <c r="BF20" i="28"/>
  <c r="BF31" i="28"/>
  <c r="BF74" i="28"/>
  <c r="BH28" i="27"/>
  <c r="AS31" i="30"/>
  <c r="AS24" i="30"/>
  <c r="AS17" i="30"/>
  <c r="AS10" i="30"/>
  <c r="AS3" i="30"/>
  <c r="BE65" i="28"/>
  <c r="BE64" i="28"/>
  <c r="BE63" i="28"/>
  <c r="BE62" i="28"/>
  <c r="BE61" i="28"/>
  <c r="BE56" i="28"/>
  <c r="BE28" i="28"/>
  <c r="BG85" i="27"/>
  <c r="BG87" i="27" s="1"/>
  <c r="BG88" i="27" s="1"/>
  <c r="BG78" i="27"/>
  <c r="BG8" i="27"/>
  <c r="BF36" i="28" l="1"/>
  <c r="BH27" i="27"/>
  <c r="BH16" i="27" s="1"/>
  <c r="BH17" i="27"/>
  <c r="BE66" i="28"/>
  <c r="BE72" i="28" s="1"/>
  <c r="BG58" i="27" s="1"/>
  <c r="BE11" i="28"/>
  <c r="BF6" i="27"/>
  <c r="FQ6" i="29" s="1"/>
  <c r="FR6" i="29" s="1"/>
  <c r="BE69" i="28" l="1"/>
  <c r="BE73" i="28"/>
  <c r="BG68" i="27" s="1"/>
  <c r="BG28" i="27"/>
  <c r="BE71" i="28"/>
  <c r="BG48" i="27" s="1"/>
  <c r="BE70" i="28"/>
  <c r="BG38" i="27" s="1"/>
  <c r="BE85" i="27"/>
  <c r="BE87" i="27" s="1"/>
  <c r="BG17" i="27" l="1"/>
  <c r="BE74" i="28"/>
  <c r="BD10" i="28"/>
  <c r="BE19" i="28" s="1"/>
  <c r="BD9" i="28"/>
  <c r="BE18" i="28" s="1"/>
  <c r="BD8" i="28"/>
  <c r="BE17" i="28" s="1"/>
  <c r="BD7" i="28"/>
  <c r="BE16" i="28" s="1"/>
  <c r="BD6" i="28"/>
  <c r="BE15" i="28" s="1"/>
  <c r="BD5" i="28"/>
  <c r="BE14" i="28" s="1"/>
  <c r="BE35" i="28" l="1"/>
  <c r="BG67" i="27" s="1"/>
  <c r="BE34" i="28"/>
  <c r="BG57" i="27" s="1"/>
  <c r="BE32" i="28"/>
  <c r="BG37" i="27" s="1"/>
  <c r="BE33" i="28"/>
  <c r="BG47" i="27" s="1"/>
  <c r="BE31" i="28"/>
  <c r="BE20" i="28"/>
  <c r="BD28" i="28"/>
  <c r="BE36" i="28" l="1"/>
  <c r="BG27" i="27"/>
  <c r="BG16" i="27" s="1"/>
  <c r="BF8" i="27"/>
  <c r="AR31" i="30"/>
  <c r="AR24" i="30"/>
  <c r="AR17" i="30"/>
  <c r="AR10" i="30"/>
  <c r="AR3" i="30"/>
  <c r="BD65" i="28"/>
  <c r="BD64" i="28"/>
  <c r="BD63" i="28"/>
  <c r="BD62" i="28"/>
  <c r="BD61" i="28"/>
  <c r="BD56" i="28"/>
  <c r="BF85" i="27"/>
  <c r="BF88" i="27" s="1"/>
  <c r="BF78" i="27"/>
  <c r="BD66" i="28" l="1"/>
  <c r="BD11" i="28"/>
  <c r="BD73" i="28" l="1"/>
  <c r="BF68" i="27" s="1"/>
  <c r="BD70" i="28"/>
  <c r="BF38" i="27" s="1"/>
  <c r="BD71" i="28"/>
  <c r="BF48" i="27" s="1"/>
  <c r="BD69" i="28"/>
  <c r="BD72" i="28"/>
  <c r="BF58" i="27" s="1"/>
  <c r="BC10" i="28"/>
  <c r="BD19" i="28" s="1"/>
  <c r="BC9" i="28"/>
  <c r="BD18" i="28" s="1"/>
  <c r="BD35" i="28" s="1"/>
  <c r="BF67" i="27" s="1"/>
  <c r="BC8" i="28"/>
  <c r="BD17" i="28" s="1"/>
  <c r="BC7" i="28"/>
  <c r="BD16" i="28" s="1"/>
  <c r="BC6" i="28"/>
  <c r="BD15" i="28" s="1"/>
  <c r="BC5" i="28"/>
  <c r="BD14" i="28" s="1"/>
  <c r="BD34" i="28" l="1"/>
  <c r="BF57" i="27" s="1"/>
  <c r="BD33" i="28"/>
  <c r="BF47" i="27" s="1"/>
  <c r="BD32" i="28"/>
  <c r="BF37" i="27" s="1"/>
  <c r="BD31" i="28"/>
  <c r="BD20" i="28"/>
  <c r="BD74" i="28"/>
  <c r="BF28" i="27"/>
  <c r="BE6" i="27"/>
  <c r="BF27" i="27" l="1"/>
  <c r="BF16" i="27" s="1"/>
  <c r="BD36" i="28"/>
  <c r="BF17" i="27"/>
  <c r="AQ31" i="30"/>
  <c r="AQ24" i="30"/>
  <c r="AQ17" i="30"/>
  <c r="AQ10" i="30"/>
  <c r="AQ3" i="30"/>
  <c r="BC65" i="28"/>
  <c r="BC64" i="28"/>
  <c r="BC63" i="28"/>
  <c r="BC62" i="28"/>
  <c r="BC61" i="28"/>
  <c r="BC56" i="28"/>
  <c r="BC28" i="28"/>
  <c r="BC11" i="28"/>
  <c r="BE88" i="27"/>
  <c r="BE78" i="27"/>
  <c r="BE8" i="27"/>
  <c r="BC66" i="28" l="1"/>
  <c r="BC71" i="28" s="1"/>
  <c r="BE48" i="27" s="1"/>
  <c r="BB10" i="28"/>
  <c r="BC19" i="28" s="1"/>
  <c r="BB9" i="28"/>
  <c r="BC18" i="28" s="1"/>
  <c r="BC35" i="28" s="1"/>
  <c r="BE67" i="27" s="1"/>
  <c r="BB8" i="28"/>
  <c r="BC17" i="28" s="1"/>
  <c r="BC34" i="28" s="1"/>
  <c r="BE57" i="27" s="1"/>
  <c r="BB7" i="28"/>
  <c r="BC16" i="28" s="1"/>
  <c r="BB6" i="28"/>
  <c r="BC15" i="28" s="1"/>
  <c r="BC32" i="28" s="1"/>
  <c r="BE37" i="27" s="1"/>
  <c r="BB5" i="28"/>
  <c r="BC14" i="28" s="1"/>
  <c r="BC31" i="28" s="1"/>
  <c r="BE27" i="27" s="1"/>
  <c r="BC33" i="28" l="1"/>
  <c r="BE47" i="27" s="1"/>
  <c r="BE16" i="27" s="1"/>
  <c r="BC20" i="28"/>
  <c r="BC73" i="28"/>
  <c r="BE68" i="27" s="1"/>
  <c r="BC72" i="28"/>
  <c r="BE58" i="27" s="1"/>
  <c r="BC69" i="28"/>
  <c r="BC70" i="28"/>
  <c r="BE38" i="27" s="1"/>
  <c r="BD6" i="27"/>
  <c r="BC36" i="28" l="1"/>
  <c r="BE28" i="27"/>
  <c r="BC74" i="28"/>
  <c r="AP31" i="30"/>
  <c r="AP24" i="30"/>
  <c r="AP17" i="30"/>
  <c r="AP10" i="30"/>
  <c r="AP3" i="30"/>
  <c r="BB65" i="28"/>
  <c r="BB64" i="28"/>
  <c r="BB63" i="28"/>
  <c r="BB62" i="28"/>
  <c r="BB61" i="28"/>
  <c r="BB56" i="28"/>
  <c r="BB28" i="28"/>
  <c r="BE17" i="27" l="1"/>
  <c r="BB66" i="28"/>
  <c r="BB70" i="28" s="1"/>
  <c r="BB11" i="28"/>
  <c r="BB71" i="28" l="1"/>
  <c r="BB72" i="28"/>
  <c r="BB73" i="28"/>
  <c r="BB69" i="28"/>
  <c r="BB74" i="28" s="1"/>
  <c r="BD85" i="27" l="1"/>
  <c r="BD78" i="27"/>
  <c r="BD68" i="27"/>
  <c r="BD58" i="27"/>
  <c r="BD48" i="27"/>
  <c r="BD38" i="27"/>
  <c r="BD28" i="27"/>
  <c r="BD8" i="27"/>
  <c r="BD87" i="27" l="1"/>
  <c r="BD88" i="27" s="1"/>
  <c r="BD17" i="27"/>
  <c r="BA10" i="28"/>
  <c r="BB19" i="28" s="1"/>
  <c r="BA9" i="28"/>
  <c r="BB18" i="28" s="1"/>
  <c r="BA8" i="28"/>
  <c r="BB17" i="28" s="1"/>
  <c r="BA7" i="28"/>
  <c r="BB16" i="28" s="1"/>
  <c r="BA6" i="28"/>
  <c r="BB15" i="28" s="1"/>
  <c r="BA5" i="28"/>
  <c r="BB14" i="28" s="1"/>
  <c r="BB32" i="28" l="1"/>
  <c r="BD37" i="27" s="1"/>
  <c r="BB35" i="28"/>
  <c r="BD67" i="27" s="1"/>
  <c r="BB33" i="28"/>
  <c r="BD47" i="27" s="1"/>
  <c r="BB34" i="28"/>
  <c r="BD57" i="27" s="1"/>
  <c r="BB31" i="28"/>
  <c r="BB20" i="28"/>
  <c r="BC6" i="27"/>
  <c r="BB36" i="28" l="1"/>
  <c r="BD27" i="27"/>
  <c r="BD16" i="27" s="1"/>
  <c r="BC8" i="27"/>
  <c r="AO31" i="30"/>
  <c r="AO24" i="30"/>
  <c r="AO17" i="30"/>
  <c r="AO10" i="30"/>
  <c r="AO3" i="30"/>
  <c r="BA65" i="28"/>
  <c r="BA64" i="28"/>
  <c r="BA63" i="28"/>
  <c r="BA62" i="28"/>
  <c r="BA61" i="28"/>
  <c r="BA56" i="28"/>
  <c r="BA28" i="28"/>
  <c r="BC85" i="27"/>
  <c r="BC87" i="27" s="1"/>
  <c r="BC78" i="27"/>
  <c r="BA66" i="28" l="1"/>
  <c r="BA11" i="28"/>
  <c r="BC88" i="27"/>
  <c r="BA70" i="28" l="1"/>
  <c r="BC38" i="27" s="1"/>
  <c r="BA69" i="28"/>
  <c r="BA73" i="28"/>
  <c r="BC68" i="27" s="1"/>
  <c r="BA71" i="28"/>
  <c r="BC48" i="27" s="1"/>
  <c r="BA72" i="28"/>
  <c r="BC58" i="27" s="1"/>
  <c r="AZ10" i="28"/>
  <c r="BA19" i="28" s="1"/>
  <c r="AZ9" i="28"/>
  <c r="BA18" i="28" s="1"/>
  <c r="AZ8" i="28"/>
  <c r="BA17" i="28" s="1"/>
  <c r="AZ7" i="28"/>
  <c r="BA16" i="28" s="1"/>
  <c r="AZ6" i="28"/>
  <c r="BA15" i="28" s="1"/>
  <c r="AZ5" i="28"/>
  <c r="BA14" i="28" s="1"/>
  <c r="BA33" i="28" l="1"/>
  <c r="BC47" i="27" s="1"/>
  <c r="BA34" i="28"/>
  <c r="BC57" i="27" s="1"/>
  <c r="BA32" i="28"/>
  <c r="BC37" i="27" s="1"/>
  <c r="BA31" i="28"/>
  <c r="BA35" i="28"/>
  <c r="BC67" i="27" s="1"/>
  <c r="BA20" i="28"/>
  <c r="BC27" i="27"/>
  <c r="BA74" i="28"/>
  <c r="BC28" i="27"/>
  <c r="BB6" i="27"/>
  <c r="BC16" i="27" l="1"/>
  <c r="BA36" i="28"/>
  <c r="BC17" i="27"/>
  <c r="EP6" i="29"/>
  <c r="FE6" i="29"/>
  <c r="ER6" i="29"/>
  <c r="EZ6" i="29"/>
  <c r="EK6" i="29"/>
  <c r="EF6" i="29"/>
  <c r="EE6" i="29"/>
  <c r="ED6" i="29"/>
  <c r="AZ65" i="28" l="1"/>
  <c r="AZ64" i="28"/>
  <c r="AZ63" i="28"/>
  <c r="AZ62" i="28"/>
  <c r="AZ61" i="28"/>
  <c r="AZ56" i="28"/>
  <c r="AZ28" i="28"/>
  <c r="BB85" i="27"/>
  <c r="BB87" i="27" s="1"/>
  <c r="BB78" i="27"/>
  <c r="BB8" i="27"/>
  <c r="BB88" i="27" l="1"/>
  <c r="AZ66" i="28"/>
  <c r="AZ69" i="28" s="1"/>
  <c r="AZ11" i="28"/>
  <c r="AY10" i="28"/>
  <c r="AZ19" i="28" s="1"/>
  <c r="AY9" i="28"/>
  <c r="AZ18" i="28" s="1"/>
  <c r="AZ35" i="28" s="1"/>
  <c r="BB67" i="27" s="1"/>
  <c r="AY8" i="28"/>
  <c r="AZ17" i="28" s="1"/>
  <c r="AZ34" i="28" s="1"/>
  <c r="BB57" i="27" s="1"/>
  <c r="AY7" i="28"/>
  <c r="AZ16" i="28" s="1"/>
  <c r="AY6" i="28"/>
  <c r="AZ15" i="28" s="1"/>
  <c r="AY5" i="28"/>
  <c r="AZ14" i="28" s="1"/>
  <c r="AZ32" i="28" l="1"/>
  <c r="BB37" i="27" s="1"/>
  <c r="AZ31" i="28"/>
  <c r="BB27" i="27" s="1"/>
  <c r="AZ33" i="28"/>
  <c r="BB47" i="27" s="1"/>
  <c r="BB16" i="27" s="1"/>
  <c r="AZ20" i="28"/>
  <c r="BB28" i="27"/>
  <c r="AZ71" i="28"/>
  <c r="BB48" i="27" s="1"/>
  <c r="AZ73" i="28"/>
  <c r="BB68" i="27" s="1"/>
  <c r="AZ70" i="28"/>
  <c r="BB38" i="27" s="1"/>
  <c r="AZ72" i="28"/>
  <c r="BB58" i="27" s="1"/>
  <c r="BA6" i="27"/>
  <c r="AZ36" i="28" l="1"/>
  <c r="BB17" i="27"/>
  <c r="AZ74" i="28"/>
  <c r="BA85" i="27"/>
  <c r="AN31" i="30" l="1"/>
  <c r="AN24" i="30"/>
  <c r="AN25" i="30" s="1"/>
  <c r="AN17" i="30"/>
  <c r="AN10" i="30"/>
  <c r="AN3" i="30"/>
  <c r="AM31" i="30"/>
  <c r="AM24" i="30"/>
  <c r="AM17" i="30"/>
  <c r="AM10" i="30"/>
  <c r="AM3" i="30"/>
  <c r="AY65" i="28"/>
  <c r="AY64" i="28"/>
  <c r="AY63" i="28"/>
  <c r="AY62" i="28"/>
  <c r="AY61" i="28"/>
  <c r="AY56" i="28"/>
  <c r="AY28" i="28"/>
  <c r="AY11" i="28"/>
  <c r="AN26" i="30" l="1"/>
  <c r="AN27" i="30" s="1"/>
  <c r="AN28" i="30" s="1"/>
  <c r="AN29" i="30" s="1"/>
  <c r="BB59" i="27" s="1"/>
  <c r="BB60" i="27" s="1"/>
  <c r="BB61" i="27" s="1"/>
  <c r="AO25" i="30"/>
  <c r="AN4" i="30"/>
  <c r="AN32" i="30"/>
  <c r="AM20" i="30"/>
  <c r="AM21" i="30" s="1"/>
  <c r="AM22" i="30" s="1"/>
  <c r="AN18" i="30"/>
  <c r="AN11" i="30"/>
  <c r="AM27" i="30"/>
  <c r="AM28" i="30" s="1"/>
  <c r="AM29" i="30" s="1"/>
  <c r="AY66" i="28"/>
  <c r="AN12" i="30" l="1"/>
  <c r="AN13" i="30" s="1"/>
  <c r="AN14" i="30" s="1"/>
  <c r="AN15" i="30" s="1"/>
  <c r="BB39" i="27" s="1"/>
  <c r="BB40" i="27" s="1"/>
  <c r="BB41" i="27" s="1"/>
  <c r="AO11" i="30"/>
  <c r="AN33" i="30"/>
  <c r="AO32" i="30"/>
  <c r="AN5" i="30"/>
  <c r="AN6" i="30" s="1"/>
  <c r="AN7" i="30" s="1"/>
  <c r="AN8" i="30" s="1"/>
  <c r="BB29" i="27" s="1"/>
  <c r="BB30" i="27" s="1"/>
  <c r="BB31" i="27" s="1"/>
  <c r="AO4" i="30"/>
  <c r="AO26" i="30"/>
  <c r="AO27" i="30" s="1"/>
  <c r="AO28" i="30" s="1"/>
  <c r="AO29" i="30" s="1"/>
  <c r="BC59" i="27" s="1"/>
  <c r="BC60" i="27" s="1"/>
  <c r="BC61" i="27" s="1"/>
  <c r="AP25" i="30"/>
  <c r="AN19" i="30"/>
  <c r="AN20" i="30" s="1"/>
  <c r="AN21" i="30" s="1"/>
  <c r="AN22" i="30" s="1"/>
  <c r="BB49" i="27" s="1"/>
  <c r="BB50" i="27" s="1"/>
  <c r="BB51" i="27" s="1"/>
  <c r="AO18" i="30"/>
  <c r="AN34" i="30"/>
  <c r="AN35" i="30" s="1"/>
  <c r="AN36" i="30" s="1"/>
  <c r="BB69" i="27" s="1"/>
  <c r="AM34" i="30"/>
  <c r="AM35" i="30" s="1"/>
  <c r="AM36" i="30" s="1"/>
  <c r="AM6" i="30"/>
  <c r="AM7" i="30" s="1"/>
  <c r="AM8" i="30" s="1"/>
  <c r="AM13" i="30"/>
  <c r="AM14" i="30" s="1"/>
  <c r="AM15" i="30" s="1"/>
  <c r="AY72" i="28"/>
  <c r="AY73" i="28"/>
  <c r="AY71" i="28"/>
  <c r="AY70" i="28"/>
  <c r="AY69" i="28"/>
  <c r="AO19" i="30" l="1"/>
  <c r="AO20" i="30" s="1"/>
  <c r="AO21" i="30" s="1"/>
  <c r="AO22" i="30" s="1"/>
  <c r="BC49" i="27" s="1"/>
  <c r="BC50" i="27" s="1"/>
  <c r="BC51" i="27" s="1"/>
  <c r="AP18" i="30"/>
  <c r="AP32" i="30"/>
  <c r="AO33" i="30"/>
  <c r="AO34" i="30" s="1"/>
  <c r="AO35" i="30" s="1"/>
  <c r="AO36" i="30" s="1"/>
  <c r="BC69" i="27" s="1"/>
  <c r="AQ25" i="30"/>
  <c r="AP26" i="30"/>
  <c r="AO12" i="30"/>
  <c r="AO13" i="30" s="1"/>
  <c r="AO14" i="30" s="1"/>
  <c r="AO15" i="30" s="1"/>
  <c r="BC39" i="27" s="1"/>
  <c r="BC40" i="27" s="1"/>
  <c r="BC41" i="27" s="1"/>
  <c r="AP11" i="30"/>
  <c r="AP4" i="30"/>
  <c r="AO5" i="30"/>
  <c r="AO6" i="30" s="1"/>
  <c r="AO7" i="30" s="1"/>
  <c r="AO8" i="30" s="1"/>
  <c r="BC29" i="27" s="1"/>
  <c r="BC30" i="27" s="1"/>
  <c r="BC31" i="27" s="1"/>
  <c r="BB70" i="27"/>
  <c r="BB18" i="27"/>
  <c r="AY74" i="28"/>
  <c r="AP27" i="30" l="1"/>
  <c r="AP28" i="30" s="1"/>
  <c r="AP29" i="30" s="1"/>
  <c r="BD59" i="27" s="1"/>
  <c r="BD60" i="27" s="1"/>
  <c r="BD61" i="27" s="1"/>
  <c r="AP5" i="30"/>
  <c r="AP6" i="30" s="1"/>
  <c r="AP7" i="30" s="1"/>
  <c r="AP8" i="30" s="1"/>
  <c r="BD29" i="27" s="1"/>
  <c r="BD30" i="27" s="1"/>
  <c r="BD31" i="27" s="1"/>
  <c r="AQ4" i="30"/>
  <c r="AR25" i="30"/>
  <c r="AQ26" i="30"/>
  <c r="AQ27" i="30" s="1"/>
  <c r="AQ18" i="30"/>
  <c r="AP19" i="30"/>
  <c r="AP20" i="30" s="1"/>
  <c r="AP21" i="30" s="1"/>
  <c r="AP22" i="30" s="1"/>
  <c r="BD49" i="27" s="1"/>
  <c r="BD50" i="27" s="1"/>
  <c r="BD51" i="27" s="1"/>
  <c r="BC70" i="27"/>
  <c r="BC18" i="27"/>
  <c r="AQ11" i="30"/>
  <c r="AP12" i="30"/>
  <c r="AQ32" i="30"/>
  <c r="AP33" i="30"/>
  <c r="AP34" i="30" s="1"/>
  <c r="AP35" i="30" s="1"/>
  <c r="AP36" i="30" s="1"/>
  <c r="BD69" i="27" s="1"/>
  <c r="BB71" i="27"/>
  <c r="BB19" i="27"/>
  <c r="AY78" i="27"/>
  <c r="BA78" i="27"/>
  <c r="BA87" i="27"/>
  <c r="BA88" i="27" s="1"/>
  <c r="BA68" i="27"/>
  <c r="BA69" i="27" s="1"/>
  <c r="BA58" i="27"/>
  <c r="BA59" i="27" s="1"/>
  <c r="BA60" i="27" s="1"/>
  <c r="BA48" i="27"/>
  <c r="BA49" i="27" s="1"/>
  <c r="BA50" i="27" s="1"/>
  <c r="BA38" i="27"/>
  <c r="BA39" i="27" s="1"/>
  <c r="BA40" i="27" s="1"/>
  <c r="BA28" i="27"/>
  <c r="BA29" i="27" s="1"/>
  <c r="BA8" i="27"/>
  <c r="AQ19" i="30" l="1"/>
  <c r="AQ20" i="30" s="1"/>
  <c r="AR18" i="30"/>
  <c r="AQ33" i="30"/>
  <c r="AQ34" i="30" s="1"/>
  <c r="AR32" i="30"/>
  <c r="AQ28" i="30"/>
  <c r="AQ29" i="30" s="1"/>
  <c r="BE59" i="27" s="1"/>
  <c r="BE60" i="27" s="1"/>
  <c r="BE61" i="27" s="1"/>
  <c r="AR26" i="30"/>
  <c r="AR27" i="30" s="1"/>
  <c r="AR28" i="30" s="1"/>
  <c r="AR29" i="30" s="1"/>
  <c r="BF59" i="27" s="1"/>
  <c r="BF60" i="27" s="1"/>
  <c r="BF61" i="27" s="1"/>
  <c r="AS25" i="30"/>
  <c r="BD70" i="27"/>
  <c r="AP13" i="30"/>
  <c r="AP14" i="30"/>
  <c r="AP15" i="30" s="1"/>
  <c r="BD39" i="27" s="1"/>
  <c r="BD40" i="27" s="1"/>
  <c r="BD41" i="27" s="1"/>
  <c r="AQ5" i="30"/>
  <c r="AR4" i="30"/>
  <c r="AQ12" i="30"/>
  <c r="AQ13" i="30" s="1"/>
  <c r="AQ14" i="30" s="1"/>
  <c r="AQ15" i="30" s="1"/>
  <c r="BE39" i="27" s="1"/>
  <c r="BE40" i="27" s="1"/>
  <c r="BE41" i="27" s="1"/>
  <c r="AR11" i="30"/>
  <c r="BC19" i="27"/>
  <c r="BC71" i="27"/>
  <c r="BC20" i="27" s="1"/>
  <c r="BB20" i="27"/>
  <c r="BA17" i="27"/>
  <c r="BA30" i="27"/>
  <c r="BA18" i="27"/>
  <c r="BA70" i="27"/>
  <c r="AX10" i="28"/>
  <c r="AY19" i="28" s="1"/>
  <c r="AX9" i="28"/>
  <c r="AY18" i="28" s="1"/>
  <c r="AX8" i="28"/>
  <c r="AY17" i="28" s="1"/>
  <c r="AX7" i="28"/>
  <c r="AY16" i="28" s="1"/>
  <c r="AX6" i="28"/>
  <c r="AY15" i="28" s="1"/>
  <c r="AX5" i="28"/>
  <c r="AY14" i="28" s="1"/>
  <c r="AY33" i="28" l="1"/>
  <c r="BA47" i="27" s="1"/>
  <c r="BA51" i="27" s="1"/>
  <c r="AY32" i="28"/>
  <c r="BA37" i="27" s="1"/>
  <c r="BA41" i="27" s="1"/>
  <c r="AY35" i="28"/>
  <c r="BA67" i="27" s="1"/>
  <c r="BA71" i="27" s="1"/>
  <c r="AT25" i="30"/>
  <c r="AS26" i="30"/>
  <c r="AS27" i="30" s="1"/>
  <c r="AS11" i="30"/>
  <c r="AR12" i="30"/>
  <c r="AR19" i="30"/>
  <c r="AR20" i="30" s="1"/>
  <c r="AR21" i="30" s="1"/>
  <c r="AR22" i="30" s="1"/>
  <c r="BF49" i="27" s="1"/>
  <c r="BF50" i="27" s="1"/>
  <c r="BF51" i="27" s="1"/>
  <c r="AS18" i="30"/>
  <c r="AY34" i="28"/>
  <c r="BA57" i="27" s="1"/>
  <c r="BA61" i="27" s="1"/>
  <c r="BD19" i="27"/>
  <c r="BD71" i="27"/>
  <c r="BD20" i="27" s="1"/>
  <c r="AR33" i="30"/>
  <c r="AR34" i="30" s="1"/>
  <c r="AS32" i="30"/>
  <c r="AQ21" i="30"/>
  <c r="AQ22" i="30" s="1"/>
  <c r="BE49" i="27" s="1"/>
  <c r="BE50" i="27" s="1"/>
  <c r="BE51" i="27" s="1"/>
  <c r="AS4" i="30"/>
  <c r="AR5" i="30"/>
  <c r="AY31" i="28"/>
  <c r="AY20" i="28"/>
  <c r="AQ6" i="30"/>
  <c r="AQ7" i="30" s="1"/>
  <c r="AQ8" i="30" s="1"/>
  <c r="BE29" i="27" s="1"/>
  <c r="BE30" i="27" s="1"/>
  <c r="BE31" i="27" s="1"/>
  <c r="BD18" i="27"/>
  <c r="AQ35" i="30"/>
  <c r="AQ36" i="30" s="1"/>
  <c r="BE69" i="27" s="1"/>
  <c r="BA19" i="27"/>
  <c r="AZ6" i="27"/>
  <c r="AS12" i="30" l="1"/>
  <c r="AS13" i="30" s="1"/>
  <c r="AS14" i="30" s="1"/>
  <c r="AS15" i="30" s="1"/>
  <c r="BG39" i="27" s="1"/>
  <c r="BG40" i="27" s="1"/>
  <c r="BG41" i="27" s="1"/>
  <c r="AT11" i="30"/>
  <c r="BE70" i="27"/>
  <c r="BE18" i="27"/>
  <c r="AS19" i="30"/>
  <c r="AS20" i="30" s="1"/>
  <c r="AS21" i="30" s="1"/>
  <c r="AS22" i="30" s="1"/>
  <c r="BG49" i="27" s="1"/>
  <c r="BG50" i="27" s="1"/>
  <c r="BG51" i="27" s="1"/>
  <c r="AT18" i="30"/>
  <c r="AS33" i="30"/>
  <c r="AS34" i="30" s="1"/>
  <c r="AS35" i="30" s="1"/>
  <c r="AS36" i="30" s="1"/>
  <c r="BG69" i="27" s="1"/>
  <c r="AT32" i="30"/>
  <c r="AS28" i="30"/>
  <c r="AS29" i="30" s="1"/>
  <c r="BG59" i="27" s="1"/>
  <c r="BG60" i="27" s="1"/>
  <c r="BG61" i="27" s="1"/>
  <c r="AR6" i="30"/>
  <c r="AR7" i="30" s="1"/>
  <c r="AR8" i="30" s="1"/>
  <c r="BF29" i="27" s="1"/>
  <c r="BF30" i="27" s="1"/>
  <c r="BF31" i="27" s="1"/>
  <c r="AS5" i="30"/>
  <c r="AS6" i="30" s="1"/>
  <c r="AS7" i="30" s="1"/>
  <c r="AS8" i="30" s="1"/>
  <c r="BG29" i="27" s="1"/>
  <c r="BG30" i="27" s="1"/>
  <c r="BG31" i="27" s="1"/>
  <c r="AT4" i="30"/>
  <c r="AY36" i="28"/>
  <c r="BA27" i="27"/>
  <c r="BA31" i="27" s="1"/>
  <c r="BA20" i="27" s="1"/>
  <c r="AR35" i="30"/>
  <c r="AR36" i="30" s="1"/>
  <c r="BF69" i="27" s="1"/>
  <c r="AR13" i="30"/>
  <c r="AR14" i="30" s="1"/>
  <c r="AR15" i="30" s="1"/>
  <c r="BF39" i="27" s="1"/>
  <c r="BF40" i="27" s="1"/>
  <c r="BF41" i="27" s="1"/>
  <c r="AT26" i="30"/>
  <c r="AT27" i="30" s="1"/>
  <c r="AU25" i="30"/>
  <c r="AV25" i="30" s="1"/>
  <c r="AL31" i="30"/>
  <c r="AL24" i="30"/>
  <c r="AL17" i="30"/>
  <c r="AL10" i="30"/>
  <c r="AL3" i="30"/>
  <c r="AX65" i="28"/>
  <c r="AX64" i="28"/>
  <c r="AX63" i="28"/>
  <c r="AX62" i="28"/>
  <c r="AX61" i="28"/>
  <c r="AX56" i="28"/>
  <c r="AX28" i="28"/>
  <c r="AW25" i="30" l="1"/>
  <c r="BE19" i="27"/>
  <c r="BE71" i="27"/>
  <c r="BE20" i="27" s="1"/>
  <c r="AU26" i="30"/>
  <c r="AU27" i="30" s="1"/>
  <c r="AU28" i="30" s="1"/>
  <c r="AU29" i="30" s="1"/>
  <c r="BI59" i="27" s="1"/>
  <c r="BI60" i="27" s="1"/>
  <c r="BI61" i="27" s="1"/>
  <c r="AT28" i="30"/>
  <c r="AT29" i="30" s="1"/>
  <c r="BH59" i="27" s="1"/>
  <c r="BH60" i="27" s="1"/>
  <c r="BH61" i="27" s="1"/>
  <c r="BA16" i="27"/>
  <c r="AU18" i="30"/>
  <c r="AV18" i="30" s="1"/>
  <c r="AT19" i="30"/>
  <c r="AT20" i="30" s="1"/>
  <c r="BG70" i="27"/>
  <c r="BG18" i="27"/>
  <c r="AT5" i="30"/>
  <c r="AT6" i="30" s="1"/>
  <c r="AT7" i="30" s="1"/>
  <c r="AT8" i="30" s="1"/>
  <c r="BH29" i="27" s="1"/>
  <c r="BH30" i="27" s="1"/>
  <c r="BH31" i="27" s="1"/>
  <c r="AU4" i="30"/>
  <c r="AV4" i="30" s="1"/>
  <c r="AT33" i="30"/>
  <c r="AT34" i="30" s="1"/>
  <c r="AT35" i="30" s="1"/>
  <c r="AT36" i="30" s="1"/>
  <c r="BH69" i="27" s="1"/>
  <c r="AU32" i="30"/>
  <c r="AV32" i="30" s="1"/>
  <c r="AT12" i="30"/>
  <c r="AT13" i="30" s="1"/>
  <c r="AT14" i="30" s="1"/>
  <c r="AT15" i="30" s="1"/>
  <c r="BH39" i="27" s="1"/>
  <c r="BH40" i="27" s="1"/>
  <c r="BH41" i="27" s="1"/>
  <c r="AU11" i="30"/>
  <c r="AV11" i="30" s="1"/>
  <c r="BF18" i="27"/>
  <c r="BF70" i="27"/>
  <c r="AX66" i="28"/>
  <c r="AX70" i="28" s="1"/>
  <c r="AX11" i="28"/>
  <c r="AW32" i="30" l="1"/>
  <c r="AW18" i="30"/>
  <c r="AW4" i="30"/>
  <c r="AW11" i="30"/>
  <c r="AX25" i="30"/>
  <c r="AV26" i="30"/>
  <c r="AV27" i="30" s="1"/>
  <c r="AV28" i="30" s="1"/>
  <c r="AV29" i="30" s="1"/>
  <c r="BJ59" i="27" s="1"/>
  <c r="BJ60" i="27" s="1"/>
  <c r="BJ61" i="27" s="1"/>
  <c r="AU19" i="30"/>
  <c r="AU20" i="30" s="1"/>
  <c r="AU21" i="30" s="1"/>
  <c r="AU22" i="30" s="1"/>
  <c r="BI49" i="27" s="1"/>
  <c r="BI50" i="27" s="1"/>
  <c r="BI51" i="27" s="1"/>
  <c r="BF71" i="27"/>
  <c r="BF20" i="27" s="1"/>
  <c r="BF19" i="27"/>
  <c r="AU33" i="30"/>
  <c r="AV33" i="30" s="1"/>
  <c r="BG71" i="27"/>
  <c r="BG20" i="27" s="1"/>
  <c r="BG19" i="27"/>
  <c r="AU12" i="30"/>
  <c r="AU13" i="30" s="1"/>
  <c r="AU5" i="30"/>
  <c r="AV5" i="30" s="1"/>
  <c r="AV6" i="30" s="1"/>
  <c r="AV7" i="30" s="1"/>
  <c r="AV8" i="30" s="1"/>
  <c r="BJ29" i="27" s="1"/>
  <c r="BJ30" i="27" s="1"/>
  <c r="BJ31" i="27" s="1"/>
  <c r="BH70" i="27"/>
  <c r="AT21" i="30"/>
  <c r="AT22" i="30" s="1"/>
  <c r="BH49" i="27" s="1"/>
  <c r="BH50" i="27" s="1"/>
  <c r="BH51" i="27" s="1"/>
  <c r="AX69" i="28"/>
  <c r="AX71" i="28"/>
  <c r="AX73" i="28"/>
  <c r="AX72" i="28"/>
  <c r="AU6" i="30" l="1"/>
  <c r="AU34" i="30"/>
  <c r="AV34" i="30"/>
  <c r="AV35" i="30" s="1"/>
  <c r="AV36" i="30" s="1"/>
  <c r="BJ69" i="27" s="1"/>
  <c r="AW5" i="30"/>
  <c r="AW6" i="30" s="1"/>
  <c r="AW7" i="30" s="1"/>
  <c r="AW8" i="30" s="1"/>
  <c r="BK29" i="27" s="1"/>
  <c r="BK30" i="27" s="1"/>
  <c r="BK31" i="27" s="1"/>
  <c r="AX4" i="30"/>
  <c r="AW26" i="30"/>
  <c r="AW27" i="30" s="1"/>
  <c r="AW28" i="30" s="1"/>
  <c r="AW29" i="30" s="1"/>
  <c r="BK59" i="27" s="1"/>
  <c r="BK60" i="27" s="1"/>
  <c r="BK61" i="27" s="1"/>
  <c r="AV19" i="30"/>
  <c r="AV20" i="30" s="1"/>
  <c r="AV21" i="30" s="1"/>
  <c r="AV22" i="30" s="1"/>
  <c r="BJ49" i="27" s="1"/>
  <c r="BJ50" i="27" s="1"/>
  <c r="BJ51" i="27" s="1"/>
  <c r="AX18" i="30"/>
  <c r="AX11" i="30"/>
  <c r="AV12" i="30"/>
  <c r="AV13" i="30" s="1"/>
  <c r="AV14" i="30" s="1"/>
  <c r="AV15" i="30" s="1"/>
  <c r="BJ39" i="27" s="1"/>
  <c r="BJ40" i="27" s="1"/>
  <c r="BJ41" i="27" s="1"/>
  <c r="AW33" i="30"/>
  <c r="AW34" i="30" s="1"/>
  <c r="AW35" i="30" s="1"/>
  <c r="AW36" i="30" s="1"/>
  <c r="BK69" i="27" s="1"/>
  <c r="AX32" i="30"/>
  <c r="AU35" i="30"/>
  <c r="AU36" i="30" s="1"/>
  <c r="BI69" i="27" s="1"/>
  <c r="AU14" i="30"/>
  <c r="AU15" i="30" s="1"/>
  <c r="BI39" i="27" s="1"/>
  <c r="BI40" i="27" s="1"/>
  <c r="BI41" i="27" s="1"/>
  <c r="BH18" i="27"/>
  <c r="BH71" i="27"/>
  <c r="BH20" i="27" s="1"/>
  <c r="BH19" i="27"/>
  <c r="AU7" i="30"/>
  <c r="AU8" i="30" s="1"/>
  <c r="BI29" i="27" s="1"/>
  <c r="BI30" i="27" s="1"/>
  <c r="BI31" i="27" s="1"/>
  <c r="AX74" i="28"/>
  <c r="AM78" i="27"/>
  <c r="Z26" i="27"/>
  <c r="AX26" i="30" l="1"/>
  <c r="AX27" i="30" s="1"/>
  <c r="AX28" i="30" s="1"/>
  <c r="AX29" i="30" s="1"/>
  <c r="BL59" i="27" s="1"/>
  <c r="BL60" i="27" s="1"/>
  <c r="BL61" i="27" s="1"/>
  <c r="AW19" i="30"/>
  <c r="AW12" i="30"/>
  <c r="AW13" i="30" s="1"/>
  <c r="AW14" i="30" s="1"/>
  <c r="AW15" i="30" s="1"/>
  <c r="BK39" i="27" s="1"/>
  <c r="BK40" i="27" s="1"/>
  <c r="BK41" i="27" s="1"/>
  <c r="BK70" i="27"/>
  <c r="BJ70" i="27"/>
  <c r="BJ18" i="27"/>
  <c r="AX33" i="30"/>
  <c r="AX34" i="30" s="1"/>
  <c r="AX35" i="30" s="1"/>
  <c r="AX36" i="30" s="1"/>
  <c r="BL69" i="27" s="1"/>
  <c r="AX5" i="30"/>
  <c r="AX6" i="30" s="1"/>
  <c r="AX7" i="30" s="1"/>
  <c r="AX8" i="30" s="1"/>
  <c r="BL29" i="27" s="1"/>
  <c r="BL30" i="27" s="1"/>
  <c r="BL31" i="27" s="1"/>
  <c r="AW20" i="30"/>
  <c r="AW21" i="30" s="1"/>
  <c r="AW22" i="30" s="1"/>
  <c r="BK49" i="27" s="1"/>
  <c r="BK50" i="27" s="1"/>
  <c r="BK51" i="27" s="1"/>
  <c r="AX19" i="30"/>
  <c r="AX20" i="30" s="1"/>
  <c r="AX21" i="30" s="1"/>
  <c r="AX22" i="30" s="1"/>
  <c r="BL49" i="27" s="1"/>
  <c r="BL50" i="27" s="1"/>
  <c r="BL51" i="27" s="1"/>
  <c r="BI18" i="27"/>
  <c r="BI70" i="27"/>
  <c r="AX12" i="30" l="1"/>
  <c r="AX13" i="30" s="1"/>
  <c r="AX14" i="30" s="1"/>
  <c r="AX15" i="30" s="1"/>
  <c r="BL39" i="27" s="1"/>
  <c r="BL40" i="27" s="1"/>
  <c r="BL41" i="27" s="1"/>
  <c r="BL70" i="27"/>
  <c r="BJ19" i="27"/>
  <c r="BJ71" i="27"/>
  <c r="BJ20" i="27" s="1"/>
  <c r="BK18" i="27"/>
  <c r="BK71" i="27"/>
  <c r="BK20" i="27" s="1"/>
  <c r="BK19" i="27"/>
  <c r="BI19" i="27"/>
  <c r="BI71" i="27"/>
  <c r="BI20" i="27" s="1"/>
  <c r="BL18" i="27" l="1"/>
  <c r="BL71" i="27"/>
  <c r="BL20" i="27" s="1"/>
  <c r="BL19" i="27"/>
  <c r="AY84" i="27"/>
  <c r="AY6" i="27" l="1"/>
  <c r="AY8" i="27" s="1"/>
  <c r="AW10" i="28" l="1"/>
  <c r="AX19" i="28" s="1"/>
  <c r="AW9" i="28"/>
  <c r="AX18" i="28" s="1"/>
  <c r="AW8" i="28"/>
  <c r="AX17" i="28" s="1"/>
  <c r="AW7" i="28"/>
  <c r="AX16" i="28" s="1"/>
  <c r="AW6" i="28"/>
  <c r="AX15" i="28" s="1"/>
  <c r="AW5" i="28"/>
  <c r="AX14" i="28" s="1"/>
  <c r="AX35" i="28" l="1"/>
  <c r="AX32" i="28"/>
  <c r="AX33" i="28"/>
  <c r="AX34" i="28"/>
  <c r="AX31" i="28"/>
  <c r="AX20" i="28"/>
  <c r="AK31" i="30"/>
  <c r="AK24" i="30"/>
  <c r="AK17" i="30"/>
  <c r="AK10" i="30"/>
  <c r="AK3" i="30"/>
  <c r="AX36" i="28" l="1"/>
  <c r="AV10" i="28" l="1"/>
  <c r="AV9" i="28"/>
  <c r="AV8" i="28"/>
  <c r="AV7" i="28"/>
  <c r="AV6" i="28"/>
  <c r="AV5" i="28"/>
  <c r="AX6" i="27" l="1"/>
  <c r="AJ31" i="30" l="1"/>
  <c r="AJ24" i="30"/>
  <c r="AJ17" i="30"/>
  <c r="AJ10" i="30"/>
  <c r="AJ3" i="30"/>
  <c r="AV65" i="28"/>
  <c r="AV64" i="28"/>
  <c r="AV63" i="28"/>
  <c r="AV62" i="28"/>
  <c r="AV61" i="28"/>
  <c r="AV56" i="28"/>
  <c r="AV28" i="28"/>
  <c r="AK78" i="27"/>
  <c r="AV66" i="28" l="1"/>
  <c r="AV71" i="28" s="1"/>
  <c r="AV11" i="28"/>
  <c r="AV73" i="28" l="1"/>
  <c r="AV69" i="28"/>
  <c r="AV70" i="28"/>
  <c r="AV72" i="28"/>
  <c r="AV74" i="28" l="1"/>
  <c r="CU60" i="29" l="1"/>
  <c r="CT60" i="29"/>
  <c r="CV60" i="29" s="1"/>
  <c r="CU50" i="29"/>
  <c r="CT50" i="29"/>
  <c r="CU40" i="29"/>
  <c r="CT40" i="29"/>
  <c r="CU30" i="29"/>
  <c r="CT30" i="29"/>
  <c r="CU20" i="29"/>
  <c r="CT20" i="29"/>
  <c r="CV20" i="29" s="1"/>
  <c r="CV50" i="29" l="1"/>
  <c r="CV40" i="29"/>
  <c r="CV30" i="29"/>
  <c r="AU10" i="28" l="1"/>
  <c r="AV19" i="28" s="1"/>
  <c r="AU9" i="28"/>
  <c r="AV18" i="28" s="1"/>
  <c r="AV35" i="28" s="1"/>
  <c r="AU8" i="28"/>
  <c r="AV17" i="28" s="1"/>
  <c r="AV34" i="28" s="1"/>
  <c r="AU7" i="28"/>
  <c r="AV16" i="28" s="1"/>
  <c r="AV33" i="28" s="1"/>
  <c r="AX47" i="27" s="1"/>
  <c r="AU6" i="28"/>
  <c r="AV15" i="28" s="1"/>
  <c r="AV32" i="28" s="1"/>
  <c r="AU5" i="28"/>
  <c r="AV14" i="28" s="1"/>
  <c r="AV31" i="28" l="1"/>
  <c r="AV36" i="28" s="1"/>
  <c r="AV20" i="28"/>
  <c r="AW6" i="27" l="1"/>
  <c r="AI31" i="30" l="1"/>
  <c r="AI24" i="30"/>
  <c r="AI17" i="30"/>
  <c r="AI10" i="30"/>
  <c r="AI3" i="30"/>
  <c r="AT10" i="28" l="1"/>
  <c r="AT9" i="28"/>
  <c r="AT8" i="28"/>
  <c r="AT7" i="28"/>
  <c r="AT6" i="28"/>
  <c r="AT5" i="28"/>
  <c r="AV6" i="27" l="1"/>
  <c r="AH31" i="30" l="1"/>
  <c r="AH24" i="30"/>
  <c r="AH17" i="30"/>
  <c r="AH10" i="30"/>
  <c r="AH3" i="30"/>
  <c r="AS10" i="28" l="1"/>
  <c r="AS9" i="28"/>
  <c r="AS8" i="28"/>
  <c r="AS7" i="28"/>
  <c r="AS6" i="28"/>
  <c r="AS5" i="28"/>
  <c r="AU6" i="27" l="1"/>
  <c r="AU84" i="27" l="1"/>
  <c r="AG31" i="30" l="1"/>
  <c r="AG24" i="30"/>
  <c r="AG17" i="30"/>
  <c r="AG10" i="30"/>
  <c r="AG3" i="30"/>
  <c r="AT6" i="27"/>
  <c r="AR10" i="28" l="1"/>
  <c r="AR9" i="28"/>
  <c r="AR8" i="28"/>
  <c r="AR7" i="28"/>
  <c r="AR6" i="28"/>
  <c r="AR5" i="28"/>
  <c r="AF31" i="30" l="1"/>
  <c r="AF24" i="30"/>
  <c r="AF17" i="30"/>
  <c r="AF10" i="30"/>
  <c r="AF3" i="30"/>
  <c r="AS6" i="27" l="1"/>
  <c r="AQ10" i="28" l="1"/>
  <c r="AQ9" i="28"/>
  <c r="AQ8" i="28"/>
  <c r="AQ7" i="28"/>
  <c r="AQ6" i="28"/>
  <c r="AQ5" i="28"/>
  <c r="AE31" i="30" l="1"/>
  <c r="AE24" i="30"/>
  <c r="AE17" i="30"/>
  <c r="AE10" i="30"/>
  <c r="AE3" i="30"/>
  <c r="AP10" i="28" l="1"/>
  <c r="AP9" i="28"/>
  <c r="AP8" i="28"/>
  <c r="AP7" i="28"/>
  <c r="AP6" i="28"/>
  <c r="AP5" i="28"/>
  <c r="AR6" i="27" l="1"/>
  <c r="AD31" i="30" l="1"/>
  <c r="AD24" i="30"/>
  <c r="AD17" i="30"/>
  <c r="AD10" i="30"/>
  <c r="AD3" i="30"/>
  <c r="AO10" i="28" l="1"/>
  <c r="AO9" i="28"/>
  <c r="AO8" i="28"/>
  <c r="AO7" i="28"/>
  <c r="AO6" i="28"/>
  <c r="AO5" i="28"/>
  <c r="AQ6" i="27" l="1"/>
  <c r="AC31" i="30" l="1"/>
  <c r="AC24" i="30"/>
  <c r="AC17" i="30"/>
  <c r="AC10" i="30"/>
  <c r="AC3" i="30"/>
  <c r="AN10" i="28" l="1"/>
  <c r="AN9" i="28"/>
  <c r="AN8" i="28"/>
  <c r="AN7" i="28"/>
  <c r="AN6" i="28"/>
  <c r="AN5" i="28"/>
  <c r="AP6" i="27" l="1"/>
  <c r="AB3" i="30" l="1"/>
  <c r="AB31" i="30"/>
  <c r="AB32" i="30" s="1"/>
  <c r="AB24" i="30"/>
  <c r="AB25" i="30" s="1"/>
  <c r="AB17" i="30"/>
  <c r="AB10" i="30"/>
  <c r="AB11" i="30" s="1"/>
  <c r="AZ85" i="27"/>
  <c r="AZ87" i="27" s="1"/>
  <c r="AZ88" i="27" s="1"/>
  <c r="AZ68" i="27"/>
  <c r="AZ67" i="27"/>
  <c r="AZ58" i="27"/>
  <c r="AZ57" i="27"/>
  <c r="AZ48" i="27"/>
  <c r="AZ47" i="27"/>
  <c r="AZ38" i="27"/>
  <c r="AZ37" i="27"/>
  <c r="AZ28" i="27"/>
  <c r="AZ27" i="27"/>
  <c r="AZ8" i="27"/>
  <c r="AY85" i="27"/>
  <c r="AX85" i="27"/>
  <c r="AX87" i="27" s="1"/>
  <c r="AX88" i="27" s="1"/>
  <c r="AX78" i="27"/>
  <c r="AX68" i="27"/>
  <c r="AX67" i="27"/>
  <c r="AX58" i="27"/>
  <c r="AX57" i="27"/>
  <c r="AX48" i="27"/>
  <c r="AX38" i="27"/>
  <c r="AX37" i="27"/>
  <c r="AX28" i="27"/>
  <c r="AX27" i="27"/>
  <c r="AX8" i="27"/>
  <c r="AW85" i="27"/>
  <c r="AW87" i="27" s="1"/>
  <c r="AW88" i="27" s="1"/>
  <c r="AV85" i="27"/>
  <c r="AU85" i="27"/>
  <c r="AU87" i="27" s="1"/>
  <c r="AU88" i="27" s="1"/>
  <c r="AT85" i="27"/>
  <c r="AS85" i="27"/>
  <c r="AR85" i="27"/>
  <c r="AQ85" i="27"/>
  <c r="AP85" i="27"/>
  <c r="AO85" i="27"/>
  <c r="AO87" i="27" s="1"/>
  <c r="AO88" i="27" s="1"/>
  <c r="AB12" i="30" l="1"/>
  <c r="AC11" i="30"/>
  <c r="AB26" i="30"/>
  <c r="AC25" i="30"/>
  <c r="AY87" i="27"/>
  <c r="AY88" i="27" s="1"/>
  <c r="AB33" i="30"/>
  <c r="AB34" i="30" s="1"/>
  <c r="AB35" i="30" s="1"/>
  <c r="AB36" i="30" s="1"/>
  <c r="AC32" i="30"/>
  <c r="AZ17" i="27"/>
  <c r="AZ16" i="27"/>
  <c r="AX16" i="27"/>
  <c r="AX17" i="27"/>
  <c r="AB4" i="30"/>
  <c r="AB18" i="30"/>
  <c r="AB13" i="30"/>
  <c r="AB14" i="30" s="1"/>
  <c r="AB15" i="30" s="1"/>
  <c r="AB27" i="30"/>
  <c r="AB28" i="30" s="1"/>
  <c r="AB29" i="30" s="1"/>
  <c r="AC33" i="30" l="1"/>
  <c r="AC34" i="30" s="1"/>
  <c r="AD32" i="30"/>
  <c r="AC12" i="30"/>
  <c r="AC13" i="30" s="1"/>
  <c r="AC14" i="30" s="1"/>
  <c r="AC15" i="30" s="1"/>
  <c r="AD11" i="30"/>
  <c r="AC26" i="30"/>
  <c r="AD25" i="30"/>
  <c r="AB5" i="30"/>
  <c r="AB6" i="30" s="1"/>
  <c r="AB7" i="30" s="1"/>
  <c r="AB8" i="30" s="1"/>
  <c r="AC4" i="30"/>
  <c r="AB19" i="30"/>
  <c r="AB20" i="30" s="1"/>
  <c r="AB21" i="30" s="1"/>
  <c r="AB22" i="30" s="1"/>
  <c r="AC18" i="30"/>
  <c r="AD26" i="30" l="1"/>
  <c r="AD27" i="30" s="1"/>
  <c r="AD28" i="30" s="1"/>
  <c r="AD29" i="30" s="1"/>
  <c r="AE25" i="30"/>
  <c r="AD33" i="30"/>
  <c r="AD34" i="30" s="1"/>
  <c r="AD35" i="30" s="1"/>
  <c r="AD36" i="30" s="1"/>
  <c r="AE32" i="30"/>
  <c r="AC35" i="30"/>
  <c r="AC36" i="30" s="1"/>
  <c r="AC19" i="30"/>
  <c r="AC20" i="30" s="1"/>
  <c r="AC21" i="30" s="1"/>
  <c r="AC22" i="30" s="1"/>
  <c r="AD18" i="30"/>
  <c r="AC5" i="30"/>
  <c r="AC6" i="30" s="1"/>
  <c r="AC7" i="30" s="1"/>
  <c r="AC8" i="30" s="1"/>
  <c r="AD4" i="30"/>
  <c r="AD12" i="30"/>
  <c r="AD13" i="30" s="1"/>
  <c r="AD14" i="30" s="1"/>
  <c r="AD15" i="30" s="1"/>
  <c r="AE11" i="30"/>
  <c r="AC27" i="30"/>
  <c r="AC28" i="30" s="1"/>
  <c r="AC29" i="30" s="1"/>
  <c r="AD19" i="30" l="1"/>
  <c r="AD20" i="30" s="1"/>
  <c r="AD21" i="30" s="1"/>
  <c r="AD22" i="30" s="1"/>
  <c r="AE18" i="30"/>
  <c r="AF25" i="30"/>
  <c r="AE26" i="30"/>
  <c r="AE27" i="30"/>
  <c r="AE28" i="30" s="1"/>
  <c r="AE29" i="30" s="1"/>
  <c r="AD5" i="30"/>
  <c r="AD6" i="30" s="1"/>
  <c r="AD7" i="30" s="1"/>
  <c r="AD8" i="30" s="1"/>
  <c r="AE4" i="30"/>
  <c r="AE33" i="30"/>
  <c r="AE34" i="30" s="1"/>
  <c r="AE35" i="30" s="1"/>
  <c r="AE36" i="30" s="1"/>
  <c r="AF32" i="30"/>
  <c r="AF11" i="30"/>
  <c r="AE12" i="30"/>
  <c r="AF26" i="30" l="1"/>
  <c r="AF27" i="30" s="1"/>
  <c r="AF28" i="30" s="1"/>
  <c r="AF29" i="30" s="1"/>
  <c r="AG25" i="30"/>
  <c r="AF33" i="30"/>
  <c r="AF34" i="30" s="1"/>
  <c r="AF35" i="30" s="1"/>
  <c r="AF36" i="30" s="1"/>
  <c r="AG32" i="30"/>
  <c r="AE13" i="30"/>
  <c r="AE14" i="30" s="1"/>
  <c r="AE15" i="30" s="1"/>
  <c r="AF12" i="30"/>
  <c r="AF13" i="30" s="1"/>
  <c r="AG11" i="30"/>
  <c r="AE19" i="30"/>
  <c r="AE20" i="30" s="1"/>
  <c r="AE21" i="30" s="1"/>
  <c r="AE22" i="30" s="1"/>
  <c r="AF18" i="30"/>
  <c r="AE5" i="30"/>
  <c r="AE6" i="30" s="1"/>
  <c r="AE7" i="30" s="1"/>
  <c r="AE8" i="30" s="1"/>
  <c r="AF4" i="30"/>
  <c r="AM10" i="28"/>
  <c r="AM9" i="28"/>
  <c r="AM8" i="28"/>
  <c r="AM7" i="28"/>
  <c r="AM6" i="28"/>
  <c r="AM5" i="28"/>
  <c r="AG26" i="30" l="1"/>
  <c r="AH25" i="30"/>
  <c r="AH11" i="30"/>
  <c r="AG12" i="30"/>
  <c r="AG33" i="30"/>
  <c r="AG34" i="30" s="1"/>
  <c r="AG35" i="30" s="1"/>
  <c r="AG36" i="30" s="1"/>
  <c r="AH32" i="30"/>
  <c r="AF14" i="30"/>
  <c r="AF15" i="30" s="1"/>
  <c r="AF5" i="30"/>
  <c r="AG4" i="30"/>
  <c r="AF6" i="30"/>
  <c r="AF7" i="30" s="1"/>
  <c r="AF8" i="30" s="1"/>
  <c r="AG18" i="30"/>
  <c r="AF19" i="30"/>
  <c r="AH12" i="30" l="1"/>
  <c r="AH13" i="30" s="1"/>
  <c r="AH14" i="30" s="1"/>
  <c r="AH15" i="30" s="1"/>
  <c r="AI11" i="30"/>
  <c r="AH26" i="30"/>
  <c r="AH27" i="30" s="1"/>
  <c r="AI25" i="30"/>
  <c r="AH33" i="30"/>
  <c r="AH34" i="30" s="1"/>
  <c r="AH35" i="30" s="1"/>
  <c r="AH36" i="30" s="1"/>
  <c r="AI32" i="30"/>
  <c r="AF20" i="30"/>
  <c r="AF21" i="30" s="1"/>
  <c r="AF22" i="30" s="1"/>
  <c r="AG5" i="30"/>
  <c r="AG6" i="30" s="1"/>
  <c r="AH4" i="30"/>
  <c r="AG19" i="30"/>
  <c r="AG20" i="30" s="1"/>
  <c r="AG21" i="30" s="1"/>
  <c r="AG22" i="30" s="1"/>
  <c r="AH18" i="30"/>
  <c r="AG13" i="30"/>
  <c r="AG14" i="30" s="1"/>
  <c r="AG15" i="30" s="1"/>
  <c r="AG27" i="30"/>
  <c r="AG28" i="30" s="1"/>
  <c r="AG29" i="30" s="1"/>
  <c r="AO6" i="27"/>
  <c r="AH19" i="30" l="1"/>
  <c r="AI18" i="30"/>
  <c r="AI26" i="30"/>
  <c r="AI27" i="30" s="1"/>
  <c r="AI28" i="30" s="1"/>
  <c r="AI29" i="30" s="1"/>
  <c r="AJ25" i="30"/>
  <c r="AH28" i="30"/>
  <c r="AH29" i="30" s="1"/>
  <c r="AI12" i="30"/>
  <c r="AI13" i="30" s="1"/>
  <c r="AJ11" i="30"/>
  <c r="AI33" i="30"/>
  <c r="AI34" i="30" s="1"/>
  <c r="AI35" i="30" s="1"/>
  <c r="AI36" i="30" s="1"/>
  <c r="AJ32" i="30"/>
  <c r="AH5" i="30"/>
  <c r="AH6" i="30" s="1"/>
  <c r="AH7" i="30" s="1"/>
  <c r="AH8" i="30" s="1"/>
  <c r="AI4" i="30"/>
  <c r="AG7" i="30"/>
  <c r="AG8" i="30" s="1"/>
  <c r="AJ26" i="30" l="1"/>
  <c r="AJ27" i="30" s="1"/>
  <c r="AK25" i="30"/>
  <c r="AJ33" i="30"/>
  <c r="AJ34" i="30" s="1"/>
  <c r="AJ35" i="30" s="1"/>
  <c r="AJ36" i="30" s="1"/>
  <c r="AX69" i="27" s="1"/>
  <c r="AK32" i="30"/>
  <c r="AI19" i="30"/>
  <c r="AI20" i="30" s="1"/>
  <c r="AI21" i="30" s="1"/>
  <c r="AI22" i="30" s="1"/>
  <c r="AJ18" i="30"/>
  <c r="AH20" i="30"/>
  <c r="AH21" i="30" s="1"/>
  <c r="AH22" i="30" s="1"/>
  <c r="AI5" i="30"/>
  <c r="AJ4" i="30"/>
  <c r="AI6" i="30"/>
  <c r="AI7" i="30" s="1"/>
  <c r="AI8" i="30" s="1"/>
  <c r="AJ12" i="30"/>
  <c r="AJ13" i="30" s="1"/>
  <c r="AJ14" i="30" s="1"/>
  <c r="AJ15" i="30" s="1"/>
  <c r="AX39" i="27" s="1"/>
  <c r="AX40" i="27" s="1"/>
  <c r="AX41" i="27" s="1"/>
  <c r="AK11" i="30"/>
  <c r="AI14" i="30"/>
  <c r="AI15" i="30" s="1"/>
  <c r="AX70" i="27" l="1"/>
  <c r="AJ19" i="30"/>
  <c r="AK18" i="30"/>
  <c r="AJ20" i="30"/>
  <c r="AJ21" i="30" s="1"/>
  <c r="AJ22" i="30" s="1"/>
  <c r="AX49" i="27" s="1"/>
  <c r="AX50" i="27" s="1"/>
  <c r="AX51" i="27" s="1"/>
  <c r="AK33" i="30"/>
  <c r="AL32" i="30"/>
  <c r="AL25" i="30"/>
  <c r="AK26" i="30"/>
  <c r="AK27" i="30" s="1"/>
  <c r="AK28" i="30" s="1"/>
  <c r="AK29" i="30" s="1"/>
  <c r="AJ5" i="30"/>
  <c r="AJ6" i="30" s="1"/>
  <c r="AJ7" i="30" s="1"/>
  <c r="AJ8" i="30" s="1"/>
  <c r="AX29" i="27" s="1"/>
  <c r="AX30" i="27" s="1"/>
  <c r="AX31" i="27" s="1"/>
  <c r="AK4" i="30"/>
  <c r="AL11" i="30"/>
  <c r="AK12" i="30"/>
  <c r="AK13" i="30" s="1"/>
  <c r="AK14" i="30" s="1"/>
  <c r="AK15" i="30" s="1"/>
  <c r="AJ28" i="30"/>
  <c r="AJ29" i="30" s="1"/>
  <c r="AX59" i="27" s="1"/>
  <c r="AX60" i="27" s="1"/>
  <c r="AX61" i="27" s="1"/>
  <c r="AJ85" i="27"/>
  <c r="AJ87" i="27" s="1"/>
  <c r="AJ88" i="27" s="1"/>
  <c r="AO78" i="27"/>
  <c r="AO8" i="27"/>
  <c r="AK19" i="30" l="1"/>
  <c r="AK20" i="30" s="1"/>
  <c r="AK21" i="30" s="1"/>
  <c r="AK22" i="30" s="1"/>
  <c r="AL18" i="30"/>
  <c r="AL12" i="30"/>
  <c r="AL13" i="30" s="1"/>
  <c r="AL14" i="30" s="1"/>
  <c r="AL15" i="30" s="1"/>
  <c r="AZ39" i="27" s="1"/>
  <c r="AZ40" i="27" s="1"/>
  <c r="AZ41" i="27" s="1"/>
  <c r="AX18" i="27"/>
  <c r="AK5" i="30"/>
  <c r="AK6" i="30" s="1"/>
  <c r="AK7" i="30" s="1"/>
  <c r="AK8" i="30" s="1"/>
  <c r="AL4" i="30"/>
  <c r="AL26" i="30"/>
  <c r="AL27" i="30" s="1"/>
  <c r="AX19" i="27"/>
  <c r="AX71" i="27"/>
  <c r="AX20" i="27" s="1"/>
  <c r="AK34" i="30"/>
  <c r="AK35" i="30" s="1"/>
  <c r="AK36" i="30" s="1"/>
  <c r="AL33" i="30"/>
  <c r="AL34" i="30"/>
  <c r="AL35" i="30" s="1"/>
  <c r="AL36" i="30" s="1"/>
  <c r="AZ69" i="27" s="1"/>
  <c r="AI78" i="27"/>
  <c r="AA3" i="30"/>
  <c r="AL19" i="30" l="1"/>
  <c r="AL20" i="30" s="1"/>
  <c r="AL21" i="30" s="1"/>
  <c r="AL22" i="30" s="1"/>
  <c r="AZ49" i="27" s="1"/>
  <c r="AL5" i="30"/>
  <c r="AL6" i="30" s="1"/>
  <c r="AZ70" i="27"/>
  <c r="AL28" i="30"/>
  <c r="AL29" i="30" s="1"/>
  <c r="AZ59" i="27" s="1"/>
  <c r="AZ60" i="27" s="1"/>
  <c r="AZ61" i="27" s="1"/>
  <c r="AZ50" i="27" l="1"/>
  <c r="AZ51" i="27" s="1"/>
  <c r="AL7" i="30"/>
  <c r="AL8" i="30" s="1"/>
  <c r="AZ29" i="27" s="1"/>
  <c r="AZ30" i="27" s="1"/>
  <c r="AZ31" i="27" s="1"/>
  <c r="AZ71" i="27"/>
  <c r="AA31" i="30"/>
  <c r="AA24" i="30"/>
  <c r="AA27" i="30" s="1"/>
  <c r="AA17" i="30"/>
  <c r="AA10" i="30"/>
  <c r="AZ19" i="27" l="1"/>
  <c r="AZ20" i="27"/>
  <c r="AZ18" i="27"/>
  <c r="AA13" i="30"/>
  <c r="AA14" i="30" s="1"/>
  <c r="AA15" i="30" s="1"/>
  <c r="AA28" i="30"/>
  <c r="AA29" i="30" s="1"/>
  <c r="AA20" i="30"/>
  <c r="AA21" i="30" s="1"/>
  <c r="AA22" i="30" s="1"/>
  <c r="AA6" i="30"/>
  <c r="AA7" i="30" s="1"/>
  <c r="AA8" i="30" s="1"/>
  <c r="AA34" i="30"/>
  <c r="AA35" i="30" s="1"/>
  <c r="AA36" i="30" s="1"/>
  <c r="AL10" i="28"/>
  <c r="AL9" i="28"/>
  <c r="AL8" i="28"/>
  <c r="AL7" i="28"/>
  <c r="AL6" i="28"/>
  <c r="AL5" i="28"/>
  <c r="AN6" i="27" l="1"/>
  <c r="Z31" i="30" l="1"/>
  <c r="Z24" i="30"/>
  <c r="Z17" i="30"/>
  <c r="Z10" i="30"/>
  <c r="Z3" i="30"/>
  <c r="AN85" i="27"/>
  <c r="AN87" i="27" s="1"/>
  <c r="AK10" i="28" l="1"/>
  <c r="AK9" i="28"/>
  <c r="AK8" i="28"/>
  <c r="AK7" i="28"/>
  <c r="AK6" i="28"/>
  <c r="AK5" i="28"/>
  <c r="AM6" i="27" l="1"/>
  <c r="Y31" i="30" l="1"/>
  <c r="Y24" i="30"/>
  <c r="Y17" i="30"/>
  <c r="Y10" i="30"/>
  <c r="Y3" i="30"/>
  <c r="AM85" i="27"/>
  <c r="AJ10" i="28" l="1"/>
  <c r="AJ9" i="28"/>
  <c r="AJ8" i="28"/>
  <c r="AJ7" i="28"/>
  <c r="AJ6" i="28"/>
  <c r="AJ5" i="28"/>
  <c r="AL85" i="27" l="1"/>
  <c r="BU34" i="29" l="1"/>
  <c r="BT34" i="29"/>
  <c r="BS34" i="29"/>
  <c r="BR34" i="29"/>
  <c r="BQ34" i="29"/>
  <c r="BP34" i="29"/>
  <c r="BO34" i="29"/>
  <c r="BN34" i="29"/>
  <c r="BM34" i="29"/>
  <c r="BL34" i="29"/>
  <c r="BK34" i="29"/>
  <c r="BJ34" i="29"/>
  <c r="BJ35" i="29" s="1"/>
  <c r="BJ36" i="29" s="1"/>
  <c r="AL5" i="27"/>
  <c r="BM15" i="29"/>
  <c r="BJ15" i="29"/>
  <c r="BJ37" i="29" l="1"/>
  <c r="BJ38" i="29" s="1"/>
  <c r="BK35" i="29" s="1"/>
  <c r="BK37" i="29" s="1"/>
  <c r="BK38" i="29" s="1"/>
  <c r="BL35" i="29" s="1"/>
  <c r="BL37" i="29" s="1"/>
  <c r="BL38" i="29" s="1"/>
  <c r="BM35" i="29" s="1"/>
  <c r="BM37" i="29" s="1"/>
  <c r="BM38" i="29" s="1"/>
  <c r="BN35" i="29" s="1"/>
  <c r="BN37" i="29" s="1"/>
  <c r="BN38" i="29" s="1"/>
  <c r="BO35" i="29" s="1"/>
  <c r="BO37" i="29" s="1"/>
  <c r="BO38" i="29" s="1"/>
  <c r="BP35" i="29" s="1"/>
  <c r="BP37" i="29" s="1"/>
  <c r="BP38" i="29" s="1"/>
  <c r="BQ35" i="29" s="1"/>
  <c r="BQ37" i="29" s="1"/>
  <c r="BQ38" i="29" s="1"/>
  <c r="BR35" i="29" s="1"/>
  <c r="BR37" i="29" s="1"/>
  <c r="BR38" i="29" s="1"/>
  <c r="BS35" i="29" s="1"/>
  <c r="BS37" i="29" s="1"/>
  <c r="BS38" i="29" s="1"/>
  <c r="BT35" i="29" s="1"/>
  <c r="BT37" i="29" s="1"/>
  <c r="BT38" i="29" s="1"/>
  <c r="BU35" i="29" s="1"/>
  <c r="BU37" i="29" s="1"/>
  <c r="BU38" i="29" s="1"/>
  <c r="BK36" i="29" l="1"/>
  <c r="BL36" i="29" s="1"/>
  <c r="BM36" i="29" s="1"/>
  <c r="BN36" i="29" s="1"/>
  <c r="BO36" i="29" s="1"/>
  <c r="BP36" i="29" s="1"/>
  <c r="BQ36" i="29" s="1"/>
  <c r="BR36" i="29" s="1"/>
  <c r="BS36" i="29" s="1"/>
  <c r="BT36" i="29" s="1"/>
  <c r="BU36" i="29" s="1"/>
  <c r="BU17" i="29" l="1"/>
  <c r="BT17" i="29"/>
  <c r="BS17" i="29"/>
  <c r="BR17" i="29"/>
  <c r="BQ17" i="29"/>
  <c r="BP17" i="29"/>
  <c r="BO17" i="29"/>
  <c r="BN17" i="29"/>
  <c r="BL17" i="29"/>
  <c r="BK17" i="29"/>
  <c r="BM17" i="29"/>
  <c r="BJ17" i="29"/>
  <c r="BJ19" i="29" s="1"/>
  <c r="BJ20" i="29" l="1"/>
  <c r="BJ21" i="29"/>
  <c r="BJ22" i="29" s="1"/>
  <c r="BK19" i="29" s="1"/>
  <c r="BK21" i="29" s="1"/>
  <c r="BK22" i="29" s="1"/>
  <c r="BL19" i="29" s="1"/>
  <c r="BL21" i="29" s="1"/>
  <c r="BL22" i="29" s="1"/>
  <c r="BM19" i="29" s="1"/>
  <c r="BM21" i="29" s="1"/>
  <c r="BM22" i="29" s="1"/>
  <c r="BK20" i="29" l="1"/>
  <c r="BL20" i="29" s="1"/>
  <c r="BM20" i="29" s="1"/>
  <c r="BA3" i="29" l="1"/>
  <c r="BA2" i="29"/>
  <c r="X31" i="30"/>
  <c r="X24" i="30"/>
  <c r="X17" i="30"/>
  <c r="X10" i="30"/>
  <c r="X3" i="30"/>
  <c r="BA1" i="29" l="1"/>
  <c r="AI10" i="28" l="1"/>
  <c r="AI9" i="28"/>
  <c r="AI8" i="28"/>
  <c r="AI7" i="28"/>
  <c r="AI6" i="28"/>
  <c r="AI5" i="28"/>
  <c r="AK6" i="27" l="1"/>
  <c r="W3" i="30" l="1"/>
  <c r="W31" i="30"/>
  <c r="W24" i="30"/>
  <c r="W17" i="30"/>
  <c r="W10" i="30"/>
  <c r="AK85" i="27"/>
  <c r="AK87" i="27" s="1"/>
  <c r="AC78" i="27" l="1"/>
  <c r="AJ6" i="27" l="1"/>
  <c r="AH10" i="28" l="1"/>
  <c r="AH9" i="28"/>
  <c r="AH8" i="28"/>
  <c r="AH7" i="28"/>
  <c r="AH6" i="28"/>
  <c r="AH5" i="28"/>
  <c r="AK88" i="27" l="1"/>
  <c r="AJ84" i="27"/>
  <c r="V31" i="30" l="1"/>
  <c r="V24" i="30"/>
  <c r="V17" i="30"/>
  <c r="V10" i="30"/>
  <c r="V3" i="30"/>
  <c r="AG10" i="28" l="1"/>
  <c r="AG9" i="28"/>
  <c r="AG8" i="28"/>
  <c r="AG7" i="28"/>
  <c r="AG6" i="28"/>
  <c r="AG5" i="28"/>
  <c r="U31" i="30" l="1"/>
  <c r="U24" i="30"/>
  <c r="U17" i="30"/>
  <c r="U10" i="30"/>
  <c r="U3" i="30"/>
  <c r="AI85" i="27"/>
  <c r="AF10" i="28" l="1"/>
  <c r="AF9" i="28"/>
  <c r="AF8" i="28"/>
  <c r="AF7" i="28"/>
  <c r="AF6" i="28"/>
  <c r="AF5" i="28"/>
  <c r="AH85" i="27" l="1"/>
  <c r="T31" i="30"/>
  <c r="T24" i="30"/>
  <c r="T17" i="30"/>
  <c r="T10" i="30"/>
  <c r="T3" i="30"/>
  <c r="AE10" i="28" l="1"/>
  <c r="AE9" i="28"/>
  <c r="AE8" i="28"/>
  <c r="AE7" i="28"/>
  <c r="AE6" i="28"/>
  <c r="AE5" i="28"/>
  <c r="S31" i="30" l="1"/>
  <c r="S24" i="30"/>
  <c r="S17" i="30"/>
  <c r="S10" i="30"/>
  <c r="S3" i="30"/>
  <c r="AG85" i="27"/>
  <c r="AD10" i="28" l="1"/>
  <c r="AD9" i="28"/>
  <c r="AD8" i="28"/>
  <c r="AD7" i="28"/>
  <c r="AD6" i="28"/>
  <c r="AD5" i="28"/>
  <c r="D72" i="34" l="1"/>
  <c r="AF6" i="27"/>
  <c r="AE6" i="27"/>
  <c r="D21" i="34" l="1"/>
  <c r="D73" i="34"/>
  <c r="AH6" i="27"/>
  <c r="AI6" i="27"/>
  <c r="AG6" i="27"/>
  <c r="R31" i="30"/>
  <c r="R24" i="30"/>
  <c r="R17" i="30"/>
  <c r="R10" i="30"/>
  <c r="R3" i="30"/>
  <c r="AF85" i="27"/>
  <c r="AF87" i="27" s="1"/>
  <c r="AF88" i="27" s="1"/>
  <c r="AF78" i="27"/>
  <c r="D22" i="34" l="1"/>
  <c r="D23" i="34"/>
  <c r="D74" i="34"/>
  <c r="D24" i="34" l="1"/>
  <c r="E72" i="34"/>
  <c r="E21" i="34" l="1"/>
  <c r="E73" i="34"/>
  <c r="E22" i="34" l="1"/>
  <c r="E74" i="34"/>
  <c r="E23" i="34"/>
  <c r="E24" i="34" l="1"/>
  <c r="F72" i="34"/>
  <c r="AF8" i="27"/>
  <c r="AS87" i="27"/>
  <c r="AS88" i="27" s="1"/>
  <c r="AP87" i="27"/>
  <c r="AP88" i="27" s="1"/>
  <c r="AH87" i="27"/>
  <c r="AH88" i="27" s="1"/>
  <c r="AV87" i="27"/>
  <c r="AV88" i="27" s="1"/>
  <c r="AT87" i="27"/>
  <c r="AT88" i="27" s="1"/>
  <c r="AR87" i="27"/>
  <c r="AR88" i="27" s="1"/>
  <c r="AQ87" i="27"/>
  <c r="AQ88" i="27" s="1"/>
  <c r="AN88" i="27"/>
  <c r="AM87" i="27"/>
  <c r="AM88" i="27" s="1"/>
  <c r="AL87" i="27"/>
  <c r="AL88" i="27" s="1"/>
  <c r="AI87" i="27"/>
  <c r="AI88" i="27" s="1"/>
  <c r="AG87" i="27"/>
  <c r="AG88" i="27" s="1"/>
  <c r="AW78" i="27"/>
  <c r="AV78" i="27"/>
  <c r="AU78" i="27"/>
  <c r="AT78" i="27"/>
  <c r="AS78" i="27"/>
  <c r="AR78" i="27"/>
  <c r="AQ78" i="27"/>
  <c r="AP78" i="27"/>
  <c r="AN78" i="27"/>
  <c r="AJ78" i="27"/>
  <c r="AH78" i="27"/>
  <c r="AG78" i="27"/>
  <c r="AT8" i="27"/>
  <c r="AS8" i="27"/>
  <c r="AQ8" i="27"/>
  <c r="AP8" i="27"/>
  <c r="AK8" i="27"/>
  <c r="AI8" i="27"/>
  <c r="AH8" i="27"/>
  <c r="AW8" i="27"/>
  <c r="AV8" i="27"/>
  <c r="AU8" i="27"/>
  <c r="AR8" i="27"/>
  <c r="AN8" i="27"/>
  <c r="AM8" i="27"/>
  <c r="AJ8" i="27"/>
  <c r="AG8" i="27"/>
  <c r="F73" i="34" l="1"/>
  <c r="F21" i="34"/>
  <c r="F22" i="34" s="1"/>
  <c r="AC10" i="28"/>
  <c r="AC9" i="28"/>
  <c r="AC8" i="28"/>
  <c r="AC7" i="28"/>
  <c r="AC6" i="28"/>
  <c r="AC5" i="28"/>
  <c r="F74" i="34" l="1"/>
  <c r="F23" i="34"/>
  <c r="AD78" i="27"/>
  <c r="G72" i="34" l="1"/>
  <c r="F24" i="34"/>
  <c r="AE85" i="27"/>
  <c r="Q31" i="30"/>
  <c r="Q24" i="30"/>
  <c r="Q17" i="30"/>
  <c r="Q10" i="30"/>
  <c r="Q3" i="30"/>
  <c r="G21" i="34" l="1"/>
  <c r="G22" i="34" s="1"/>
  <c r="G73" i="34"/>
  <c r="G74" i="34" l="1"/>
  <c r="H72" i="34" s="1"/>
  <c r="G23" i="34"/>
  <c r="H21" i="34" l="1"/>
  <c r="H22" i="34" s="1"/>
  <c r="H73" i="34"/>
  <c r="G24" i="34"/>
  <c r="H74" i="34" l="1"/>
  <c r="H23" i="34"/>
  <c r="H24" i="34" l="1"/>
  <c r="I72" i="34"/>
  <c r="I73" i="34" l="1"/>
  <c r="I21" i="34"/>
  <c r="I22" i="34" s="1"/>
  <c r="AB10" i="28"/>
  <c r="AB9" i="28"/>
  <c r="AB8" i="28"/>
  <c r="AB7" i="28"/>
  <c r="AB6" i="28"/>
  <c r="AB5" i="28"/>
  <c r="I74" i="34" l="1"/>
  <c r="I23" i="34"/>
  <c r="AD6" i="27"/>
  <c r="AD8" i="27" s="1"/>
  <c r="J72" i="34" l="1"/>
  <c r="I24" i="34"/>
  <c r="AE87" i="27"/>
  <c r="AE88" i="27" s="1"/>
  <c r="AD85" i="27"/>
  <c r="AD87" i="27" s="1"/>
  <c r="AD88" i="27" s="1"/>
  <c r="J21" i="34" l="1"/>
  <c r="J22" i="34" s="1"/>
  <c r="J73" i="34"/>
  <c r="P31" i="30"/>
  <c r="P24" i="30"/>
  <c r="P17" i="30"/>
  <c r="P18" i="30" s="1"/>
  <c r="P10" i="30"/>
  <c r="P3" i="30"/>
  <c r="J74" i="34" l="1"/>
  <c r="J23" i="34"/>
  <c r="P19" i="30"/>
  <c r="Q18" i="30"/>
  <c r="P25" i="30"/>
  <c r="P11" i="30"/>
  <c r="P4" i="30"/>
  <c r="P32" i="30"/>
  <c r="P20" i="30"/>
  <c r="P21" i="30" s="1"/>
  <c r="P22" i="30" s="1"/>
  <c r="J24" i="34" l="1"/>
  <c r="K72" i="34"/>
  <c r="P12" i="30"/>
  <c r="P13" i="30" s="1"/>
  <c r="P14" i="30" s="1"/>
  <c r="P15" i="30" s="1"/>
  <c r="Q11" i="30"/>
  <c r="P26" i="30"/>
  <c r="P27" i="30" s="1"/>
  <c r="Q25" i="30"/>
  <c r="Q19" i="30"/>
  <c r="R18" i="30"/>
  <c r="Q20" i="30"/>
  <c r="Q21" i="30" s="1"/>
  <c r="Q22" i="30" s="1"/>
  <c r="P33" i="30"/>
  <c r="P34" i="30" s="1"/>
  <c r="P35" i="30" s="1"/>
  <c r="P36" i="30" s="1"/>
  <c r="Q32" i="30"/>
  <c r="P5" i="30"/>
  <c r="P6" i="30" s="1"/>
  <c r="Q4" i="30"/>
  <c r="K21" i="34" l="1"/>
  <c r="K22" i="34" s="1"/>
  <c r="K73" i="34"/>
  <c r="P7" i="30"/>
  <c r="P8" i="30" s="1"/>
  <c r="P28" i="30"/>
  <c r="P29" i="30" s="1"/>
  <c r="Q12" i="30"/>
  <c r="R11" i="30"/>
  <c r="Q13" i="30"/>
  <c r="Q14" i="30" s="1"/>
  <c r="Q15" i="30" s="1"/>
  <c r="R19" i="30"/>
  <c r="R20" i="30" s="1"/>
  <c r="S18" i="30"/>
  <c r="R4" i="30"/>
  <c r="Q5" i="30"/>
  <c r="Q26" i="30"/>
  <c r="R25" i="30"/>
  <c r="Q27" i="30"/>
  <c r="Q33" i="30"/>
  <c r="Q34" i="30" s="1"/>
  <c r="Q35" i="30" s="1"/>
  <c r="Q36" i="30" s="1"/>
  <c r="R32" i="30"/>
  <c r="K74" i="34" l="1"/>
  <c r="K23" i="34"/>
  <c r="Q6" i="30"/>
  <c r="Q7" i="30" s="1"/>
  <c r="Q8" i="30" s="1"/>
  <c r="R5" i="30"/>
  <c r="S4" i="30"/>
  <c r="R6" i="30"/>
  <c r="R7" i="30" s="1"/>
  <c r="R8" i="30" s="1"/>
  <c r="R21" i="30"/>
  <c r="R22" i="30" s="1"/>
  <c r="S19" i="30"/>
  <c r="S20" i="30" s="1"/>
  <c r="S21" i="30" s="1"/>
  <c r="S22" i="30" s="1"/>
  <c r="T18" i="30"/>
  <c r="R33" i="30"/>
  <c r="R34" i="30" s="1"/>
  <c r="R35" i="30" s="1"/>
  <c r="R36" i="30" s="1"/>
  <c r="S32" i="30"/>
  <c r="S11" i="30"/>
  <c r="R12" i="30"/>
  <c r="R13" i="30"/>
  <c r="R26" i="30"/>
  <c r="R27" i="30" s="1"/>
  <c r="S25" i="30"/>
  <c r="Q28" i="30"/>
  <c r="Q29" i="30" s="1"/>
  <c r="K24" i="34" l="1"/>
  <c r="L72" i="34"/>
  <c r="R14" i="30"/>
  <c r="R15" i="30" s="1"/>
  <c r="S33" i="30"/>
  <c r="T32" i="30"/>
  <c r="S34" i="30"/>
  <c r="S35" i="30" s="1"/>
  <c r="S36" i="30" s="1"/>
  <c r="S5" i="30"/>
  <c r="S6" i="30" s="1"/>
  <c r="S7" i="30" s="1"/>
  <c r="S8" i="30" s="1"/>
  <c r="T4" i="30"/>
  <c r="T19" i="30"/>
  <c r="T20" i="30" s="1"/>
  <c r="T21" i="30" s="1"/>
  <c r="T22" i="30" s="1"/>
  <c r="U18" i="30"/>
  <c r="R28" i="30"/>
  <c r="R29" i="30" s="1"/>
  <c r="S26" i="30"/>
  <c r="S27" i="30" s="1"/>
  <c r="S28" i="30" s="1"/>
  <c r="S29" i="30" s="1"/>
  <c r="T25" i="30"/>
  <c r="S12" i="30"/>
  <c r="S13" i="30" s="1"/>
  <c r="S14" i="30" s="1"/>
  <c r="S15" i="30" s="1"/>
  <c r="T11" i="30"/>
  <c r="L21" i="34" l="1"/>
  <c r="L22" i="34" s="1"/>
  <c r="L73" i="34"/>
  <c r="U19" i="30"/>
  <c r="U20" i="30" s="1"/>
  <c r="U21" i="30" s="1"/>
  <c r="U22" i="30" s="1"/>
  <c r="V18" i="30"/>
  <c r="T33" i="30"/>
  <c r="T34" i="30" s="1"/>
  <c r="T35" i="30" s="1"/>
  <c r="T36" i="30" s="1"/>
  <c r="U32" i="30"/>
  <c r="T26" i="30"/>
  <c r="U25" i="30"/>
  <c r="T27" i="30"/>
  <c r="T28" i="30" s="1"/>
  <c r="T29" i="30" s="1"/>
  <c r="T12" i="30"/>
  <c r="T13" i="30" s="1"/>
  <c r="T14" i="30" s="1"/>
  <c r="T15" i="30" s="1"/>
  <c r="U11" i="30"/>
  <c r="T5" i="30"/>
  <c r="T6" i="30" s="1"/>
  <c r="T7" i="30" s="1"/>
  <c r="T8" i="30" s="1"/>
  <c r="U4" i="30"/>
  <c r="L74" i="34" l="1"/>
  <c r="L23" i="34"/>
  <c r="U26" i="30"/>
  <c r="V25" i="30"/>
  <c r="U27" i="30"/>
  <c r="U28" i="30" s="1"/>
  <c r="U29" i="30" s="1"/>
  <c r="U12" i="30"/>
  <c r="U13" i="30" s="1"/>
  <c r="U14" i="30" s="1"/>
  <c r="U15" i="30" s="1"/>
  <c r="V11" i="30"/>
  <c r="U33" i="30"/>
  <c r="U34" i="30" s="1"/>
  <c r="U35" i="30" s="1"/>
  <c r="U36" i="30" s="1"/>
  <c r="V32" i="30"/>
  <c r="U5" i="30"/>
  <c r="V4" i="30"/>
  <c r="V19" i="30"/>
  <c r="V20" i="30" s="1"/>
  <c r="V21" i="30" s="1"/>
  <c r="V22" i="30" s="1"/>
  <c r="W18" i="30"/>
  <c r="L24" i="34" l="1"/>
  <c r="M72" i="34"/>
  <c r="W4" i="30"/>
  <c r="V5" i="30"/>
  <c r="V6" i="30" s="1"/>
  <c r="V7" i="30" s="1"/>
  <c r="V8" i="30" s="1"/>
  <c r="X18" i="30"/>
  <c r="W19" i="30"/>
  <c r="W20" i="30" s="1"/>
  <c r="W21" i="30" s="1"/>
  <c r="W22" i="30" s="1"/>
  <c r="V33" i="30"/>
  <c r="V34" i="30" s="1"/>
  <c r="V35" i="30" s="1"/>
  <c r="V36" i="30" s="1"/>
  <c r="W32" i="30"/>
  <c r="W25" i="30"/>
  <c r="V26" i="30"/>
  <c r="V12" i="30"/>
  <c r="W11" i="30"/>
  <c r="V13" i="30"/>
  <c r="V14" i="30" s="1"/>
  <c r="V15" i="30" s="1"/>
  <c r="U6" i="30"/>
  <c r="U7" i="30" s="1"/>
  <c r="U8" i="30" s="1"/>
  <c r="AA10" i="28"/>
  <c r="AA9" i="28"/>
  <c r="AA8" i="28"/>
  <c r="AA7" i="28"/>
  <c r="AA6" i="28"/>
  <c r="AA5" i="28"/>
  <c r="M21" i="34" l="1"/>
  <c r="M22" i="34" s="1"/>
  <c r="M73" i="34"/>
  <c r="W5" i="30"/>
  <c r="V27" i="30"/>
  <c r="V28" i="30" s="1"/>
  <c r="V29" i="30" s="1"/>
  <c r="W33" i="30"/>
  <c r="W34" i="30" s="1"/>
  <c r="X32" i="30"/>
  <c r="X4" i="30"/>
  <c r="W6" i="30"/>
  <c r="W7" i="30" s="1"/>
  <c r="W8" i="30" s="1"/>
  <c r="W26" i="30"/>
  <c r="W27" i="30" s="1"/>
  <c r="W28" i="30" s="1"/>
  <c r="W29" i="30" s="1"/>
  <c r="X25" i="30"/>
  <c r="W12" i="30"/>
  <c r="W13" i="30" s="1"/>
  <c r="W14" i="30" s="1"/>
  <c r="W15" i="30" s="1"/>
  <c r="X11" i="30"/>
  <c r="X19" i="30"/>
  <c r="X20" i="30" s="1"/>
  <c r="X21" i="30" s="1"/>
  <c r="X22" i="30" s="1"/>
  <c r="Y18" i="30"/>
  <c r="M74" i="34" l="1"/>
  <c r="M23" i="34"/>
  <c r="X26" i="30"/>
  <c r="Y25" i="30"/>
  <c r="X27" i="30"/>
  <c r="X28" i="30" s="1"/>
  <c r="X29" i="30" s="1"/>
  <c r="X5" i="30"/>
  <c r="X6" i="30" s="1"/>
  <c r="X7" i="30" s="1"/>
  <c r="X8" i="30" s="1"/>
  <c r="Y4" i="30"/>
  <c r="Y11" i="30"/>
  <c r="X12" i="30"/>
  <c r="X33" i="30"/>
  <c r="Y32" i="30"/>
  <c r="Y19" i="30"/>
  <c r="Y20" i="30" s="1"/>
  <c r="Y21" i="30" s="1"/>
  <c r="Y22" i="30" s="1"/>
  <c r="Z18" i="30"/>
  <c r="W35" i="30"/>
  <c r="W36" i="30" s="1"/>
  <c r="AC85" i="27"/>
  <c r="AC87" i="27" s="1"/>
  <c r="AC88" i="27" s="1"/>
  <c r="AC89" i="27" s="1"/>
  <c r="O31" i="30"/>
  <c r="O24" i="30"/>
  <c r="O17" i="30"/>
  <c r="O10" i="30"/>
  <c r="O3" i="30"/>
  <c r="AC91" i="27" l="1"/>
  <c r="AC92" i="27" s="1"/>
  <c r="AC90" i="27"/>
  <c r="M24" i="34"/>
  <c r="X13" i="30"/>
  <c r="X14" i="30" s="1"/>
  <c r="X15" i="30" s="1"/>
  <c r="Y12" i="30"/>
  <c r="Y13" i="30" s="1"/>
  <c r="Z11" i="30"/>
  <c r="Y26" i="30"/>
  <c r="Y27" i="30" s="1"/>
  <c r="Y28" i="30" s="1"/>
  <c r="Y29" i="30" s="1"/>
  <c r="Z25" i="30"/>
  <c r="X34" i="30"/>
  <c r="X35" i="30" s="1"/>
  <c r="X36" i="30" s="1"/>
  <c r="Y33" i="30"/>
  <c r="Y34" i="30" s="1"/>
  <c r="Y35" i="30" s="1"/>
  <c r="Y36" i="30" s="1"/>
  <c r="Z32" i="30"/>
  <c r="Z19" i="30"/>
  <c r="Z20" i="30" s="1"/>
  <c r="Z21" i="30" s="1"/>
  <c r="Z22" i="30" s="1"/>
  <c r="Y5" i="30"/>
  <c r="Z4" i="30"/>
  <c r="Y6" i="30"/>
  <c r="Y7" i="30" s="1"/>
  <c r="Y8" i="30" s="1"/>
  <c r="AD89" i="27"/>
  <c r="AD91" i="27" s="1"/>
  <c r="AD92" i="27" s="1"/>
  <c r="AE89" i="27" s="1"/>
  <c r="O27" i="30"/>
  <c r="O20" i="30"/>
  <c r="O21" i="30" s="1"/>
  <c r="O22" i="30" s="1"/>
  <c r="O34" i="30"/>
  <c r="O35" i="30" s="1"/>
  <c r="O36" i="30" s="1"/>
  <c r="AD90" i="27" l="1"/>
  <c r="Z26" i="30"/>
  <c r="Z27" i="30"/>
  <c r="Z12" i="30"/>
  <c r="Z13" i="30"/>
  <c r="Y14" i="30"/>
  <c r="Y15" i="30" s="1"/>
  <c r="Z33" i="30"/>
  <c r="Z34" i="30"/>
  <c r="Z35" i="30" s="1"/>
  <c r="Z36" i="30" s="1"/>
  <c r="Z5" i="30"/>
  <c r="Z6" i="30" s="1"/>
  <c r="Z7" i="30" s="1"/>
  <c r="Z8" i="30" s="1"/>
  <c r="AE91" i="27"/>
  <c r="AE92" i="27" s="1"/>
  <c r="AF89" i="27" s="1"/>
  <c r="AF91" i="27" s="1"/>
  <c r="AF92" i="27" s="1"/>
  <c r="AG89" i="27" s="1"/>
  <c r="AE90" i="27"/>
  <c r="O28" i="30"/>
  <c r="O29" i="30" s="1"/>
  <c r="O13" i="30"/>
  <c r="O14" i="30" s="1"/>
  <c r="O15" i="30" s="1"/>
  <c r="O6" i="30"/>
  <c r="O7" i="30" s="1"/>
  <c r="O8" i="30" s="1"/>
  <c r="Z28" i="30" l="1"/>
  <c r="Z29" i="30" s="1"/>
  <c r="Z14" i="30"/>
  <c r="Z15" i="30" s="1"/>
  <c r="AF90" i="27"/>
  <c r="AG90" i="27" s="1"/>
  <c r="AG91" i="27"/>
  <c r="AG92" i="27" s="1"/>
  <c r="AH89" i="27" s="1"/>
  <c r="AH91" i="27" l="1"/>
  <c r="AH92" i="27" s="1"/>
  <c r="AI89" i="27" s="1"/>
  <c r="AI91" i="27" s="1"/>
  <c r="AI92" i="27" s="1"/>
  <c r="AJ89" i="27" s="1"/>
  <c r="AJ91" i="27" s="1"/>
  <c r="AJ92" i="27" s="1"/>
  <c r="AK89" i="27" s="1"/>
  <c r="AK91" i="27" s="1"/>
  <c r="AK92" i="27" s="1"/>
  <c r="AH90" i="27"/>
  <c r="AI90" i="27" l="1"/>
  <c r="AJ90" i="27" s="1"/>
  <c r="AK90" i="27" s="1"/>
  <c r="AL89" i="27" l="1"/>
  <c r="AB87" i="27"/>
  <c r="AB88" i="27" s="1"/>
  <c r="AL91" i="27" l="1"/>
  <c r="AL92" i="27" s="1"/>
  <c r="AM89" i="27" s="1"/>
  <c r="AM91" i="27" s="1"/>
  <c r="AM92" i="27" s="1"/>
  <c r="AN89" i="27" s="1"/>
  <c r="AL90" i="27"/>
  <c r="AE78" i="27"/>
  <c r="AN91" i="27" l="1"/>
  <c r="AN92" i="27" s="1"/>
  <c r="AM90" i="27"/>
  <c r="AN90" i="27" s="1"/>
  <c r="AB78" i="27"/>
  <c r="AB79" i="27" s="1"/>
  <c r="AB80" i="27" s="1"/>
  <c r="Z10" i="28" l="1"/>
  <c r="Z9" i="28"/>
  <c r="Z8" i="28"/>
  <c r="Z7" i="28"/>
  <c r="Z6" i="28"/>
  <c r="Z5" i="28"/>
  <c r="AB81" i="27" l="1"/>
  <c r="AB82" i="27" s="1"/>
  <c r="AC79" i="27" s="1"/>
  <c r="AC81" i="27" l="1"/>
  <c r="AC82" i="27" s="1"/>
  <c r="AC80" i="27"/>
  <c r="N31" i="30"/>
  <c r="N24" i="30"/>
  <c r="N17" i="30"/>
  <c r="N10" i="30"/>
  <c r="N3" i="30"/>
  <c r="AD79" i="27" l="1"/>
  <c r="AD80" i="27" s="1"/>
  <c r="AD81" i="27" l="1"/>
  <c r="AD82" i="27" s="1"/>
  <c r="AE79" i="27" s="1"/>
  <c r="AE81" i="27" s="1"/>
  <c r="AE82" i="27" s="1"/>
  <c r="AF79" i="27" s="1"/>
  <c r="AF81" i="27" s="1"/>
  <c r="AF82" i="27" s="1"/>
  <c r="AG79" i="27" s="1"/>
  <c r="AG81" i="27" s="1"/>
  <c r="AG82" i="27" s="1"/>
  <c r="AH79" i="27" s="1"/>
  <c r="AH81" i="27" s="1"/>
  <c r="AH82" i="27" s="1"/>
  <c r="AE80" i="27" l="1"/>
  <c r="AF80" i="27" s="1"/>
  <c r="AG80" i="27" s="1"/>
  <c r="AH80" i="27" s="1"/>
  <c r="AI79" i="27"/>
  <c r="AI81" i="27" s="1"/>
  <c r="AI82" i="27" s="1"/>
  <c r="AJ79" i="27" s="1"/>
  <c r="AI80" i="27" l="1"/>
  <c r="AJ80" i="27" s="1"/>
  <c r="AJ81" i="27"/>
  <c r="AJ82" i="27" s="1"/>
  <c r="AK79" i="27" s="1"/>
  <c r="AK81" i="27" l="1"/>
  <c r="AK82" i="27" s="1"/>
  <c r="AK80" i="27"/>
  <c r="BV35" i="29"/>
  <c r="BW35" i="29" s="1"/>
  <c r="AL76" i="27" s="1"/>
  <c r="AL79" i="27" l="1"/>
  <c r="AL81" i="27" s="1"/>
  <c r="AL82" i="27" s="1"/>
  <c r="AM79" i="27" s="1"/>
  <c r="AM81" i="27" s="1"/>
  <c r="AM82" i="27" s="1"/>
  <c r="AN79" i="27" s="1"/>
  <c r="AN81" i="27" s="1"/>
  <c r="AN82" i="27" s="1"/>
  <c r="AO79" i="27" s="1"/>
  <c r="Y10" i="28"/>
  <c r="Y9" i="28"/>
  <c r="Y8" i="28"/>
  <c r="Y7" i="28"/>
  <c r="Y6" i="28"/>
  <c r="Y5" i="28"/>
  <c r="AL80" i="27" l="1"/>
  <c r="AO81" i="27"/>
  <c r="AO82" i="27" s="1"/>
  <c r="AP79" i="27" s="1"/>
  <c r="AP81" i="27" s="1"/>
  <c r="AP82" i="27" s="1"/>
  <c r="AQ79" i="27" s="1"/>
  <c r="AQ81" i="27" s="1"/>
  <c r="AQ82" i="27" s="1"/>
  <c r="AR79" i="27" s="1"/>
  <c r="AR81" i="27" s="1"/>
  <c r="AR82" i="27" s="1"/>
  <c r="AS79" i="27" s="1"/>
  <c r="AS81" i="27" s="1"/>
  <c r="AS82" i="27" s="1"/>
  <c r="AT79" i="27" s="1"/>
  <c r="AT81" i="27" s="1"/>
  <c r="AT82" i="27" s="1"/>
  <c r="AU79" i="27" s="1"/>
  <c r="AU81" i="27" s="1"/>
  <c r="AU82" i="27" s="1"/>
  <c r="AV79" i="27" s="1"/>
  <c r="AV81" i="27" s="1"/>
  <c r="AV82" i="27" s="1"/>
  <c r="AW79" i="27" s="1"/>
  <c r="AW81" i="27" s="1"/>
  <c r="AW82" i="27" s="1"/>
  <c r="AX79" i="27" s="1"/>
  <c r="AX81" i="27" s="1"/>
  <c r="AX82" i="27" s="1"/>
  <c r="AY79" i="27" s="1"/>
  <c r="AY81" i="27" s="1"/>
  <c r="AY82" i="27" s="1"/>
  <c r="AM80" i="27"/>
  <c r="AN80" i="27" s="1"/>
  <c r="AO80" i="27" l="1"/>
  <c r="AP80" i="27" s="1"/>
  <c r="AQ80" i="27" s="1"/>
  <c r="AR80" i="27" s="1"/>
  <c r="AS80" i="27" s="1"/>
  <c r="AT80" i="27" s="1"/>
  <c r="AU80" i="27" s="1"/>
  <c r="AV80" i="27" s="1"/>
  <c r="AW80" i="27" s="1"/>
  <c r="AX80" i="27" s="1"/>
  <c r="AY80" i="27" s="1"/>
  <c r="M31" i="30"/>
  <c r="M24" i="30"/>
  <c r="M17" i="30"/>
  <c r="M10" i="30"/>
  <c r="M3" i="30"/>
  <c r="DY80" i="29" l="1"/>
  <c r="DZ80" i="29" s="1"/>
  <c r="X10" i="28" l="1"/>
  <c r="X9" i="28"/>
  <c r="X8" i="28"/>
  <c r="X7" i="28"/>
  <c r="X6" i="28"/>
  <c r="X5" i="28"/>
  <c r="Z66" i="27" l="1"/>
  <c r="Z56" i="27"/>
  <c r="Z46" i="27" l="1"/>
  <c r="Z36" i="27"/>
  <c r="Z15" i="27" s="1"/>
  <c r="L31" i="30" l="1"/>
  <c r="L24" i="30"/>
  <c r="L17" i="30"/>
  <c r="L10" i="30"/>
  <c r="L3" i="30"/>
  <c r="W10" i="28" l="1"/>
  <c r="W9" i="28"/>
  <c r="W8" i="28"/>
  <c r="W7" i="28"/>
  <c r="W6" i="28"/>
  <c r="W5" i="28"/>
  <c r="K31" i="30" l="1"/>
  <c r="K24" i="30"/>
  <c r="K17" i="30"/>
  <c r="K10" i="30"/>
  <c r="K3" i="30"/>
  <c r="V10" i="28" l="1"/>
  <c r="V9" i="28"/>
  <c r="V8" i="28"/>
  <c r="V7" i="28"/>
  <c r="V6" i="28"/>
  <c r="V5" i="28"/>
  <c r="J31" i="30" l="1"/>
  <c r="J24" i="30"/>
  <c r="J17" i="30"/>
  <c r="J10" i="30"/>
  <c r="J3" i="30"/>
  <c r="W84" i="27" l="1"/>
  <c r="U10" i="28" l="1"/>
  <c r="U9" i="28"/>
  <c r="U8" i="28"/>
  <c r="U7" i="28"/>
  <c r="U6" i="28"/>
  <c r="U5" i="28"/>
  <c r="I31" i="30" l="1"/>
  <c r="I24" i="30"/>
  <c r="I17" i="30"/>
  <c r="I10" i="30"/>
  <c r="I3" i="30"/>
  <c r="T10" i="28" l="1"/>
  <c r="T9" i="28"/>
  <c r="T8" i="28"/>
  <c r="T7" i="28"/>
  <c r="T6" i="28"/>
  <c r="T5" i="28"/>
  <c r="H31" i="30" l="1"/>
  <c r="H24" i="30"/>
  <c r="H17" i="30"/>
  <c r="H10" i="30"/>
  <c r="H3" i="30"/>
  <c r="S10" i="28" l="1"/>
  <c r="S9" i="28"/>
  <c r="S8" i="28"/>
  <c r="S7" i="28"/>
  <c r="S6" i="28"/>
  <c r="S5" i="28"/>
  <c r="G31" i="30" l="1"/>
  <c r="G24" i="30"/>
  <c r="G17" i="30"/>
  <c r="G10" i="30"/>
  <c r="G3" i="30"/>
  <c r="T8" i="27" l="1"/>
  <c r="R10" i="28" l="1"/>
  <c r="R9" i="28"/>
  <c r="R8" i="28"/>
  <c r="R7" i="28"/>
  <c r="R6" i="28"/>
  <c r="R5" i="28"/>
  <c r="F31" i="30" l="1"/>
  <c r="F24" i="30"/>
  <c r="F17" i="30"/>
  <c r="F10" i="30"/>
  <c r="F3" i="30"/>
  <c r="Q10" i="28" l="1"/>
  <c r="Q9" i="28"/>
  <c r="Q8" i="28"/>
  <c r="Q7" i="28"/>
  <c r="Q6" i="28"/>
  <c r="Q5" i="28"/>
  <c r="E31" i="30" l="1"/>
  <c r="E24" i="30"/>
  <c r="E17" i="30"/>
  <c r="E10" i="30"/>
  <c r="E3" i="30"/>
  <c r="P10" i="28" l="1"/>
  <c r="P9" i="28"/>
  <c r="P8" i="28"/>
  <c r="P7" i="28"/>
  <c r="P6" i="28"/>
  <c r="P5" i="28"/>
  <c r="D31" i="30" l="1"/>
  <c r="D32" i="30" s="1"/>
  <c r="D24" i="30"/>
  <c r="D25" i="30" s="1"/>
  <c r="D17" i="30"/>
  <c r="D18" i="30" s="1"/>
  <c r="D10" i="30"/>
  <c r="D11" i="30" s="1"/>
  <c r="E11" i="30" s="1"/>
  <c r="D3" i="30"/>
  <c r="D4" i="30" s="1"/>
  <c r="E4" i="30" s="1"/>
  <c r="E32" i="30" l="1"/>
  <c r="D33" i="30"/>
  <c r="E25" i="30"/>
  <c r="D26" i="30"/>
  <c r="D27" i="30" s="1"/>
  <c r="D28" i="30" s="1"/>
  <c r="D29" i="30" s="1"/>
  <c r="E18" i="30"/>
  <c r="D19" i="30"/>
  <c r="D20" i="30" s="1"/>
  <c r="D21" i="30" s="1"/>
  <c r="D22" i="30" s="1"/>
  <c r="F4" i="30"/>
  <c r="D5" i="30"/>
  <c r="D6" i="30" s="1"/>
  <c r="D7" i="30" s="1"/>
  <c r="D8" i="30" s="1"/>
  <c r="F11" i="30"/>
  <c r="D12" i="30"/>
  <c r="E12" i="30" s="1"/>
  <c r="D34" i="30"/>
  <c r="D35" i="30" s="1"/>
  <c r="D36" i="30" s="1"/>
  <c r="E5" i="30" l="1"/>
  <c r="D13" i="30"/>
  <c r="D14" i="30" s="1"/>
  <c r="D15" i="30" s="1"/>
  <c r="F12" i="30"/>
  <c r="F13" i="30" s="1"/>
  <c r="G11" i="30"/>
  <c r="F5" i="30"/>
  <c r="F6" i="30" s="1"/>
  <c r="F7" i="30" s="1"/>
  <c r="F8" i="30" s="1"/>
  <c r="G4" i="30"/>
  <c r="E19" i="30"/>
  <c r="E20" i="30" s="1"/>
  <c r="F18" i="30"/>
  <c r="E13" i="30"/>
  <c r="E14" i="30" s="1"/>
  <c r="E15" i="30" s="1"/>
  <c r="E6" i="30"/>
  <c r="E7" i="30" s="1"/>
  <c r="E8" i="30" s="1"/>
  <c r="E26" i="30"/>
  <c r="E27" i="30" s="1"/>
  <c r="E28" i="30" s="1"/>
  <c r="E29" i="30" s="1"/>
  <c r="F25" i="30"/>
  <c r="E33" i="30"/>
  <c r="E34" i="30" s="1"/>
  <c r="E35" i="30" s="1"/>
  <c r="E36" i="30" s="1"/>
  <c r="F32" i="30"/>
  <c r="F33" i="30" l="1"/>
  <c r="F34" i="30" s="1"/>
  <c r="F35" i="30" s="1"/>
  <c r="F36" i="30" s="1"/>
  <c r="G32" i="30"/>
  <c r="G5" i="30"/>
  <c r="G6" i="30" s="1"/>
  <c r="G7" i="30" s="1"/>
  <c r="G8" i="30" s="1"/>
  <c r="H4" i="30"/>
  <c r="F19" i="30"/>
  <c r="G18" i="30"/>
  <c r="F20" i="30"/>
  <c r="F26" i="30"/>
  <c r="F27" i="30" s="1"/>
  <c r="F28" i="30" s="1"/>
  <c r="F29" i="30" s="1"/>
  <c r="G25" i="30"/>
  <c r="E21" i="30"/>
  <c r="E22" i="30" s="1"/>
  <c r="G12" i="30"/>
  <c r="G13" i="30" s="1"/>
  <c r="G14" i="30" s="1"/>
  <c r="G15" i="30" s="1"/>
  <c r="H11" i="30"/>
  <c r="F14" i="30"/>
  <c r="F15" i="30" s="1"/>
  <c r="H5" i="30" l="1"/>
  <c r="I4" i="30"/>
  <c r="H6" i="30"/>
  <c r="H7" i="30" s="1"/>
  <c r="H8" i="30" s="1"/>
  <c r="G33" i="30"/>
  <c r="G34" i="30" s="1"/>
  <c r="H32" i="30"/>
  <c r="G26" i="30"/>
  <c r="H25" i="30"/>
  <c r="G27" i="30"/>
  <c r="G28" i="30" s="1"/>
  <c r="G29" i="30" s="1"/>
  <c r="G19" i="30"/>
  <c r="G20" i="30" s="1"/>
  <c r="G21" i="30" s="1"/>
  <c r="G22" i="30" s="1"/>
  <c r="H18" i="30"/>
  <c r="H12" i="30"/>
  <c r="H13" i="30" s="1"/>
  <c r="I11" i="30"/>
  <c r="F21" i="30"/>
  <c r="F22" i="30" s="1"/>
  <c r="J11" i="30" l="1"/>
  <c r="I12" i="30"/>
  <c r="I13" i="30"/>
  <c r="I14" i="30" s="1"/>
  <c r="I15" i="30" s="1"/>
  <c r="H14" i="30"/>
  <c r="H15" i="30" s="1"/>
  <c r="I5" i="30"/>
  <c r="J4" i="30"/>
  <c r="I6" i="30"/>
  <c r="H19" i="30"/>
  <c r="H20" i="30" s="1"/>
  <c r="H21" i="30" s="1"/>
  <c r="H22" i="30" s="1"/>
  <c r="I18" i="30"/>
  <c r="H33" i="30"/>
  <c r="H34" i="30" s="1"/>
  <c r="H35" i="30" s="1"/>
  <c r="H36" i="30" s="1"/>
  <c r="I32" i="30"/>
  <c r="H26" i="30"/>
  <c r="H27" i="30" s="1"/>
  <c r="H28" i="30" s="1"/>
  <c r="H29" i="30" s="1"/>
  <c r="I25" i="30"/>
  <c r="G35" i="30"/>
  <c r="G36" i="30" s="1"/>
  <c r="O10" i="28"/>
  <c r="O9" i="28"/>
  <c r="O8" i="28"/>
  <c r="O7" i="28"/>
  <c r="O6" i="28"/>
  <c r="O5" i="28"/>
  <c r="J25" i="30" l="1"/>
  <c r="I26" i="30"/>
  <c r="I27" i="30" s="1"/>
  <c r="I28" i="30" s="1"/>
  <c r="I29" i="30" s="1"/>
  <c r="I19" i="30"/>
  <c r="J18" i="30"/>
  <c r="I20" i="30"/>
  <c r="I21" i="30" s="1"/>
  <c r="I22" i="30" s="1"/>
  <c r="J5" i="30"/>
  <c r="J6" i="30" s="1"/>
  <c r="J7" i="30" s="1"/>
  <c r="J8" i="30" s="1"/>
  <c r="K4" i="30"/>
  <c r="I7" i="30"/>
  <c r="I8" i="30" s="1"/>
  <c r="I33" i="30"/>
  <c r="I34" i="30" s="1"/>
  <c r="J32" i="30"/>
  <c r="J12" i="30"/>
  <c r="J13" i="30" s="1"/>
  <c r="J14" i="30" s="1"/>
  <c r="J15" i="30" s="1"/>
  <c r="K11" i="30"/>
  <c r="J19" i="30" l="1"/>
  <c r="J20" i="30" s="1"/>
  <c r="J21" i="30" s="1"/>
  <c r="J22" i="30" s="1"/>
  <c r="K18" i="30"/>
  <c r="K12" i="30"/>
  <c r="L11" i="30"/>
  <c r="K13" i="30"/>
  <c r="I35" i="30"/>
  <c r="I36" i="30" s="1"/>
  <c r="J33" i="30"/>
  <c r="J34" i="30" s="1"/>
  <c r="J35" i="30" s="1"/>
  <c r="J36" i="30" s="1"/>
  <c r="K32" i="30"/>
  <c r="L4" i="30"/>
  <c r="K5" i="30"/>
  <c r="J26" i="30"/>
  <c r="J27" i="30" s="1"/>
  <c r="J28" i="30" s="1"/>
  <c r="J29" i="30" s="1"/>
  <c r="K25" i="30"/>
  <c r="C31" i="30"/>
  <c r="C24" i="30"/>
  <c r="C17" i="30"/>
  <c r="C10" i="30"/>
  <c r="C3" i="30"/>
  <c r="K26" i="30" l="1"/>
  <c r="L25" i="30"/>
  <c r="L12" i="30"/>
  <c r="M11" i="30"/>
  <c r="L13" i="30"/>
  <c r="L14" i="30" s="1"/>
  <c r="L15" i="30" s="1"/>
  <c r="K6" i="30"/>
  <c r="K7" i="30" s="1"/>
  <c r="K8" i="30" s="1"/>
  <c r="K14" i="30"/>
  <c r="K15" i="30" s="1"/>
  <c r="L5" i="30"/>
  <c r="L6" i="30" s="1"/>
  <c r="M4" i="30"/>
  <c r="K33" i="30"/>
  <c r="K34" i="30" s="1"/>
  <c r="K35" i="30" s="1"/>
  <c r="K36" i="30" s="1"/>
  <c r="L32" i="30"/>
  <c r="K19" i="30"/>
  <c r="K20" i="30" s="1"/>
  <c r="K21" i="30" s="1"/>
  <c r="K22" i="30" s="1"/>
  <c r="L18" i="30"/>
  <c r="C6" i="30"/>
  <c r="C7" i="30" s="1"/>
  <c r="C8" i="30" s="1"/>
  <c r="C13" i="30"/>
  <c r="C14" i="30" s="1"/>
  <c r="C15" i="30" s="1"/>
  <c r="C20" i="30"/>
  <c r="C21" i="30" s="1"/>
  <c r="C22" i="30" s="1"/>
  <c r="C27" i="30"/>
  <c r="C28" i="30" s="1"/>
  <c r="C29" i="30" s="1"/>
  <c r="C34" i="30"/>
  <c r="C35" i="30" s="1"/>
  <c r="C36" i="30" s="1"/>
  <c r="L19" i="30" l="1"/>
  <c r="M18" i="30"/>
  <c r="L20" i="30"/>
  <c r="L21" i="30" s="1"/>
  <c r="L22" i="30" s="1"/>
  <c r="L7" i="30"/>
  <c r="L8" i="30" s="1"/>
  <c r="N11" i="30"/>
  <c r="M12" i="30"/>
  <c r="M13" i="30" s="1"/>
  <c r="M14" i="30" s="1"/>
  <c r="M15" i="30" s="1"/>
  <c r="M5" i="30"/>
  <c r="M6" i="30" s="1"/>
  <c r="N4" i="30"/>
  <c r="L26" i="30"/>
  <c r="L27" i="30" s="1"/>
  <c r="L28" i="30" s="1"/>
  <c r="L29" i="30" s="1"/>
  <c r="M25" i="30"/>
  <c r="L33" i="30"/>
  <c r="L34" i="30" s="1"/>
  <c r="L35" i="30" s="1"/>
  <c r="L36" i="30" s="1"/>
  <c r="M32" i="30"/>
  <c r="K27" i="30"/>
  <c r="K28" i="30" s="1"/>
  <c r="K29" i="30" s="1"/>
  <c r="N25" i="30" l="1"/>
  <c r="M26" i="30"/>
  <c r="N12" i="30"/>
  <c r="N13" i="30"/>
  <c r="N14" i="30" s="1"/>
  <c r="N15" i="30" s="1"/>
  <c r="N5" i="30"/>
  <c r="N6" i="30"/>
  <c r="N7" i="30" s="1"/>
  <c r="N8" i="30" s="1"/>
  <c r="M7" i="30"/>
  <c r="M8" i="30" s="1"/>
  <c r="M19" i="30"/>
  <c r="M20" i="30" s="1"/>
  <c r="M21" i="30" s="1"/>
  <c r="M22" i="30" s="1"/>
  <c r="N18" i="30"/>
  <c r="M33" i="30"/>
  <c r="M34" i="30" s="1"/>
  <c r="N32" i="30"/>
  <c r="M35" i="30" l="1"/>
  <c r="M36" i="30" s="1"/>
  <c r="N33" i="30"/>
  <c r="N34" i="30"/>
  <c r="N35" i="30" s="1"/>
  <c r="N36" i="30" s="1"/>
  <c r="M27" i="30"/>
  <c r="M28" i="30"/>
  <c r="M29" i="30" s="1"/>
  <c r="N19" i="30"/>
  <c r="N20" i="30" s="1"/>
  <c r="N21" i="30" s="1"/>
  <c r="N22" i="30" s="1"/>
  <c r="N26" i="30"/>
  <c r="N27" i="30" l="1"/>
  <c r="N28" i="30" s="1"/>
  <c r="N29" i="30" s="1"/>
  <c r="N5" i="28" l="1"/>
  <c r="N6" i="28"/>
  <c r="N7" i="28" l="1"/>
  <c r="N8" i="28"/>
  <c r="N10" i="28" l="1"/>
  <c r="N9" i="28"/>
  <c r="L14" i="28" l="1"/>
  <c r="L19" i="28"/>
  <c r="L18" i="28"/>
  <c r="L17" i="28"/>
  <c r="L16" i="28"/>
  <c r="L15" i="28"/>
  <c r="K14" i="28"/>
  <c r="J84" i="29" l="1"/>
  <c r="J91" i="29" s="1"/>
  <c r="J47" i="29" s="1"/>
  <c r="I84" i="29"/>
  <c r="I91" i="29" s="1"/>
  <c r="I47" i="29" s="1"/>
  <c r="H84" i="29"/>
  <c r="H87" i="29" s="1"/>
  <c r="H7" i="29" s="1"/>
  <c r="G84" i="29"/>
  <c r="F84" i="29"/>
  <c r="F90" i="29" s="1"/>
  <c r="F37" i="29" s="1"/>
  <c r="E84" i="29"/>
  <c r="E87" i="29" s="1"/>
  <c r="E7" i="29" s="1"/>
  <c r="D84" i="29"/>
  <c r="D88" i="29" s="1"/>
  <c r="D17" i="29" s="1"/>
  <c r="C84" i="29"/>
  <c r="C76" i="29"/>
  <c r="J67" i="29"/>
  <c r="I67" i="29"/>
  <c r="H67" i="29"/>
  <c r="G67" i="29"/>
  <c r="F67" i="29"/>
  <c r="E67" i="29"/>
  <c r="D67" i="29"/>
  <c r="C67" i="29"/>
  <c r="G87" i="29" l="1"/>
  <c r="G7" i="29" s="1"/>
  <c r="G89" i="29"/>
  <c r="G27" i="29" s="1"/>
  <c r="C88" i="29"/>
  <c r="C17" i="29" s="1"/>
  <c r="C89" i="29"/>
  <c r="C27" i="29" s="1"/>
  <c r="F89" i="29"/>
  <c r="F27" i="29" s="1"/>
  <c r="C91" i="29"/>
  <c r="C47" i="29" s="1"/>
  <c r="C90" i="29"/>
  <c r="C37" i="29" s="1"/>
  <c r="D89" i="29"/>
  <c r="D27" i="29" s="1"/>
  <c r="D90" i="29"/>
  <c r="D37" i="29" s="1"/>
  <c r="E91" i="29"/>
  <c r="E47" i="29" s="1"/>
  <c r="E89" i="29"/>
  <c r="E27" i="29" s="1"/>
  <c r="E90" i="29"/>
  <c r="E37" i="29" s="1"/>
  <c r="F88" i="29"/>
  <c r="F17" i="29" s="1"/>
  <c r="E88" i="29"/>
  <c r="E17" i="29" s="1"/>
  <c r="I89" i="29"/>
  <c r="I27" i="29" s="1"/>
  <c r="C87" i="29"/>
  <c r="I87" i="29"/>
  <c r="F87" i="29"/>
  <c r="F7" i="29" s="1"/>
  <c r="H91" i="29"/>
  <c r="H47" i="29" s="1"/>
  <c r="I90" i="29"/>
  <c r="I37" i="29" s="1"/>
  <c r="I88" i="29"/>
  <c r="I17" i="29" s="1"/>
  <c r="G91" i="29"/>
  <c r="G47" i="29" s="1"/>
  <c r="H88" i="29"/>
  <c r="H17" i="29" s="1"/>
  <c r="F91" i="29"/>
  <c r="H89" i="29"/>
  <c r="H27" i="29" s="1"/>
  <c r="D87" i="29"/>
  <c r="D7" i="29" s="1"/>
  <c r="J90" i="29"/>
  <c r="J37" i="29" s="1"/>
  <c r="G88" i="29"/>
  <c r="G17" i="29" s="1"/>
  <c r="D91" i="29"/>
  <c r="D47" i="29" s="1"/>
  <c r="H90" i="29"/>
  <c r="H37" i="29" s="1"/>
  <c r="G90" i="29"/>
  <c r="G37" i="29" s="1"/>
  <c r="J88" i="29"/>
  <c r="J17" i="29" s="1"/>
  <c r="J89" i="29"/>
  <c r="J27" i="29" s="1"/>
  <c r="J87" i="29"/>
  <c r="J7" i="29" s="1"/>
  <c r="E76" i="29"/>
  <c r="D76" i="29"/>
  <c r="G76" i="29"/>
  <c r="H76" i="29"/>
  <c r="I76" i="29"/>
  <c r="F76" i="29"/>
  <c r="J76" i="29"/>
  <c r="C92" i="29" l="1"/>
  <c r="F92" i="29"/>
  <c r="F47" i="29"/>
  <c r="C7" i="29"/>
  <c r="E92" i="29"/>
  <c r="I92" i="29"/>
  <c r="I7" i="29"/>
  <c r="G92" i="29"/>
  <c r="J92" i="29"/>
  <c r="H92" i="29"/>
  <c r="D92" i="29"/>
  <c r="E14" i="28" l="1"/>
  <c r="AW65" i="28"/>
  <c r="AU65" i="28"/>
  <c r="AT65" i="28"/>
  <c r="AS65" i="28"/>
  <c r="AR65" i="28"/>
  <c r="AQ65" i="28"/>
  <c r="AP65" i="28"/>
  <c r="AO65" i="28"/>
  <c r="AN65" i="28"/>
  <c r="AM65" i="28"/>
  <c r="AL65" i="28"/>
  <c r="AK65" i="28"/>
  <c r="AJ65" i="28"/>
  <c r="AI65" i="28"/>
  <c r="AH65" i="28"/>
  <c r="AG65" i="28"/>
  <c r="AF65" i="28"/>
  <c r="AE65" i="28"/>
  <c r="AD65" i="28"/>
  <c r="AC65" i="28"/>
  <c r="AB65" i="28"/>
  <c r="AA65" i="28"/>
  <c r="Z65" i="28"/>
  <c r="Y65" i="28"/>
  <c r="X65" i="28"/>
  <c r="W65" i="28"/>
  <c r="V65" i="28"/>
  <c r="U65" i="28"/>
  <c r="T65" i="28"/>
  <c r="S65" i="28"/>
  <c r="R65" i="28"/>
  <c r="Q65" i="28"/>
  <c r="P65" i="28"/>
  <c r="O65" i="28"/>
  <c r="N65" i="28"/>
  <c r="M65" i="28"/>
  <c r="L65" i="28"/>
  <c r="K65" i="28"/>
  <c r="J65" i="28"/>
  <c r="I65" i="28"/>
  <c r="H65" i="28"/>
  <c r="G65" i="28"/>
  <c r="F65" i="28"/>
  <c r="E65" i="28"/>
  <c r="D65" i="28"/>
  <c r="AW64" i="28"/>
  <c r="AU64" i="28"/>
  <c r="AT64" i="28"/>
  <c r="AS64" i="28"/>
  <c r="AR64" i="28"/>
  <c r="AQ64" i="28"/>
  <c r="AP64" i="28"/>
  <c r="AO64" i="28"/>
  <c r="AN64" i="28"/>
  <c r="AM64" i="28"/>
  <c r="AL64" i="28"/>
  <c r="AK64" i="28"/>
  <c r="AJ64" i="28"/>
  <c r="AI64" i="28"/>
  <c r="AH64" i="28"/>
  <c r="AG64" i="28"/>
  <c r="AF64" i="28"/>
  <c r="AE64" i="28"/>
  <c r="AD64" i="28"/>
  <c r="AC64" i="28"/>
  <c r="AB64" i="28"/>
  <c r="AA64" i="28"/>
  <c r="Z64" i="28"/>
  <c r="Y64" i="28"/>
  <c r="X64" i="28"/>
  <c r="W64" i="28"/>
  <c r="V64" i="28"/>
  <c r="U64" i="28"/>
  <c r="T64" i="28"/>
  <c r="S64" i="28"/>
  <c r="R64" i="28"/>
  <c r="Q64" i="28"/>
  <c r="P64" i="28"/>
  <c r="O64" i="28"/>
  <c r="N64" i="28"/>
  <c r="M64" i="28"/>
  <c r="L64" i="28"/>
  <c r="K64" i="28"/>
  <c r="J64" i="28"/>
  <c r="I64" i="28"/>
  <c r="H64" i="28"/>
  <c r="G64" i="28"/>
  <c r="F64" i="28"/>
  <c r="E64" i="28"/>
  <c r="D64" i="28"/>
  <c r="AW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AW62" i="28"/>
  <c r="AU62" i="28"/>
  <c r="AT62" i="28"/>
  <c r="AS62" i="28"/>
  <c r="AR62" i="28"/>
  <c r="AQ62" i="28"/>
  <c r="AP62" i="28"/>
  <c r="AO62" i="28"/>
  <c r="AN62" i="28"/>
  <c r="AM62" i="28"/>
  <c r="AL62" i="28"/>
  <c r="AK62" i="28"/>
  <c r="AJ62" i="28"/>
  <c r="AI62" i="28"/>
  <c r="AH62" i="28"/>
  <c r="AG62" i="28"/>
  <c r="AF62" i="28"/>
  <c r="AE62" i="28"/>
  <c r="AD62" i="28"/>
  <c r="AC62" i="28"/>
  <c r="AB62" i="28"/>
  <c r="AA62" i="28"/>
  <c r="Z62" i="28"/>
  <c r="Y62" i="28"/>
  <c r="X62" i="28"/>
  <c r="W62" i="28"/>
  <c r="V62" i="28"/>
  <c r="U62" i="28"/>
  <c r="T62" i="28"/>
  <c r="S62" i="28"/>
  <c r="R62" i="28"/>
  <c r="Q62" i="28"/>
  <c r="P62" i="28"/>
  <c r="O62" i="28"/>
  <c r="N62" i="28"/>
  <c r="M62" i="28"/>
  <c r="L62" i="28"/>
  <c r="K62" i="28"/>
  <c r="J62" i="28"/>
  <c r="I62" i="28"/>
  <c r="H62" i="28"/>
  <c r="G62" i="28"/>
  <c r="F62" i="28"/>
  <c r="E62" i="28"/>
  <c r="D62" i="28"/>
  <c r="AW61" i="28"/>
  <c r="AU61" i="28"/>
  <c r="AT61" i="28"/>
  <c r="AS61" i="28"/>
  <c r="AR61" i="28"/>
  <c r="AQ61" i="28"/>
  <c r="AP61" i="28"/>
  <c r="AO61" i="28"/>
  <c r="AN61" i="28"/>
  <c r="AM61" i="28"/>
  <c r="AL61" i="28"/>
  <c r="AK61" i="28"/>
  <c r="AJ61" i="28"/>
  <c r="AI61" i="28"/>
  <c r="AH61" i="28"/>
  <c r="AG61" i="28"/>
  <c r="AF61" i="28"/>
  <c r="AE61" i="28"/>
  <c r="AD61" i="28"/>
  <c r="AC61" i="28"/>
  <c r="AB61" i="28"/>
  <c r="AA61" i="28"/>
  <c r="Z61" i="28"/>
  <c r="Y61" i="28"/>
  <c r="X61" i="28"/>
  <c r="W61" i="28"/>
  <c r="V61" i="28"/>
  <c r="U61" i="28"/>
  <c r="T61" i="28"/>
  <c r="S61" i="28"/>
  <c r="R61" i="28"/>
  <c r="Q61" i="28"/>
  <c r="P61" i="28"/>
  <c r="O61" i="28"/>
  <c r="N61" i="28"/>
  <c r="M61" i="28"/>
  <c r="L61" i="28"/>
  <c r="K61" i="28"/>
  <c r="J61" i="28"/>
  <c r="I61" i="28"/>
  <c r="H61" i="28"/>
  <c r="G61" i="28"/>
  <c r="F61" i="28"/>
  <c r="E61" i="28"/>
  <c r="D61" i="28"/>
  <c r="AW56" i="28"/>
  <c r="AU56" i="28"/>
  <c r="AT56" i="28"/>
  <c r="AS56" i="28"/>
  <c r="AR56" i="28"/>
  <c r="AQ56" i="28"/>
  <c r="AP56" i="28"/>
  <c r="AO56" i="28"/>
  <c r="AN56" i="28"/>
  <c r="AM56" i="28"/>
  <c r="AL56" i="28"/>
  <c r="AK56" i="28"/>
  <c r="AJ56" i="28"/>
  <c r="AI56" i="28"/>
  <c r="AH56" i="28"/>
  <c r="AG56" i="28"/>
  <c r="AF56" i="28"/>
  <c r="AE56" i="28"/>
  <c r="AD56" i="28"/>
  <c r="AC56" i="28"/>
  <c r="AB56" i="28"/>
  <c r="AA56" i="28"/>
  <c r="Z56" i="28"/>
  <c r="Y56" i="28"/>
  <c r="X56" i="28"/>
  <c r="W56" i="28"/>
  <c r="V56" i="28"/>
  <c r="U56" i="28"/>
  <c r="T56" i="28"/>
  <c r="S56" i="28"/>
  <c r="R56" i="28"/>
  <c r="P56" i="28"/>
  <c r="O56" i="28"/>
  <c r="N56" i="28"/>
  <c r="M56" i="28"/>
  <c r="L56" i="28"/>
  <c r="K56" i="28"/>
  <c r="J56" i="28"/>
  <c r="I56" i="28"/>
  <c r="H56" i="28"/>
  <c r="G56" i="28"/>
  <c r="F56" i="28"/>
  <c r="E56" i="28"/>
  <c r="D56" i="28"/>
  <c r="AW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L32" i="28" s="1"/>
  <c r="N37" i="27" s="1"/>
  <c r="K28" i="28"/>
  <c r="J28" i="28"/>
  <c r="I28" i="28"/>
  <c r="H28" i="28"/>
  <c r="G28" i="28"/>
  <c r="F28" i="28"/>
  <c r="E28" i="28"/>
  <c r="D28" i="28"/>
  <c r="AW19" i="28"/>
  <c r="AU19" i="28"/>
  <c r="AT19" i="28"/>
  <c r="AS19" i="28"/>
  <c r="AR19" i="28"/>
  <c r="AQ19" i="28"/>
  <c r="AP19" i="28"/>
  <c r="AO19" i="28"/>
  <c r="AN19" i="28"/>
  <c r="AM19" i="28"/>
  <c r="AL19" i="28"/>
  <c r="AK19" i="28"/>
  <c r="AJ19" i="28"/>
  <c r="AI19" i="28"/>
  <c r="AH19" i="28"/>
  <c r="AG19" i="28"/>
  <c r="AF19" i="28"/>
  <c r="AE19" i="28"/>
  <c r="AD19" i="28"/>
  <c r="AC19" i="28"/>
  <c r="AB19" i="28"/>
  <c r="AA19" i="28"/>
  <c r="Z19" i="28"/>
  <c r="Y19" i="28"/>
  <c r="X19" i="28"/>
  <c r="W19" i="28"/>
  <c r="V19" i="28"/>
  <c r="S19" i="28"/>
  <c r="R19" i="28"/>
  <c r="Q19" i="28"/>
  <c r="P19" i="28"/>
  <c r="O19" i="28"/>
  <c r="N19" i="28"/>
  <c r="M19" i="28"/>
  <c r="K19" i="28"/>
  <c r="J19" i="28"/>
  <c r="I19" i="28"/>
  <c r="H19" i="28"/>
  <c r="G19" i="28"/>
  <c r="F19" i="28"/>
  <c r="E19" i="28"/>
  <c r="D19" i="28"/>
  <c r="AW18" i="28"/>
  <c r="AU18" i="28"/>
  <c r="AT18" i="28"/>
  <c r="AS18" i="28"/>
  <c r="AR18" i="28"/>
  <c r="AQ18" i="28"/>
  <c r="AP18" i="28"/>
  <c r="AO18" i="28"/>
  <c r="AN18" i="28"/>
  <c r="AM18" i="28"/>
  <c r="AL18" i="28"/>
  <c r="AK18" i="28"/>
  <c r="AJ18" i="28"/>
  <c r="AI18" i="28"/>
  <c r="AH18" i="28"/>
  <c r="AG18" i="28"/>
  <c r="AF18" i="28"/>
  <c r="AE18" i="28"/>
  <c r="AD18" i="28"/>
  <c r="AC18" i="28"/>
  <c r="AB18" i="28"/>
  <c r="AA18" i="28"/>
  <c r="AA35" i="28" s="1"/>
  <c r="AC67" i="27" s="1"/>
  <c r="Z18" i="28"/>
  <c r="Y18" i="28"/>
  <c r="X18" i="28"/>
  <c r="W18" i="28"/>
  <c r="V18" i="28"/>
  <c r="U18" i="28"/>
  <c r="T18" i="28"/>
  <c r="S18" i="28"/>
  <c r="R18" i="28"/>
  <c r="Q18" i="28"/>
  <c r="P18" i="28"/>
  <c r="O18" i="28"/>
  <c r="N18" i="28"/>
  <c r="M18" i="28"/>
  <c r="L35" i="28"/>
  <c r="N67" i="27" s="1"/>
  <c r="K18" i="28"/>
  <c r="J18" i="28"/>
  <c r="I18" i="28"/>
  <c r="H18" i="28"/>
  <c r="G18" i="28"/>
  <c r="F18" i="28"/>
  <c r="E18" i="28"/>
  <c r="D18" i="28"/>
  <c r="AW17" i="28"/>
  <c r="AU17" i="28"/>
  <c r="AT17" i="28"/>
  <c r="AS17" i="28"/>
  <c r="AR17" i="28"/>
  <c r="AQ17" i="28"/>
  <c r="AP17" i="28"/>
  <c r="AO17" i="28"/>
  <c r="AN17" i="28"/>
  <c r="AM17" i="28"/>
  <c r="AL17" i="28"/>
  <c r="AK17" i="28"/>
  <c r="AJ17" i="28"/>
  <c r="AJ34" i="28" s="1"/>
  <c r="AL57" i="27" s="1"/>
  <c r="AI17" i="28"/>
  <c r="AH17" i="28"/>
  <c r="AG17" i="28"/>
  <c r="AF17" i="28"/>
  <c r="AE17" i="28"/>
  <c r="AD17" i="28"/>
  <c r="AC17" i="28"/>
  <c r="AB17" i="28"/>
  <c r="AA17" i="28"/>
  <c r="Z17" i="28"/>
  <c r="Y17" i="28"/>
  <c r="X17" i="28"/>
  <c r="W17" i="28"/>
  <c r="V17" i="28"/>
  <c r="U17" i="28"/>
  <c r="T17" i="28"/>
  <c r="S17" i="28"/>
  <c r="R17" i="28"/>
  <c r="Q17" i="28"/>
  <c r="P17" i="28"/>
  <c r="O17" i="28"/>
  <c r="N17" i="28"/>
  <c r="N34" i="28" s="1"/>
  <c r="P57" i="27" s="1"/>
  <c r="M17" i="28"/>
  <c r="L34" i="28"/>
  <c r="N57" i="27" s="1"/>
  <c r="K17" i="28"/>
  <c r="J17" i="28"/>
  <c r="I17" i="28"/>
  <c r="H17" i="28"/>
  <c r="G17" i="28"/>
  <c r="F17" i="28"/>
  <c r="E17" i="28"/>
  <c r="D17" i="28"/>
  <c r="AW16" i="28"/>
  <c r="AU16" i="28"/>
  <c r="AT16" i="28"/>
  <c r="AS16" i="28"/>
  <c r="AR16" i="28"/>
  <c r="AQ16" i="28"/>
  <c r="AQ33" i="28" s="1"/>
  <c r="AS47" i="27" s="1"/>
  <c r="AP16" i="28"/>
  <c r="AO16" i="28"/>
  <c r="AN16" i="28"/>
  <c r="AM16" i="28"/>
  <c r="AL16" i="28"/>
  <c r="AK16" i="28"/>
  <c r="AJ16" i="28"/>
  <c r="AI16" i="28"/>
  <c r="AH16" i="28"/>
  <c r="AG16" i="28"/>
  <c r="AF16" i="28"/>
  <c r="AE16" i="28"/>
  <c r="AE33" i="28" s="1"/>
  <c r="AG47" i="27" s="1"/>
  <c r="AD16" i="28"/>
  <c r="AC16" i="28"/>
  <c r="AB16" i="28"/>
  <c r="AA16" i="28"/>
  <c r="Z16" i="28"/>
  <c r="Y16" i="28"/>
  <c r="X16" i="28"/>
  <c r="W16" i="28"/>
  <c r="V16" i="28"/>
  <c r="U16" i="28"/>
  <c r="T16" i="28"/>
  <c r="S16" i="28"/>
  <c r="R16" i="28"/>
  <c r="Q16" i="28"/>
  <c r="P16" i="28"/>
  <c r="O16" i="28"/>
  <c r="N16" i="28"/>
  <c r="M16" i="28"/>
  <c r="K16" i="28"/>
  <c r="J16" i="28"/>
  <c r="I16" i="28"/>
  <c r="H16" i="28"/>
  <c r="G16" i="28"/>
  <c r="G33" i="28" s="1"/>
  <c r="I47" i="27" s="1"/>
  <c r="F16" i="28"/>
  <c r="E16" i="28"/>
  <c r="D16" i="28"/>
  <c r="AW15" i="28"/>
  <c r="AU15" i="28"/>
  <c r="AT15" i="28"/>
  <c r="AS15" i="28"/>
  <c r="AR15" i="28"/>
  <c r="AQ15" i="28"/>
  <c r="AP15" i="28"/>
  <c r="AO15" i="28"/>
  <c r="AN15" i="28"/>
  <c r="AM15" i="28"/>
  <c r="AM32" i="28" s="1"/>
  <c r="AO37" i="27" s="1"/>
  <c r="AL15" i="28"/>
  <c r="AK15" i="28"/>
  <c r="AJ15" i="28"/>
  <c r="AI15" i="28"/>
  <c r="AH15" i="28"/>
  <c r="AG15" i="28"/>
  <c r="AF15" i="28"/>
  <c r="AE15" i="28"/>
  <c r="AD15" i="28"/>
  <c r="AC15" i="28"/>
  <c r="AB15" i="28"/>
  <c r="AA15" i="28"/>
  <c r="Z15" i="28"/>
  <c r="Y15" i="28"/>
  <c r="X15" i="28"/>
  <c r="W15" i="28"/>
  <c r="V15" i="28"/>
  <c r="U15" i="28"/>
  <c r="T15" i="28"/>
  <c r="S15" i="28"/>
  <c r="R15" i="28"/>
  <c r="Q15" i="28"/>
  <c r="P15" i="28"/>
  <c r="O15" i="28"/>
  <c r="N15" i="28"/>
  <c r="N32" i="28" s="1"/>
  <c r="P37" i="27" s="1"/>
  <c r="M15" i="28"/>
  <c r="K15" i="28"/>
  <c r="J15" i="28"/>
  <c r="I15" i="28"/>
  <c r="H15" i="28"/>
  <c r="G15" i="28"/>
  <c r="F15" i="28"/>
  <c r="E15" i="28"/>
  <c r="D15" i="28"/>
  <c r="AW14" i="28"/>
  <c r="AU14" i="28"/>
  <c r="AT14" i="28"/>
  <c r="AS14" i="28"/>
  <c r="AR14" i="28"/>
  <c r="AQ14" i="28"/>
  <c r="AP14" i="28"/>
  <c r="AO14" i="28"/>
  <c r="AN14" i="28"/>
  <c r="AM14" i="28"/>
  <c r="AM31" i="28" s="1"/>
  <c r="AO27" i="27" s="1"/>
  <c r="AL14" i="28"/>
  <c r="AK14" i="28"/>
  <c r="AJ14" i="28"/>
  <c r="AJ31" i="28" s="1"/>
  <c r="AL27" i="27" s="1"/>
  <c r="AI14" i="28"/>
  <c r="AH14" i="28"/>
  <c r="AG14" i="28"/>
  <c r="AF14" i="28"/>
  <c r="AE14" i="28"/>
  <c r="AD14" i="28"/>
  <c r="AC14" i="28"/>
  <c r="AB14" i="28"/>
  <c r="AA14" i="28"/>
  <c r="Z14" i="28"/>
  <c r="Y14" i="28"/>
  <c r="X14" i="28"/>
  <c r="W14" i="28"/>
  <c r="V14" i="28"/>
  <c r="U14" i="28"/>
  <c r="T14" i="28"/>
  <c r="S14" i="28"/>
  <c r="R14" i="28"/>
  <c r="Q14" i="28"/>
  <c r="P14" i="28"/>
  <c r="O14" i="28"/>
  <c r="N14" i="28"/>
  <c r="M14" i="28"/>
  <c r="L31" i="28"/>
  <c r="N27" i="27" s="1"/>
  <c r="J14" i="28"/>
  <c r="J31" i="28" s="1"/>
  <c r="I14" i="28"/>
  <c r="H14" i="28"/>
  <c r="G14" i="28"/>
  <c r="F14" i="28"/>
  <c r="D14" i="28"/>
  <c r="AW11" i="28"/>
  <c r="AU11" i="28"/>
  <c r="AT11" i="28"/>
  <c r="AS11" i="28"/>
  <c r="AR11" i="28"/>
  <c r="AQ11" i="28"/>
  <c r="AP11" i="28"/>
  <c r="AO11" i="28"/>
  <c r="AN11" i="28"/>
  <c r="AM11" i="28"/>
  <c r="AL11" i="28"/>
  <c r="AK11" i="28"/>
  <c r="AJ11" i="28"/>
  <c r="AI11" i="28"/>
  <c r="AH11" i="28"/>
  <c r="AG11" i="28"/>
  <c r="AF11" i="28"/>
  <c r="AE11" i="28"/>
  <c r="AD11" i="28"/>
  <c r="AC11" i="28"/>
  <c r="AB11" i="28"/>
  <c r="AA11" i="28"/>
  <c r="Z11" i="28"/>
  <c r="Y11" i="28"/>
  <c r="X11" i="28"/>
  <c r="W11" i="28"/>
  <c r="V11" i="28"/>
  <c r="U11" i="28"/>
  <c r="S11" i="28"/>
  <c r="R11" i="28"/>
  <c r="Q11" i="28"/>
  <c r="P11" i="28"/>
  <c r="O11" i="28"/>
  <c r="N11" i="28"/>
  <c r="M11" i="28"/>
  <c r="L11" i="28"/>
  <c r="K11" i="28"/>
  <c r="J11" i="28"/>
  <c r="I11" i="28"/>
  <c r="H11" i="28"/>
  <c r="G11" i="28"/>
  <c r="F11" i="28"/>
  <c r="E11" i="28"/>
  <c r="D11" i="28"/>
  <c r="U19" i="28"/>
  <c r="D32" i="28" l="1"/>
  <c r="G32" i="28"/>
  <c r="I37" i="27" s="1"/>
  <c r="E32" i="28"/>
  <c r="F32" i="28"/>
  <c r="H37" i="27" s="1"/>
  <c r="O32" i="28"/>
  <c r="Q37" i="27" s="1"/>
  <c r="AP31" i="28"/>
  <c r="AR27" i="27" s="1"/>
  <c r="G34" i="28"/>
  <c r="I57" i="27" s="1"/>
  <c r="R31" i="28"/>
  <c r="T27" i="27" s="1"/>
  <c r="L33" i="28"/>
  <c r="N47" i="27" s="1"/>
  <c r="O34" i="28"/>
  <c r="Q57" i="27" s="1"/>
  <c r="R35" i="28"/>
  <c r="T67" i="27" s="1"/>
  <c r="AP35" i="28"/>
  <c r="AR67" i="27" s="1"/>
  <c r="AQ31" i="28"/>
  <c r="AS27" i="27" s="1"/>
  <c r="K31" i="28"/>
  <c r="M27" i="27" s="1"/>
  <c r="AQ32" i="28"/>
  <c r="AS37" i="27" s="1"/>
  <c r="G31" i="28"/>
  <c r="I27" i="27" s="1"/>
  <c r="AA33" i="28"/>
  <c r="AC47" i="27" s="1"/>
  <c r="F34" i="28"/>
  <c r="H57" i="27" s="1"/>
  <c r="H33" i="28"/>
  <c r="J47" i="27" s="1"/>
  <c r="P33" i="28"/>
  <c r="R47" i="27" s="1"/>
  <c r="AF33" i="28"/>
  <c r="AH47" i="27" s="1"/>
  <c r="AN33" i="28"/>
  <c r="AP47" i="27" s="1"/>
  <c r="H35" i="28"/>
  <c r="J67" i="27" s="1"/>
  <c r="H32" i="28"/>
  <c r="J37" i="27" s="1"/>
  <c r="P32" i="28"/>
  <c r="R37" i="27" s="1"/>
  <c r="AF32" i="28"/>
  <c r="AH37" i="27" s="1"/>
  <c r="J32" i="28"/>
  <c r="L37" i="27" s="1"/>
  <c r="H34" i="28"/>
  <c r="J57" i="27" s="1"/>
  <c r="P34" i="28"/>
  <c r="R57" i="27" s="1"/>
  <c r="P31" i="28"/>
  <c r="R27" i="27" s="1"/>
  <c r="AF31" i="28"/>
  <c r="AH27" i="27" s="1"/>
  <c r="AJ35" i="28"/>
  <c r="AL67" i="27" s="1"/>
  <c r="H31" i="28"/>
  <c r="J27" i="27" s="1"/>
  <c r="J34" i="28"/>
  <c r="L57" i="27" s="1"/>
  <c r="AE35" i="28"/>
  <c r="AG67" i="27" s="1"/>
  <c r="Y66" i="28"/>
  <c r="Y72" i="28" s="1"/>
  <c r="AA58" i="27" s="1"/>
  <c r="AA59" i="27" s="1"/>
  <c r="AL31" i="28"/>
  <c r="AN27" i="27" s="1"/>
  <c r="K32" i="28"/>
  <c r="M37" i="27" s="1"/>
  <c r="V33" i="28"/>
  <c r="X47" i="27" s="1"/>
  <c r="E66" i="28"/>
  <c r="E70" i="28" s="1"/>
  <c r="E69" i="28"/>
  <c r="AK66" i="28"/>
  <c r="AK70" i="28" s="1"/>
  <c r="AM38" i="27" s="1"/>
  <c r="AM39" i="27" s="1"/>
  <c r="AM40" i="27" s="1"/>
  <c r="K34" i="28"/>
  <c r="M57" i="27" s="1"/>
  <c r="AW35" i="28"/>
  <c r="AY67" i="27" s="1"/>
  <c r="AW32" i="28"/>
  <c r="AY37" i="27" s="1"/>
  <c r="AW34" i="28"/>
  <c r="AY57" i="27" s="1"/>
  <c r="AW33" i="28"/>
  <c r="AY47" i="27" s="1"/>
  <c r="AW66" i="28"/>
  <c r="AW69" i="28" s="1"/>
  <c r="AU33" i="28"/>
  <c r="AW47" i="27" s="1"/>
  <c r="AU31" i="28"/>
  <c r="AW27" i="27" s="1"/>
  <c r="AU66" i="28"/>
  <c r="AU69" i="28" s="1"/>
  <c r="AU32" i="28"/>
  <c r="AW37" i="27" s="1"/>
  <c r="AU35" i="28"/>
  <c r="AW67" i="27" s="1"/>
  <c r="AU34" i="28"/>
  <c r="AW57" i="27" s="1"/>
  <c r="AT31" i="28"/>
  <c r="AV27" i="27" s="1"/>
  <c r="AT35" i="28"/>
  <c r="AV67" i="27" s="1"/>
  <c r="AT66" i="28"/>
  <c r="AT72" i="28" s="1"/>
  <c r="AV58" i="27" s="1"/>
  <c r="AV59" i="27" s="1"/>
  <c r="AV60" i="27" s="1"/>
  <c r="AT33" i="28"/>
  <c r="AV47" i="27" s="1"/>
  <c r="AT34" i="28"/>
  <c r="AV57" i="27" s="1"/>
  <c r="AT32" i="28"/>
  <c r="AV37" i="27" s="1"/>
  <c r="AS34" i="28"/>
  <c r="AU57" i="27" s="1"/>
  <c r="AS33" i="28"/>
  <c r="AU47" i="27" s="1"/>
  <c r="AS66" i="28"/>
  <c r="AS71" i="28" s="1"/>
  <c r="AU48" i="27" s="1"/>
  <c r="AU49" i="27" s="1"/>
  <c r="AU50" i="27" s="1"/>
  <c r="AS32" i="28"/>
  <c r="AU37" i="27" s="1"/>
  <c r="AS35" i="28"/>
  <c r="AU67" i="27" s="1"/>
  <c r="AR32" i="28"/>
  <c r="AT37" i="27" s="1"/>
  <c r="AR33" i="28"/>
  <c r="AT47" i="27" s="1"/>
  <c r="AR35" i="28"/>
  <c r="AT67" i="27" s="1"/>
  <c r="AR66" i="28"/>
  <c r="AR70" i="28" s="1"/>
  <c r="AT38" i="27" s="1"/>
  <c r="AT39" i="27" s="1"/>
  <c r="AT40" i="27" s="1"/>
  <c r="AR34" i="28"/>
  <c r="AT57" i="27" s="1"/>
  <c r="AQ35" i="28"/>
  <c r="AS67" i="27" s="1"/>
  <c r="AQ34" i="28"/>
  <c r="AS57" i="27" s="1"/>
  <c r="AQ66" i="28"/>
  <c r="AQ69" i="28" s="1"/>
  <c r="AP34" i="28"/>
  <c r="AR57" i="27" s="1"/>
  <c r="AP33" i="28"/>
  <c r="AR47" i="27" s="1"/>
  <c r="AP66" i="28"/>
  <c r="AP69" i="28" s="1"/>
  <c r="AP32" i="28"/>
  <c r="AR37" i="27" s="1"/>
  <c r="AO33" i="28"/>
  <c r="AQ47" i="27" s="1"/>
  <c r="AO66" i="28"/>
  <c r="AO71" i="28" s="1"/>
  <c r="AQ48" i="27" s="1"/>
  <c r="AQ49" i="27" s="1"/>
  <c r="AQ50" i="27" s="1"/>
  <c r="AO32" i="28"/>
  <c r="AQ37" i="27" s="1"/>
  <c r="AO35" i="28"/>
  <c r="AQ67" i="27" s="1"/>
  <c r="AO34" i="28"/>
  <c r="AQ57" i="27" s="1"/>
  <c r="AN32" i="28"/>
  <c r="AP37" i="27" s="1"/>
  <c r="AN31" i="28"/>
  <c r="AP27" i="27" s="1"/>
  <c r="AN35" i="28"/>
  <c r="AP67" i="27" s="1"/>
  <c r="AN34" i="28"/>
  <c r="AP57" i="27" s="1"/>
  <c r="AM35" i="28"/>
  <c r="AO67" i="27" s="1"/>
  <c r="AM34" i="28"/>
  <c r="AO57" i="27" s="1"/>
  <c r="AM33" i="28"/>
  <c r="AO47" i="27" s="1"/>
  <c r="AL33" i="28"/>
  <c r="AN47" i="27" s="1"/>
  <c r="AJ33" i="28"/>
  <c r="AL47" i="27" s="1"/>
  <c r="AJ32" i="28"/>
  <c r="AL37" i="27" s="1"/>
  <c r="AI33" i="28"/>
  <c r="AK47" i="27" s="1"/>
  <c r="AI34" i="28"/>
  <c r="AK57" i="27" s="1"/>
  <c r="AI32" i="28"/>
  <c r="AK37" i="27" s="1"/>
  <c r="AI35" i="28"/>
  <c r="AK67" i="27" s="1"/>
  <c r="AH31" i="28"/>
  <c r="AJ27" i="27" s="1"/>
  <c r="AH35" i="28"/>
  <c r="AJ67" i="27" s="1"/>
  <c r="AI20" i="28"/>
  <c r="AH66" i="28"/>
  <c r="AH69" i="28" s="1"/>
  <c r="AJ28" i="27" s="1"/>
  <c r="AJ29" i="27" s="1"/>
  <c r="AJ30" i="27" s="1"/>
  <c r="AG66" i="28"/>
  <c r="AG70" i="28" s="1"/>
  <c r="AI38" i="27" s="1"/>
  <c r="AI39" i="27" s="1"/>
  <c r="AI40" i="27" s="1"/>
  <c r="AF34" i="28"/>
  <c r="AH57" i="27" s="1"/>
  <c r="AF35" i="28"/>
  <c r="AH67" i="27" s="1"/>
  <c r="AE20" i="28"/>
  <c r="AD33" i="28"/>
  <c r="AF47" i="27" s="1"/>
  <c r="AD20" i="28"/>
  <c r="AC66" i="28"/>
  <c r="AC71" i="28" s="1"/>
  <c r="AE48" i="27" s="1"/>
  <c r="AE49" i="27" s="1"/>
  <c r="AB33" i="28"/>
  <c r="AD47" i="27" s="1"/>
  <c r="AB32" i="28"/>
  <c r="AD37" i="27" s="1"/>
  <c r="AB35" i="28"/>
  <c r="AD67" i="27" s="1"/>
  <c r="AB31" i="28"/>
  <c r="AD27" i="27" s="1"/>
  <c r="AB34" i="28"/>
  <c r="AD57" i="27" s="1"/>
  <c r="Z35" i="28"/>
  <c r="AB67" i="27" s="1"/>
  <c r="AA20" i="28"/>
  <c r="Z20" i="28"/>
  <c r="X34" i="28"/>
  <c r="Z57" i="27" s="1"/>
  <c r="X33" i="28"/>
  <c r="Z47" i="27" s="1"/>
  <c r="X32" i="28"/>
  <c r="Z37" i="27" s="1"/>
  <c r="X31" i="28"/>
  <c r="Z27" i="27" s="1"/>
  <c r="X35" i="28"/>
  <c r="Z67" i="27" s="1"/>
  <c r="W33" i="28"/>
  <c r="Y47" i="27" s="1"/>
  <c r="W31" i="28"/>
  <c r="Y27" i="27" s="1"/>
  <c r="W35" i="28"/>
  <c r="Y67" i="27" s="1"/>
  <c r="V31" i="28"/>
  <c r="X27" i="27" s="1"/>
  <c r="V66" i="28"/>
  <c r="V73" i="28" s="1"/>
  <c r="X68" i="27" s="1"/>
  <c r="X69" i="27" s="1"/>
  <c r="U66" i="28"/>
  <c r="U73" i="28" s="1"/>
  <c r="W68" i="27" s="1"/>
  <c r="W69" i="27" s="1"/>
  <c r="S32" i="28"/>
  <c r="U37" i="27" s="1"/>
  <c r="S33" i="28"/>
  <c r="U47" i="27" s="1"/>
  <c r="S35" i="28"/>
  <c r="U67" i="27" s="1"/>
  <c r="S34" i="28"/>
  <c r="U57" i="27" s="1"/>
  <c r="S20" i="28"/>
  <c r="R32" i="28"/>
  <c r="T37" i="27" s="1"/>
  <c r="R34" i="28"/>
  <c r="T57" i="27" s="1"/>
  <c r="R66" i="28"/>
  <c r="R69" i="28" s="1"/>
  <c r="T28" i="27" s="1"/>
  <c r="T29" i="27" s="1"/>
  <c r="Q31" i="28"/>
  <c r="S27" i="27" s="1"/>
  <c r="Q66" i="28"/>
  <c r="Q73" i="28" s="1"/>
  <c r="S68" i="27" s="1"/>
  <c r="S69" i="27" s="1"/>
  <c r="P35" i="28"/>
  <c r="R67" i="27" s="1"/>
  <c r="O33" i="28"/>
  <c r="Q47" i="27" s="1"/>
  <c r="O35" i="28"/>
  <c r="Q67" i="27" s="1"/>
  <c r="O20" i="28"/>
  <c r="N33" i="28"/>
  <c r="P47" i="27" s="1"/>
  <c r="M66" i="28"/>
  <c r="M73" i="28" s="1"/>
  <c r="O68" i="27" s="1"/>
  <c r="O69" i="27" s="1"/>
  <c r="N20" i="28"/>
  <c r="K20" i="28"/>
  <c r="K33" i="28"/>
  <c r="M47" i="27" s="1"/>
  <c r="K35" i="28"/>
  <c r="M67" i="27" s="1"/>
  <c r="J33" i="28"/>
  <c r="L47" i="27" s="1"/>
  <c r="J35" i="28"/>
  <c r="L67" i="27" s="1"/>
  <c r="J20" i="28"/>
  <c r="I66" i="28"/>
  <c r="I71" i="28" s="1"/>
  <c r="G35" i="28"/>
  <c r="I67" i="27" s="1"/>
  <c r="F31" i="28"/>
  <c r="H27" i="27" s="1"/>
  <c r="F33" i="28"/>
  <c r="H47" i="27" s="1"/>
  <c r="D33" i="28"/>
  <c r="D31" i="28"/>
  <c r="S31" i="28"/>
  <c r="U27" i="27" s="1"/>
  <c r="W32" i="28"/>
  <c r="Y37" i="27" s="1"/>
  <c r="AA32" i="28"/>
  <c r="AC37" i="27" s="1"/>
  <c r="AE32" i="28"/>
  <c r="AG37" i="27" s="1"/>
  <c r="W34" i="28"/>
  <c r="Y57" i="27" s="1"/>
  <c r="AA34" i="28"/>
  <c r="AC57" i="27" s="1"/>
  <c r="AE34" i="28"/>
  <c r="AG57" i="27" s="1"/>
  <c r="U32" i="28"/>
  <c r="W37" i="27" s="1"/>
  <c r="D20" i="28"/>
  <c r="D34" i="28"/>
  <c r="D35" i="28"/>
  <c r="F66" i="28"/>
  <c r="F73" i="28" s="1"/>
  <c r="AL66" i="28"/>
  <c r="AL70" i="28" s="1"/>
  <c r="AN38" i="27" s="1"/>
  <c r="AN39" i="27" s="1"/>
  <c r="AN40" i="27" s="1"/>
  <c r="D66" i="28"/>
  <c r="D71" i="28" s="1"/>
  <c r="H66" i="28"/>
  <c r="H71" i="28" s="1"/>
  <c r="L66" i="28"/>
  <c r="L73" i="28" s="1"/>
  <c r="N68" i="27" s="1"/>
  <c r="N69" i="27" s="1"/>
  <c r="P66" i="28"/>
  <c r="P69" i="28" s="1"/>
  <c r="T66" i="28"/>
  <c r="T73" i="28" s="1"/>
  <c r="V68" i="27" s="1"/>
  <c r="V69" i="27" s="1"/>
  <c r="X66" i="28"/>
  <c r="X71" i="28" s="1"/>
  <c r="Z48" i="27" s="1"/>
  <c r="Z49" i="27" s="1"/>
  <c r="AB66" i="28"/>
  <c r="AB71" i="28" s="1"/>
  <c r="AD48" i="27" s="1"/>
  <c r="AD49" i="27" s="1"/>
  <c r="AF66" i="28"/>
  <c r="AF71" i="28" s="1"/>
  <c r="AH48" i="27" s="1"/>
  <c r="AH49" i="27" s="1"/>
  <c r="AH50" i="27" s="1"/>
  <c r="AJ66" i="28"/>
  <c r="AJ69" i="28" s="1"/>
  <c r="AL28" i="27" s="1"/>
  <c r="AL29" i="27" s="1"/>
  <c r="AL30" i="27" s="1"/>
  <c r="AL31" i="27" s="1"/>
  <c r="AN66" i="28"/>
  <c r="AN71" i="28" s="1"/>
  <c r="AP48" i="27" s="1"/>
  <c r="AP49" i="27" s="1"/>
  <c r="AP50" i="27" s="1"/>
  <c r="J66" i="28"/>
  <c r="J69" i="28" s="1"/>
  <c r="N66" i="28"/>
  <c r="N70" i="28" s="1"/>
  <c r="P38" i="27" s="1"/>
  <c r="P39" i="27" s="1"/>
  <c r="Z66" i="28"/>
  <c r="Z69" i="28" s="1"/>
  <c r="AB28" i="27" s="1"/>
  <c r="AB29" i="27" s="1"/>
  <c r="AD66" i="28"/>
  <c r="AD70" i="28" s="1"/>
  <c r="AF38" i="27" s="1"/>
  <c r="AF39" i="27" s="1"/>
  <c r="AF40" i="27" s="1"/>
  <c r="Z33" i="28"/>
  <c r="AB47" i="27" s="1"/>
  <c r="AL35" i="28"/>
  <c r="AN67" i="27" s="1"/>
  <c r="AJ20" i="28"/>
  <c r="AD35" i="28"/>
  <c r="AF67" i="27" s="1"/>
  <c r="X20" i="28"/>
  <c r="F35" i="28"/>
  <c r="H67" i="27" s="1"/>
  <c r="N35" i="28"/>
  <c r="P67" i="27" s="1"/>
  <c r="R33" i="28"/>
  <c r="T47" i="27" s="1"/>
  <c r="AI31" i="28"/>
  <c r="V35" i="28"/>
  <c r="X67" i="27" s="1"/>
  <c r="AH33" i="28"/>
  <c r="AJ47" i="27" s="1"/>
  <c r="E20" i="28"/>
  <c r="M20" i="28"/>
  <c r="Q20" i="28"/>
  <c r="Y20" i="28"/>
  <c r="AC20" i="28"/>
  <c r="AK20" i="28"/>
  <c r="G37" i="27"/>
  <c r="AK32" i="28"/>
  <c r="AM37" i="27" s="1"/>
  <c r="I32" i="28"/>
  <c r="K37" i="27" s="1"/>
  <c r="M32" i="28"/>
  <c r="O37" i="27" s="1"/>
  <c r="Q32" i="28"/>
  <c r="S37" i="27" s="1"/>
  <c r="Y32" i="28"/>
  <c r="AA37" i="27" s="1"/>
  <c r="AC32" i="28"/>
  <c r="AE37" i="27" s="1"/>
  <c r="AG32" i="28"/>
  <c r="AI37" i="27" s="1"/>
  <c r="E34" i="28"/>
  <c r="G57" i="27" s="1"/>
  <c r="I34" i="28"/>
  <c r="K57" i="27" s="1"/>
  <c r="M34" i="28"/>
  <c r="O57" i="27" s="1"/>
  <c r="Q34" i="28"/>
  <c r="S57" i="27" s="1"/>
  <c r="U34" i="28"/>
  <c r="W57" i="27" s="1"/>
  <c r="Y34" i="28"/>
  <c r="AA57" i="27" s="1"/>
  <c r="AC34" i="28"/>
  <c r="AE57" i="27" s="1"/>
  <c r="AG34" i="28"/>
  <c r="AI57" i="27" s="1"/>
  <c r="AK34" i="28"/>
  <c r="AM57" i="27" s="1"/>
  <c r="H20" i="28"/>
  <c r="AN20" i="28"/>
  <c r="AD31" i="28"/>
  <c r="AF27" i="27" s="1"/>
  <c r="AR31" i="28"/>
  <c r="AR20" i="28"/>
  <c r="V32" i="28"/>
  <c r="X37" i="27" s="1"/>
  <c r="AD32" i="28"/>
  <c r="AF37" i="27" s="1"/>
  <c r="Z34" i="28"/>
  <c r="AB57" i="27" s="1"/>
  <c r="AH34" i="28"/>
  <c r="AJ57" i="27" s="1"/>
  <c r="L20" i="28"/>
  <c r="AB20" i="28"/>
  <c r="AT20" i="28"/>
  <c r="N31" i="28"/>
  <c r="P27" i="27" s="1"/>
  <c r="Z32" i="28"/>
  <c r="AB37" i="27" s="1"/>
  <c r="AH32" i="28"/>
  <c r="AJ37" i="27" s="1"/>
  <c r="AL32" i="28"/>
  <c r="AN37" i="27" s="1"/>
  <c r="V34" i="28"/>
  <c r="X57" i="27" s="1"/>
  <c r="AD34" i="28"/>
  <c r="AF57" i="27" s="1"/>
  <c r="AL34" i="28"/>
  <c r="AN57" i="27" s="1"/>
  <c r="P20" i="28"/>
  <c r="AF20" i="28"/>
  <c r="I31" i="28"/>
  <c r="K27" i="27" s="1"/>
  <c r="U31" i="28"/>
  <c r="W27" i="27" s="1"/>
  <c r="AG31" i="28"/>
  <c r="AI27" i="27" s="1"/>
  <c r="AS31" i="28"/>
  <c r="AS20" i="28"/>
  <c r="E33" i="28"/>
  <c r="G47" i="27" s="1"/>
  <c r="I33" i="28"/>
  <c r="K47" i="27" s="1"/>
  <c r="M33" i="28"/>
  <c r="O47" i="27" s="1"/>
  <c r="Q33" i="28"/>
  <c r="S47" i="27" s="1"/>
  <c r="U33" i="28"/>
  <c r="W47" i="27" s="1"/>
  <c r="Y33" i="28"/>
  <c r="AA47" i="27" s="1"/>
  <c r="AC33" i="28"/>
  <c r="AE47" i="27" s="1"/>
  <c r="AG33" i="28"/>
  <c r="AI47" i="27" s="1"/>
  <c r="AK33" i="28"/>
  <c r="AM47" i="27" s="1"/>
  <c r="E35" i="28"/>
  <c r="G67" i="27" s="1"/>
  <c r="I35" i="28"/>
  <c r="K67" i="27" s="1"/>
  <c r="M35" i="28"/>
  <c r="O67" i="27" s="1"/>
  <c r="Q35" i="28"/>
  <c r="S67" i="27" s="1"/>
  <c r="U35" i="28"/>
  <c r="W67" i="27" s="1"/>
  <c r="Y35" i="28"/>
  <c r="AA67" i="27" s="1"/>
  <c r="AC35" i="28"/>
  <c r="AE67" i="27" s="1"/>
  <c r="AG35" i="28"/>
  <c r="AI67" i="27" s="1"/>
  <c r="AK35" i="28"/>
  <c r="AM67" i="27" s="1"/>
  <c r="I20" i="28"/>
  <c r="U20" i="28"/>
  <c r="AG20" i="28"/>
  <c r="AP20" i="28"/>
  <c r="AU20" i="28"/>
  <c r="L27" i="27"/>
  <c r="O31" i="28"/>
  <c r="Q27" i="27" s="1"/>
  <c r="Z31" i="28"/>
  <c r="AB27" i="27" s="1"/>
  <c r="AE31" i="28"/>
  <c r="AG27" i="27" s="1"/>
  <c r="E31" i="28"/>
  <c r="G27" i="27" s="1"/>
  <c r="M31" i="28"/>
  <c r="O27" i="27" s="1"/>
  <c r="AC31" i="28"/>
  <c r="AE27" i="27" s="1"/>
  <c r="AO31" i="28"/>
  <c r="AO20" i="28"/>
  <c r="T11" i="28"/>
  <c r="T19" i="28"/>
  <c r="T32" i="28" s="1"/>
  <c r="V37" i="27" s="1"/>
  <c r="F20" i="28"/>
  <c r="R20" i="28"/>
  <c r="V20" i="28"/>
  <c r="AH20" i="28"/>
  <c r="AL20" i="28"/>
  <c r="AQ20" i="28"/>
  <c r="AA31" i="28"/>
  <c r="AC27" i="27" s="1"/>
  <c r="Y31" i="28"/>
  <c r="AA27" i="27" s="1"/>
  <c r="AK31" i="28"/>
  <c r="AM27" i="27" s="1"/>
  <c r="AW31" i="28"/>
  <c r="AW20" i="28"/>
  <c r="G20" i="28"/>
  <c r="W20" i="28"/>
  <c r="AM20" i="28"/>
  <c r="Q56" i="28"/>
  <c r="G66" i="28"/>
  <c r="G73" i="28" s="1"/>
  <c r="K66" i="28"/>
  <c r="K70" i="28" s="1"/>
  <c r="O66" i="28"/>
  <c r="O73" i="28" s="1"/>
  <c r="Q68" i="27" s="1"/>
  <c r="Q69" i="27" s="1"/>
  <c r="S66" i="28"/>
  <c r="S71" i="28" s="1"/>
  <c r="U48" i="27" s="1"/>
  <c r="U49" i="27" s="1"/>
  <c r="W66" i="28"/>
  <c r="W71" i="28" s="1"/>
  <c r="Y48" i="27" s="1"/>
  <c r="Y49" i="27" s="1"/>
  <c r="AA66" i="28"/>
  <c r="AA73" i="28" s="1"/>
  <c r="AC68" i="27" s="1"/>
  <c r="AC69" i="27" s="1"/>
  <c r="AE66" i="28"/>
  <c r="AE72" i="28" s="1"/>
  <c r="AG58" i="27" s="1"/>
  <c r="AG59" i="27" s="1"/>
  <c r="AG60" i="27" s="1"/>
  <c r="AI66" i="28"/>
  <c r="AI72" i="28" s="1"/>
  <c r="AK58" i="27" s="1"/>
  <c r="AK59" i="27" s="1"/>
  <c r="AK60" i="27" s="1"/>
  <c r="AM66" i="28"/>
  <c r="AM69" i="28" s="1"/>
  <c r="AO28" i="27" s="1"/>
  <c r="AO29" i="27" s="1"/>
  <c r="AO30" i="27" s="1"/>
  <c r="AO31" i="27" s="1"/>
  <c r="F27" i="27" l="1"/>
  <c r="F47" i="27"/>
  <c r="AW73" i="28"/>
  <c r="AY68" i="27" s="1"/>
  <c r="F57" i="27"/>
  <c r="F37" i="27"/>
  <c r="CE40" i="28"/>
  <c r="G36" i="28"/>
  <c r="L36" i="28"/>
  <c r="Z70" i="28"/>
  <c r="AB38" i="27" s="1"/>
  <c r="AB39" i="27" s="1"/>
  <c r="AN70" i="28"/>
  <c r="AP38" i="27" s="1"/>
  <c r="AP39" i="27" s="1"/>
  <c r="AP40" i="27" s="1"/>
  <c r="AP41" i="27" s="1"/>
  <c r="AU73" i="28"/>
  <c r="AW68" i="27" s="1"/>
  <c r="AK69" i="28"/>
  <c r="AM28" i="27" s="1"/>
  <c r="AM29" i="27" s="1"/>
  <c r="AM30" i="27" s="1"/>
  <c r="AM31" i="27" s="1"/>
  <c r="AP51" i="27"/>
  <c r="H36" i="28"/>
  <c r="AH51" i="27"/>
  <c r="AI70" i="28"/>
  <c r="AK38" i="27" s="1"/>
  <c r="AK39" i="27" s="1"/>
  <c r="AK40" i="27" s="1"/>
  <c r="AK41" i="27" s="1"/>
  <c r="AP71" i="28"/>
  <c r="AR48" i="27" s="1"/>
  <c r="AR49" i="27" s="1"/>
  <c r="AR50" i="27" s="1"/>
  <c r="AR51" i="27" s="1"/>
  <c r="AS16" i="27"/>
  <c r="AT41" i="27"/>
  <c r="AU72" i="28"/>
  <c r="AW58" i="27" s="1"/>
  <c r="AW59" i="27" s="1"/>
  <c r="AW60" i="27" s="1"/>
  <c r="AW61" i="27" s="1"/>
  <c r="AL72" i="28"/>
  <c r="AN58" i="27" s="1"/>
  <c r="AN59" i="27" s="1"/>
  <c r="AN60" i="27" s="1"/>
  <c r="AN61" i="27" s="1"/>
  <c r="AK72" i="28"/>
  <c r="AM58" i="27" s="1"/>
  <c r="AM59" i="27" s="1"/>
  <c r="AM60" i="27" s="1"/>
  <c r="AM61" i="27" s="1"/>
  <c r="F70" i="28"/>
  <c r="E18" i="29" s="1"/>
  <c r="Y69" i="28"/>
  <c r="G70" i="28"/>
  <c r="F18" i="29" s="1"/>
  <c r="S72" i="28"/>
  <c r="U58" i="27" s="1"/>
  <c r="U59" i="27" s="1"/>
  <c r="I69" i="28"/>
  <c r="H8" i="29" s="1"/>
  <c r="O72" i="28"/>
  <c r="Q58" i="27" s="1"/>
  <c r="Q59" i="27" s="1"/>
  <c r="U70" i="28"/>
  <c r="W38" i="27" s="1"/>
  <c r="W39" i="27" s="1"/>
  <c r="K73" i="28"/>
  <c r="M68" i="27" s="1"/>
  <c r="M69" i="27" s="1"/>
  <c r="Y70" i="28"/>
  <c r="AA38" i="27" s="1"/>
  <c r="AA39" i="27" s="1"/>
  <c r="M69" i="28"/>
  <c r="O28" i="27" s="1"/>
  <c r="O29" i="27" s="1"/>
  <c r="M71" i="28"/>
  <c r="O48" i="27" s="1"/>
  <c r="O49" i="27" s="1"/>
  <c r="X70" i="28"/>
  <c r="Z38" i="27" s="1"/>
  <c r="Z39" i="27" s="1"/>
  <c r="Z40" i="27" s="1"/>
  <c r="Z41" i="27" s="1"/>
  <c r="I70" i="28"/>
  <c r="H18" i="29" s="1"/>
  <c r="AN69" i="28"/>
  <c r="AP28" i="27" s="1"/>
  <c r="AP29" i="27" s="1"/>
  <c r="AP30" i="27" s="1"/>
  <c r="AP31" i="27" s="1"/>
  <c r="D73" i="28"/>
  <c r="C48" i="29" s="1"/>
  <c r="W69" i="28"/>
  <c r="Y28" i="27" s="1"/>
  <c r="Y29" i="27" s="1"/>
  <c r="AU70" i="28"/>
  <c r="AW38" i="27" s="1"/>
  <c r="AW39" i="27" s="1"/>
  <c r="AW40" i="27" s="1"/>
  <c r="AW41" i="27" s="1"/>
  <c r="D72" i="28"/>
  <c r="C38" i="29" s="1"/>
  <c r="AP72" i="28"/>
  <c r="AR58" i="27" s="1"/>
  <c r="AR59" i="27" s="1"/>
  <c r="AR60" i="27" s="1"/>
  <c r="AR61" i="27" s="1"/>
  <c r="AB72" i="28"/>
  <c r="AD58" i="27" s="1"/>
  <c r="AD59" i="27" s="1"/>
  <c r="AQ71" i="28"/>
  <c r="AS48" i="27" s="1"/>
  <c r="AS49" i="27" s="1"/>
  <c r="AS50" i="27" s="1"/>
  <c r="AS51" i="27" s="1"/>
  <c r="AU71" i="28"/>
  <c r="AW48" i="27" s="1"/>
  <c r="AW49" i="27" s="1"/>
  <c r="AW50" i="27" s="1"/>
  <c r="AW51" i="27" s="1"/>
  <c r="Y73" i="28"/>
  <c r="AA68" i="27" s="1"/>
  <c r="AA69" i="27" s="1"/>
  <c r="AF73" i="28"/>
  <c r="AH68" i="27" s="1"/>
  <c r="AH69" i="27" s="1"/>
  <c r="Y71" i="28"/>
  <c r="AA48" i="27" s="1"/>
  <c r="AA49" i="27" s="1"/>
  <c r="G71" i="28"/>
  <c r="I48" i="27" s="1"/>
  <c r="I49" i="27" s="1"/>
  <c r="I50" i="27" s="1"/>
  <c r="R28" i="27"/>
  <c r="R29" i="27" s="1"/>
  <c r="I8" i="29"/>
  <c r="L28" i="27"/>
  <c r="L29" i="27" s="1"/>
  <c r="L30" i="27" s="1"/>
  <c r="J18" i="29"/>
  <c r="M38" i="27"/>
  <c r="M39" i="27" s="1"/>
  <c r="M40" i="27" s="1"/>
  <c r="G28" i="29"/>
  <c r="J48" i="27"/>
  <c r="J49" i="27" s="1"/>
  <c r="J50" i="27" s="1"/>
  <c r="F48" i="29"/>
  <c r="I68" i="27"/>
  <c r="I69" i="27" s="1"/>
  <c r="C28" i="29"/>
  <c r="F48" i="27"/>
  <c r="F49" i="27" s="1"/>
  <c r="F50" i="27" s="1"/>
  <c r="AR28" i="27"/>
  <c r="AR29" i="27" s="1"/>
  <c r="AR30" i="27" s="1"/>
  <c r="AR31" i="27" s="1"/>
  <c r="E48" i="29"/>
  <c r="H68" i="27"/>
  <c r="H69" i="27" s="1"/>
  <c r="D18" i="29"/>
  <c r="G38" i="27"/>
  <c r="G39" i="27" s="1"/>
  <c r="G40" i="27" s="1"/>
  <c r="H28" i="29"/>
  <c r="K48" i="27"/>
  <c r="K49" i="27" s="1"/>
  <c r="K50" i="27" s="1"/>
  <c r="AN41" i="27"/>
  <c r="N69" i="28"/>
  <c r="P28" i="27" s="1"/>
  <c r="P29" i="27" s="1"/>
  <c r="AO69" i="28"/>
  <c r="AQ28" i="27" s="1"/>
  <c r="AQ29" i="27" s="1"/>
  <c r="AQ30" i="27" s="1"/>
  <c r="AQ70" i="28"/>
  <c r="AS38" i="27" s="1"/>
  <c r="AS39" i="27" s="1"/>
  <c r="AS40" i="27" s="1"/>
  <c r="AS41" i="27" s="1"/>
  <c r="AW70" i="28"/>
  <c r="AY38" i="27" s="1"/>
  <c r="AY39" i="27" s="1"/>
  <c r="AY40" i="27" s="1"/>
  <c r="AY41" i="27" s="1"/>
  <c r="W72" i="28"/>
  <c r="Y58" i="27" s="1"/>
  <c r="Y59" i="27" s="1"/>
  <c r="Q70" i="28"/>
  <c r="S38" i="27" s="1"/>
  <c r="S39" i="27" s="1"/>
  <c r="I73" i="28"/>
  <c r="K71" i="28"/>
  <c r="U69" i="28"/>
  <c r="W28" i="27" s="1"/>
  <c r="W29" i="27" s="1"/>
  <c r="AN73" i="28"/>
  <c r="AP68" i="27" s="1"/>
  <c r="E72" i="28"/>
  <c r="O70" i="28"/>
  <c r="Q38" i="27" s="1"/>
  <c r="Q39" i="27" s="1"/>
  <c r="AL71" i="28"/>
  <c r="AN48" i="27" s="1"/>
  <c r="AN49" i="27" s="1"/>
  <c r="AN50" i="27" s="1"/>
  <c r="AN51" i="27" s="1"/>
  <c r="L72" i="28"/>
  <c r="N58" i="27" s="1"/>
  <c r="N59" i="27" s="1"/>
  <c r="V70" i="28"/>
  <c r="X38" i="27" s="1"/>
  <c r="X39" i="27" s="1"/>
  <c r="I72" i="28"/>
  <c r="AA72" i="28"/>
  <c r="AC58" i="27" s="1"/>
  <c r="AC59" i="27" s="1"/>
  <c r="AC70" i="28"/>
  <c r="AE38" i="27" s="1"/>
  <c r="AE39" i="27" s="1"/>
  <c r="E73" i="28"/>
  <c r="O71" i="28"/>
  <c r="Q48" i="27" s="1"/>
  <c r="Q49" i="27" s="1"/>
  <c r="Q69" i="28"/>
  <c r="S28" i="27" s="1"/>
  <c r="S29" i="27" s="1"/>
  <c r="S73" i="28"/>
  <c r="U68" i="27" s="1"/>
  <c r="U69" i="27" s="1"/>
  <c r="U71" i="28"/>
  <c r="W48" i="27" s="1"/>
  <c r="W49" i="27" s="1"/>
  <c r="AE69" i="28"/>
  <c r="AG28" i="27" s="1"/>
  <c r="AG29" i="27" s="1"/>
  <c r="AG30" i="27" s="1"/>
  <c r="AG31" i="27" s="1"/>
  <c r="F68" i="27"/>
  <c r="F69" i="27" s="1"/>
  <c r="AF41" i="27"/>
  <c r="AM41" i="27"/>
  <c r="AB73" i="28"/>
  <c r="AD68" i="27" s="1"/>
  <c r="AD69" i="27" s="1"/>
  <c r="AQ72" i="28"/>
  <c r="AS58" i="27" s="1"/>
  <c r="AS59" i="27" s="1"/>
  <c r="AS60" i="27" s="1"/>
  <c r="AS61" i="27" s="1"/>
  <c r="AP73" i="28"/>
  <c r="AR68" i="27" s="1"/>
  <c r="G72" i="28"/>
  <c r="AL69" i="28"/>
  <c r="AN28" i="27" s="1"/>
  <c r="AN29" i="27" s="1"/>
  <c r="AN30" i="27" s="1"/>
  <c r="AN31" i="27" s="1"/>
  <c r="AG72" i="28"/>
  <c r="AI58" i="27" s="1"/>
  <c r="AI59" i="27" s="1"/>
  <c r="AI60" i="27" s="1"/>
  <c r="AI61" i="27" s="1"/>
  <c r="AD72" i="28"/>
  <c r="AF58" i="27" s="1"/>
  <c r="AF59" i="27" s="1"/>
  <c r="AF60" i="27" s="1"/>
  <c r="AF61" i="27" s="1"/>
  <c r="AF70" i="28"/>
  <c r="AH38" i="27" s="1"/>
  <c r="AH39" i="27" s="1"/>
  <c r="AH40" i="27" s="1"/>
  <c r="AH41" i="27" s="1"/>
  <c r="D8" i="29"/>
  <c r="G28" i="27"/>
  <c r="G29" i="27" s="1"/>
  <c r="G30" i="27" s="1"/>
  <c r="P73" i="28"/>
  <c r="R68" i="27" s="1"/>
  <c r="R69" i="27" s="1"/>
  <c r="AH71" i="28"/>
  <c r="AJ48" i="27" s="1"/>
  <c r="AJ49" i="27" s="1"/>
  <c r="AJ50" i="27" s="1"/>
  <c r="AJ51" i="27" s="1"/>
  <c r="T69" i="28"/>
  <c r="V28" i="27" s="1"/>
  <c r="V29" i="27" s="1"/>
  <c r="AM73" i="28"/>
  <c r="AO68" i="27" s="1"/>
  <c r="AG71" i="28"/>
  <c r="AI48" i="27" s="1"/>
  <c r="AI49" i="27" s="1"/>
  <c r="AI50" i="27" s="1"/>
  <c r="AI51" i="27" s="1"/>
  <c r="AI69" i="28"/>
  <c r="AK28" i="27" s="1"/>
  <c r="AK29" i="27" s="1"/>
  <c r="AK30" i="27" s="1"/>
  <c r="K72" i="28"/>
  <c r="M70" i="28"/>
  <c r="O38" i="27" s="1"/>
  <c r="O39" i="27" s="1"/>
  <c r="F71" i="28"/>
  <c r="AH72" i="28"/>
  <c r="AJ58" i="27" s="1"/>
  <c r="AJ59" i="27" s="1"/>
  <c r="AJ60" i="27" s="1"/>
  <c r="AJ61" i="27" s="1"/>
  <c r="T70" i="28"/>
  <c r="V38" i="27" s="1"/>
  <c r="V39" i="27" s="1"/>
  <c r="AN72" i="28"/>
  <c r="AP58" i="27" s="1"/>
  <c r="AP59" i="27" s="1"/>
  <c r="AP60" i="27" s="1"/>
  <c r="AP61" i="27" s="1"/>
  <c r="E71" i="28"/>
  <c r="O69" i="28"/>
  <c r="Q28" i="27" s="1"/>
  <c r="Q29" i="27" s="1"/>
  <c r="AB69" i="28"/>
  <c r="AD28" i="27" s="1"/>
  <c r="AD29" i="27" s="1"/>
  <c r="AQ73" i="28"/>
  <c r="AS68" i="27" s="1"/>
  <c r="AS69" i="27" s="1"/>
  <c r="AH73" i="28"/>
  <c r="AJ68" i="27" s="1"/>
  <c r="T71" i="28"/>
  <c r="V48" i="27" s="1"/>
  <c r="V49" i="27" s="1"/>
  <c r="AD69" i="28"/>
  <c r="AF28" i="27" s="1"/>
  <c r="AF29" i="27" s="1"/>
  <c r="AF30" i="27" s="1"/>
  <c r="AF31" i="27" s="1"/>
  <c r="V71" i="28"/>
  <c r="X48" i="27" s="1"/>
  <c r="X49" i="27" s="1"/>
  <c r="V72" i="28"/>
  <c r="X58" i="27" s="1"/>
  <c r="X59" i="27" s="1"/>
  <c r="P70" i="28"/>
  <c r="R38" i="27" s="1"/>
  <c r="R39" i="27" s="1"/>
  <c r="H73" i="28"/>
  <c r="R71" i="28"/>
  <c r="T48" i="27" s="1"/>
  <c r="T49" i="27" s="1"/>
  <c r="L69" i="28"/>
  <c r="AE73" i="28"/>
  <c r="AG68" i="27" s="1"/>
  <c r="AA69" i="28"/>
  <c r="AC28" i="27" s="1"/>
  <c r="AC29" i="27" s="1"/>
  <c r="AL73" i="28"/>
  <c r="AN68" i="27" s="1"/>
  <c r="AF69" i="28"/>
  <c r="AH28" i="27" s="1"/>
  <c r="AH29" i="27" s="1"/>
  <c r="AH30" i="27" s="1"/>
  <c r="AH31" i="27" s="1"/>
  <c r="R72" i="28"/>
  <c r="T58" i="27" s="1"/>
  <c r="T59" i="27" s="1"/>
  <c r="L70" i="28"/>
  <c r="N38" i="27" s="1"/>
  <c r="N39" i="27" s="1"/>
  <c r="Q72" i="28"/>
  <c r="S58" i="27" s="1"/>
  <c r="S59" i="27" s="1"/>
  <c r="AF72" i="28"/>
  <c r="AH58" i="27" s="1"/>
  <c r="AH59" i="27" s="1"/>
  <c r="AH60" i="27" s="1"/>
  <c r="AH61" i="27" s="1"/>
  <c r="AP70" i="28"/>
  <c r="AR38" i="27" s="1"/>
  <c r="AR39" i="27" s="1"/>
  <c r="AR40" i="27" s="1"/>
  <c r="AR41" i="27" s="1"/>
  <c r="G69" i="28"/>
  <c r="AI41" i="27"/>
  <c r="AG61" i="27"/>
  <c r="AJ31" i="27"/>
  <c r="R73" i="28"/>
  <c r="T68" i="27" s="1"/>
  <c r="T69" i="27" s="1"/>
  <c r="L71" i="28"/>
  <c r="N48" i="27" s="1"/>
  <c r="N49" i="27" s="1"/>
  <c r="V69" i="28"/>
  <c r="X28" i="27" s="1"/>
  <c r="X29" i="27" s="1"/>
  <c r="H69" i="28"/>
  <c r="F72" i="28"/>
  <c r="H70" i="28"/>
  <c r="J71" i="28"/>
  <c r="D69" i="28"/>
  <c r="W73" i="28"/>
  <c r="Y68" i="27" s="1"/>
  <c r="Y69" i="27" s="1"/>
  <c r="Q71" i="28"/>
  <c r="S48" i="27" s="1"/>
  <c r="S49" i="27" s="1"/>
  <c r="S69" i="28"/>
  <c r="U28" i="27" s="1"/>
  <c r="U29" i="27" s="1"/>
  <c r="AD73" i="28"/>
  <c r="AF68" i="27" s="1"/>
  <c r="AK73" i="28"/>
  <c r="AM68" i="27" s="1"/>
  <c r="J72" i="28"/>
  <c r="D70" i="28"/>
  <c r="AA70" i="28"/>
  <c r="AC38" i="27" s="1"/>
  <c r="AC39" i="27" s="1"/>
  <c r="P72" i="28"/>
  <c r="R58" i="27" s="1"/>
  <c r="R59" i="27" s="1"/>
  <c r="AH70" i="28"/>
  <c r="AJ38" i="27" s="1"/>
  <c r="AJ39" i="27" s="1"/>
  <c r="AJ40" i="27" s="1"/>
  <c r="AJ41" i="27" s="1"/>
  <c r="J73" i="28"/>
  <c r="F69" i="28"/>
  <c r="AG73" i="28"/>
  <c r="AI68" i="27" s="1"/>
  <c r="AI71" i="28"/>
  <c r="AK48" i="27" s="1"/>
  <c r="AK49" i="27" s="1"/>
  <c r="AK50" i="27" s="1"/>
  <c r="AK51" i="27" s="1"/>
  <c r="AC72" i="28"/>
  <c r="AE58" i="27" s="1"/>
  <c r="AE59" i="27" s="1"/>
  <c r="AM70" i="28"/>
  <c r="AO38" i="27" s="1"/>
  <c r="AO39" i="27" s="1"/>
  <c r="AO40" i="27" s="1"/>
  <c r="AO41" i="27" s="1"/>
  <c r="K69" i="28"/>
  <c r="P71" i="28"/>
  <c r="R48" i="27" s="1"/>
  <c r="R49" i="27" s="1"/>
  <c r="AC73" i="28"/>
  <c r="AE68" i="27" s="1"/>
  <c r="AE69" i="27" s="1"/>
  <c r="AM71" i="28"/>
  <c r="AO48" i="27" s="1"/>
  <c r="AO49" i="27" s="1"/>
  <c r="AO50" i="27" s="1"/>
  <c r="AO51" i="27" s="1"/>
  <c r="AG69" i="28"/>
  <c r="AI28" i="27" s="1"/>
  <c r="AI29" i="27" s="1"/>
  <c r="AI30" i="27" s="1"/>
  <c r="AI31" i="27" s="1"/>
  <c r="H72" i="28"/>
  <c r="R70" i="28"/>
  <c r="T38" i="27" s="1"/>
  <c r="T39" i="27" s="1"/>
  <c r="AJ36" i="28"/>
  <c r="AO72" i="28"/>
  <c r="AQ58" i="27" s="1"/>
  <c r="AQ59" i="27" s="1"/>
  <c r="AQ60" i="27" s="1"/>
  <c r="AQ61" i="27" s="1"/>
  <c r="AM72" i="28"/>
  <c r="AO58" i="27" s="1"/>
  <c r="AO59" i="27" s="1"/>
  <c r="AO60" i="27" s="1"/>
  <c r="AO61" i="27" s="1"/>
  <c r="AA71" i="28"/>
  <c r="AC48" i="27" s="1"/>
  <c r="AC49" i="27" s="1"/>
  <c r="AD71" i="28"/>
  <c r="AF48" i="27" s="1"/>
  <c r="AF49" i="27" s="1"/>
  <c r="AF50" i="27" s="1"/>
  <c r="AF51" i="27" s="1"/>
  <c r="U72" i="28"/>
  <c r="W58" i="27" s="1"/>
  <c r="W59" i="27" s="1"/>
  <c r="AE70" i="28"/>
  <c r="AG38" i="27" s="1"/>
  <c r="AG39" i="27" s="1"/>
  <c r="AG40" i="27" s="1"/>
  <c r="AG41" i="27" s="1"/>
  <c r="AE71" i="28"/>
  <c r="AG48" i="27" s="1"/>
  <c r="AG49" i="27" s="1"/>
  <c r="AG50" i="27" s="1"/>
  <c r="AG51" i="27" s="1"/>
  <c r="AI73" i="28"/>
  <c r="AK68" i="27" s="1"/>
  <c r="AK71" i="28"/>
  <c r="AM48" i="27" s="1"/>
  <c r="AM49" i="27" s="1"/>
  <c r="AM50" i="27" s="1"/>
  <c r="AM51" i="27" s="1"/>
  <c r="J70" i="28"/>
  <c r="S70" i="28"/>
  <c r="U38" i="27" s="1"/>
  <c r="U39" i="27" s="1"/>
  <c r="P36" i="28"/>
  <c r="N71" i="28"/>
  <c r="P48" i="27" s="1"/>
  <c r="P49" i="27" s="1"/>
  <c r="X72" i="28"/>
  <c r="Z58" i="27" s="1"/>
  <c r="Z59" i="27" s="1"/>
  <c r="AK61" i="27"/>
  <c r="AO73" i="28"/>
  <c r="AQ68" i="27" s="1"/>
  <c r="AQ69" i="27" s="1"/>
  <c r="AW72" i="28"/>
  <c r="AY58" i="27" s="1"/>
  <c r="AY59" i="27" s="1"/>
  <c r="AY60" i="27" s="1"/>
  <c r="AY61" i="27" s="1"/>
  <c r="AC69" i="28"/>
  <c r="AE28" i="27" s="1"/>
  <c r="AE29" i="27" s="1"/>
  <c r="M72" i="28"/>
  <c r="O58" i="27" s="1"/>
  <c r="O59" i="27" s="1"/>
  <c r="W70" i="28"/>
  <c r="Y38" i="27" s="1"/>
  <c r="Y39" i="27" s="1"/>
  <c r="T72" i="28"/>
  <c r="V58" i="27" s="1"/>
  <c r="V59" i="27" s="1"/>
  <c r="AY28" i="27"/>
  <c r="AY29" i="27" s="1"/>
  <c r="AY30" i="27" s="1"/>
  <c r="AY69" i="27"/>
  <c r="AW71" i="28"/>
  <c r="AY48" i="27" s="1"/>
  <c r="AY49" i="27" s="1"/>
  <c r="AY50" i="27" s="1"/>
  <c r="AY51" i="27" s="1"/>
  <c r="AW36" i="28"/>
  <c r="AY27" i="27"/>
  <c r="AU36" i="28"/>
  <c r="AW16" i="27"/>
  <c r="AW28" i="27"/>
  <c r="AW29" i="27" s="1"/>
  <c r="AW30" i="27" s="1"/>
  <c r="AW69" i="27"/>
  <c r="AT73" i="28"/>
  <c r="AV68" i="27" s="1"/>
  <c r="AT69" i="28"/>
  <c r="AT70" i="28"/>
  <c r="AV38" i="27" s="1"/>
  <c r="AV39" i="27" s="1"/>
  <c r="AV40" i="27" s="1"/>
  <c r="AV41" i="27" s="1"/>
  <c r="AV61" i="27"/>
  <c r="AT71" i="28"/>
  <c r="AV48" i="27" s="1"/>
  <c r="AV49" i="27" s="1"/>
  <c r="AV50" i="27" s="1"/>
  <c r="AV51" i="27" s="1"/>
  <c r="AV16" i="27"/>
  <c r="AT36" i="28"/>
  <c r="AU51" i="27"/>
  <c r="AS72" i="28"/>
  <c r="AU58" i="27" s="1"/>
  <c r="AU59" i="27" s="1"/>
  <c r="AU60" i="27" s="1"/>
  <c r="AU61" i="27" s="1"/>
  <c r="AS73" i="28"/>
  <c r="AU68" i="27" s="1"/>
  <c r="AS69" i="28"/>
  <c r="AS70" i="28"/>
  <c r="AU38" i="27" s="1"/>
  <c r="AU39" i="27" s="1"/>
  <c r="AU40" i="27" s="1"/>
  <c r="AU41" i="27" s="1"/>
  <c r="AS36" i="28"/>
  <c r="AU27" i="27"/>
  <c r="AU16" i="27" s="1"/>
  <c r="AR71" i="28"/>
  <c r="AT48" i="27" s="1"/>
  <c r="AT49" i="27" s="1"/>
  <c r="AT50" i="27" s="1"/>
  <c r="AT51" i="27" s="1"/>
  <c r="AR72" i="28"/>
  <c r="AT58" i="27" s="1"/>
  <c r="AT59" i="27" s="1"/>
  <c r="AT60" i="27" s="1"/>
  <c r="AT61" i="27" s="1"/>
  <c r="AR69" i="28"/>
  <c r="AT28" i="27" s="1"/>
  <c r="AT29" i="27" s="1"/>
  <c r="AT30" i="27" s="1"/>
  <c r="AR73" i="28"/>
  <c r="AT68" i="27" s="1"/>
  <c r="AR36" i="28"/>
  <c r="AT27" i="27"/>
  <c r="AQ36" i="28"/>
  <c r="AS28" i="27"/>
  <c r="AS29" i="27" s="1"/>
  <c r="AS30" i="27" s="1"/>
  <c r="AS31" i="27" s="1"/>
  <c r="AP36" i="28"/>
  <c r="AR16" i="27"/>
  <c r="AQ51" i="27"/>
  <c r="AO70" i="28"/>
  <c r="AQ38" i="27" s="1"/>
  <c r="AQ39" i="27" s="1"/>
  <c r="AQ40" i="27" s="1"/>
  <c r="AQ41" i="27" s="1"/>
  <c r="AO36" i="28"/>
  <c r="AQ27" i="27"/>
  <c r="AQ16" i="27" s="1"/>
  <c r="AN36" i="28"/>
  <c r="AP16" i="27"/>
  <c r="AO16" i="27"/>
  <c r="AM36" i="28"/>
  <c r="AN16" i="27"/>
  <c r="AM16" i="27"/>
  <c r="AL16" i="27"/>
  <c r="AJ70" i="28"/>
  <c r="AL38" i="27" s="1"/>
  <c r="AL39" i="27" s="1"/>
  <c r="AL40" i="27" s="1"/>
  <c r="AL41" i="27" s="1"/>
  <c r="AJ71" i="28"/>
  <c r="AL48" i="27" s="1"/>
  <c r="AL49" i="27" s="1"/>
  <c r="AL50" i="27" s="1"/>
  <c r="AL51" i="27" s="1"/>
  <c r="AJ72" i="28"/>
  <c r="AL58" i="27" s="1"/>
  <c r="AL59" i="27" s="1"/>
  <c r="AL60" i="27" s="1"/>
  <c r="AL61" i="27" s="1"/>
  <c r="AJ73" i="28"/>
  <c r="AL68" i="27" s="1"/>
  <c r="AI36" i="28"/>
  <c r="AK27" i="27"/>
  <c r="AJ16" i="27"/>
  <c r="AI16" i="27"/>
  <c r="AH16" i="27"/>
  <c r="AF36" i="28"/>
  <c r="AG16" i="27"/>
  <c r="AF16" i="27"/>
  <c r="AB36" i="28"/>
  <c r="AB70" i="28"/>
  <c r="AD38" i="27" s="1"/>
  <c r="AD39" i="27" s="1"/>
  <c r="Z16" i="27"/>
  <c r="Z71" i="28"/>
  <c r="AB48" i="27" s="1"/>
  <c r="AB49" i="27" s="1"/>
  <c r="Z72" i="28"/>
  <c r="AB58" i="27" s="1"/>
  <c r="AB59" i="27" s="1"/>
  <c r="Z73" i="28"/>
  <c r="AB68" i="27" s="1"/>
  <c r="AB69" i="27" s="1"/>
  <c r="X36" i="28"/>
  <c r="X73" i="28"/>
  <c r="Z68" i="27" s="1"/>
  <c r="X69" i="28"/>
  <c r="W36" i="28"/>
  <c r="S36" i="28"/>
  <c r="N72" i="28"/>
  <c r="P58" i="27" s="1"/>
  <c r="P59" i="27" s="1"/>
  <c r="N73" i="28"/>
  <c r="P68" i="27" s="1"/>
  <c r="P69" i="27" s="1"/>
  <c r="F36" i="28"/>
  <c r="D36" i="28"/>
  <c r="F67" i="27"/>
  <c r="F16" i="27" s="1"/>
  <c r="R36" i="28"/>
  <c r="AA36" i="28"/>
  <c r="AE36" i="28"/>
  <c r="K36" i="28"/>
  <c r="O36" i="28"/>
  <c r="AH36" i="28"/>
  <c r="J36" i="28"/>
  <c r="AK36" i="28"/>
  <c r="AC36" i="28"/>
  <c r="V36" i="28"/>
  <c r="Z36" i="28"/>
  <c r="N36" i="28"/>
  <c r="AD36" i="28"/>
  <c r="AL36" i="28"/>
  <c r="Y36" i="28"/>
  <c r="M36" i="28"/>
  <c r="AG36" i="28"/>
  <c r="Q36" i="28"/>
  <c r="E36" i="28"/>
  <c r="U36" i="28"/>
  <c r="T34" i="28"/>
  <c r="V57" i="27" s="1"/>
  <c r="T20" i="28"/>
  <c r="I36" i="28"/>
  <c r="T33" i="28"/>
  <c r="V47" i="27" s="1"/>
  <c r="T31" i="28"/>
  <c r="V27" i="27" s="1"/>
  <c r="T35" i="28"/>
  <c r="V67" i="27" s="1"/>
  <c r="CE43" i="28" l="1"/>
  <c r="CE42" i="28"/>
  <c r="F58" i="27"/>
  <c r="F59" i="27" s="1"/>
  <c r="F60" i="27" s="1"/>
  <c r="CE41" i="28"/>
  <c r="I38" i="27"/>
  <c r="I39" i="27" s="1"/>
  <c r="I40" i="27" s="1"/>
  <c r="H38" i="27"/>
  <c r="H39" i="27" s="1"/>
  <c r="H40" i="27" s="1"/>
  <c r="J48" i="29"/>
  <c r="J51" i="29" s="1"/>
  <c r="AK74" i="28"/>
  <c r="I74" i="28"/>
  <c r="K28" i="27"/>
  <c r="K29" i="27" s="1"/>
  <c r="K30" i="27" s="1"/>
  <c r="M74" i="28"/>
  <c r="T74" i="28"/>
  <c r="AN74" i="28"/>
  <c r="G74" i="28"/>
  <c r="AU74" i="28"/>
  <c r="F28" i="29"/>
  <c r="F29" i="29" s="1"/>
  <c r="F30" i="29" s="1"/>
  <c r="K38" i="27"/>
  <c r="K39" i="27" s="1"/>
  <c r="K40" i="27" s="1"/>
  <c r="AG74" i="28"/>
  <c r="R74" i="28"/>
  <c r="AD74" i="28"/>
  <c r="G31" i="27"/>
  <c r="S74" i="28"/>
  <c r="J74" i="28"/>
  <c r="AK31" i="27"/>
  <c r="AA28" i="27"/>
  <c r="AA29" i="27" s="1"/>
  <c r="Y74" i="28"/>
  <c r="Z74" i="28"/>
  <c r="AH74" i="28"/>
  <c r="AL74" i="28"/>
  <c r="N74" i="28"/>
  <c r="Q74" i="28"/>
  <c r="AA74" i="28"/>
  <c r="O74" i="28"/>
  <c r="V74" i="28"/>
  <c r="AC74" i="28"/>
  <c r="U74" i="28"/>
  <c r="T18" i="27"/>
  <c r="AY31" i="27"/>
  <c r="AQ74" i="28"/>
  <c r="I48" i="29"/>
  <c r="L68" i="27"/>
  <c r="L69" i="27" s="1"/>
  <c r="C18" i="29"/>
  <c r="F38" i="27"/>
  <c r="F39" i="27" s="1"/>
  <c r="F40" i="27" s="1"/>
  <c r="I28" i="29"/>
  <c r="L48" i="27"/>
  <c r="L49" i="27" s="1"/>
  <c r="L50" i="27" s="1"/>
  <c r="F8" i="29"/>
  <c r="I28" i="27"/>
  <c r="I29" i="27" s="1"/>
  <c r="I30" i="27" s="1"/>
  <c r="F38" i="29"/>
  <c r="I58" i="27"/>
  <c r="I59" i="27" s="1"/>
  <c r="I60" i="27" s="1"/>
  <c r="D48" i="29"/>
  <c r="G68" i="27"/>
  <c r="G69" i="27" s="1"/>
  <c r="J49" i="29"/>
  <c r="J50" i="29" s="1"/>
  <c r="J19" i="29"/>
  <c r="J20" i="29" s="1"/>
  <c r="J21" i="29"/>
  <c r="E19" i="29"/>
  <c r="E20" i="29" s="1"/>
  <c r="E21" i="29"/>
  <c r="AR69" i="27"/>
  <c r="AR17" i="27"/>
  <c r="F19" i="29"/>
  <c r="F20" i="29" s="1"/>
  <c r="F21" i="29"/>
  <c r="AH18" i="27"/>
  <c r="AH70" i="27"/>
  <c r="AB74" i="28"/>
  <c r="AW17" i="27"/>
  <c r="J8" i="29"/>
  <c r="M28" i="27"/>
  <c r="AM69" i="27"/>
  <c r="AM17" i="27"/>
  <c r="E38" i="29"/>
  <c r="H58" i="27"/>
  <c r="H59" i="27" s="1"/>
  <c r="H60" i="27" s="1"/>
  <c r="N28" i="27"/>
  <c r="N29" i="27" s="1"/>
  <c r="L74" i="28"/>
  <c r="AJ69" i="27"/>
  <c r="AJ17" i="27"/>
  <c r="AP17" i="27"/>
  <c r="AP69" i="27"/>
  <c r="AH17" i="27"/>
  <c r="D19" i="29"/>
  <c r="D20" i="29" s="1"/>
  <c r="D21" i="29"/>
  <c r="C29" i="29"/>
  <c r="C30" i="29" s="1"/>
  <c r="C31" i="29"/>
  <c r="C32" i="29" s="1"/>
  <c r="C33" i="29" s="1"/>
  <c r="C34" i="29" s="1"/>
  <c r="AF69" i="27"/>
  <c r="AF17" i="27"/>
  <c r="G8" i="29"/>
  <c r="J28" i="27"/>
  <c r="J29" i="27" s="1"/>
  <c r="J30" i="27" s="1"/>
  <c r="H74" i="28"/>
  <c r="C39" i="29"/>
  <c r="C40" i="29" s="1"/>
  <c r="C41" i="29"/>
  <c r="J38" i="29"/>
  <c r="M58" i="27"/>
  <c r="M59" i="27" s="1"/>
  <c r="M60" i="27" s="1"/>
  <c r="D9" i="29"/>
  <c r="D10" i="29" s="1"/>
  <c r="D11" i="29"/>
  <c r="H70" i="27"/>
  <c r="I70" i="27"/>
  <c r="I9" i="29"/>
  <c r="I10" i="29" s="1"/>
  <c r="I11" i="29"/>
  <c r="I38" i="29"/>
  <c r="L58" i="27"/>
  <c r="L59" i="27" s="1"/>
  <c r="L60" i="27" s="1"/>
  <c r="AG69" i="27"/>
  <c r="AG17" i="27"/>
  <c r="D38" i="29"/>
  <c r="G58" i="27"/>
  <c r="G59" i="27" s="1"/>
  <c r="G60" i="27" s="1"/>
  <c r="E74" i="28"/>
  <c r="H19" i="29"/>
  <c r="H20" i="29" s="1"/>
  <c r="H21" i="29"/>
  <c r="G48" i="29"/>
  <c r="J68" i="27"/>
  <c r="J69" i="27" s="1"/>
  <c r="H38" i="29"/>
  <c r="K58" i="27"/>
  <c r="K59" i="27" s="1"/>
  <c r="K60" i="27" s="1"/>
  <c r="J28" i="29"/>
  <c r="M48" i="27"/>
  <c r="M49" i="27" s="1"/>
  <c r="M50" i="27" s="1"/>
  <c r="E49" i="29"/>
  <c r="E50" i="29" s="1"/>
  <c r="E51" i="29"/>
  <c r="F49" i="29"/>
  <c r="F50" i="29" s="1"/>
  <c r="F51" i="29"/>
  <c r="G38" i="29"/>
  <c r="J58" i="27"/>
  <c r="J59" i="27" s="1"/>
  <c r="J60" i="27" s="1"/>
  <c r="D28" i="29"/>
  <c r="G48" i="27"/>
  <c r="G49" i="27" s="1"/>
  <c r="G50" i="27" s="1"/>
  <c r="H48" i="29"/>
  <c r="K68" i="27"/>
  <c r="K69" i="27" s="1"/>
  <c r="P74" i="28"/>
  <c r="AK69" i="27"/>
  <c r="AK17" i="27"/>
  <c r="AI69" i="27"/>
  <c r="AI17" i="27"/>
  <c r="AO17" i="27"/>
  <c r="AO69" i="27"/>
  <c r="F70" i="27"/>
  <c r="H29" i="29"/>
  <c r="H30" i="29" s="1"/>
  <c r="H31" i="29"/>
  <c r="G29" i="29"/>
  <c r="G30" i="29" s="1"/>
  <c r="G31" i="29"/>
  <c r="R18" i="27"/>
  <c r="G18" i="29"/>
  <c r="J38" i="27"/>
  <c r="J39" i="27" s="1"/>
  <c r="J40" i="27" s="1"/>
  <c r="E28" i="29"/>
  <c r="H48" i="27"/>
  <c r="H49" i="27" s="1"/>
  <c r="H50" i="27" s="1"/>
  <c r="I18" i="29"/>
  <c r="L38" i="27"/>
  <c r="L39" i="27" s="1"/>
  <c r="L40" i="27" s="1"/>
  <c r="E8" i="29"/>
  <c r="H28" i="27"/>
  <c r="H29" i="27" s="1"/>
  <c r="H30" i="27" s="1"/>
  <c r="F74" i="28"/>
  <c r="C8" i="29"/>
  <c r="F28" i="27"/>
  <c r="F29" i="27" s="1"/>
  <c r="F30" i="27" s="1"/>
  <c r="AN69" i="27"/>
  <c r="AN17" i="27"/>
  <c r="H11" i="29"/>
  <c r="H9" i="29"/>
  <c r="H10" i="29" s="1"/>
  <c r="C49" i="29"/>
  <c r="C50" i="29" s="1"/>
  <c r="C51" i="29"/>
  <c r="M70" i="27"/>
  <c r="AP74" i="28"/>
  <c r="AY17" i="27"/>
  <c r="AY70" i="27"/>
  <c r="AY18" i="27"/>
  <c r="AW74" i="28"/>
  <c r="AY16" i="27"/>
  <c r="AW31" i="27"/>
  <c r="AW70" i="27"/>
  <c r="AW71" i="27" s="1"/>
  <c r="AW18" i="27"/>
  <c r="AV28" i="27"/>
  <c r="AV29" i="27" s="1"/>
  <c r="AT74" i="28"/>
  <c r="AV69" i="27"/>
  <c r="AU28" i="27"/>
  <c r="AU29" i="27" s="1"/>
  <c r="AU30" i="27" s="1"/>
  <c r="AU31" i="27" s="1"/>
  <c r="AS74" i="28"/>
  <c r="AU69" i="27"/>
  <c r="AT69" i="27"/>
  <c r="AT17" i="27"/>
  <c r="AR74" i="28"/>
  <c r="AT31" i="27"/>
  <c r="AT16" i="27"/>
  <c r="AS17" i="27"/>
  <c r="AS70" i="27"/>
  <c r="AS18" i="27"/>
  <c r="AO74" i="28"/>
  <c r="AQ17" i="27"/>
  <c r="AQ31" i="27"/>
  <c r="AQ70" i="27"/>
  <c r="AQ18" i="27"/>
  <c r="AL69" i="27"/>
  <c r="AL17" i="27"/>
  <c r="AK16" i="27"/>
  <c r="Z69" i="27"/>
  <c r="Z28" i="27"/>
  <c r="Z29" i="27" s="1"/>
  <c r="Z30" i="27" s="1"/>
  <c r="Z31" i="27" s="1"/>
  <c r="X74" i="28"/>
  <c r="AM74" i="28"/>
  <c r="AI74" i="28"/>
  <c r="AF74" i="28"/>
  <c r="W74" i="28"/>
  <c r="AJ74" i="28"/>
  <c r="D74" i="28"/>
  <c r="T36" i="28"/>
  <c r="CE44" i="28" s="1"/>
  <c r="AE74" i="28"/>
  <c r="K74" i="28"/>
  <c r="F31" i="29" l="1"/>
  <c r="AV17" i="27"/>
  <c r="AU17" i="27"/>
  <c r="F18" i="27"/>
  <c r="C9" i="29"/>
  <c r="C10" i="29" s="1"/>
  <c r="C11" i="29"/>
  <c r="C12" i="29" s="1"/>
  <c r="C13" i="29" s="1"/>
  <c r="C14" i="29" s="1"/>
  <c r="D12" i="29" s="1"/>
  <c r="D13" i="29" s="1"/>
  <c r="D14" i="29" s="1"/>
  <c r="E29" i="29"/>
  <c r="E30" i="29" s="1"/>
  <c r="E31" i="29"/>
  <c r="AK70" i="27"/>
  <c r="AK18" i="27"/>
  <c r="J70" i="27"/>
  <c r="J19" i="27" s="1"/>
  <c r="J18" i="27"/>
  <c r="AG70" i="27"/>
  <c r="AG18" i="27"/>
  <c r="H19" i="27"/>
  <c r="E39" i="29"/>
  <c r="E40" i="29" s="1"/>
  <c r="E41" i="29"/>
  <c r="D49" i="29"/>
  <c r="D50" i="29" s="1"/>
  <c r="D51" i="29"/>
  <c r="C19" i="29"/>
  <c r="C20" i="29" s="1"/>
  <c r="C21" i="29"/>
  <c r="C52" i="29"/>
  <c r="C53" i="29" s="1"/>
  <c r="C54" i="29" s="1"/>
  <c r="G19" i="29"/>
  <c r="G20" i="29" s="1"/>
  <c r="G21" i="29"/>
  <c r="K70" i="27"/>
  <c r="K19" i="27" s="1"/>
  <c r="K18" i="27"/>
  <c r="I39" i="29"/>
  <c r="I40" i="29" s="1"/>
  <c r="I41" i="29"/>
  <c r="AM70" i="27"/>
  <c r="AM18" i="27"/>
  <c r="AH19" i="27"/>
  <c r="AH71" i="27"/>
  <c r="AH20" i="27" s="1"/>
  <c r="F39" i="29"/>
  <c r="F40" i="29" s="1"/>
  <c r="F41" i="29"/>
  <c r="I49" i="29"/>
  <c r="I50" i="29" s="1"/>
  <c r="I51" i="29"/>
  <c r="E11" i="29"/>
  <c r="E9" i="29"/>
  <c r="E10" i="29" s="1"/>
  <c r="AO18" i="27"/>
  <c r="AO70" i="27"/>
  <c r="H49" i="29"/>
  <c r="H50" i="29" s="1"/>
  <c r="H51" i="29"/>
  <c r="AF70" i="27"/>
  <c r="AF18" i="27"/>
  <c r="AP70" i="27"/>
  <c r="AP18" i="27"/>
  <c r="J39" i="29"/>
  <c r="J40" i="29" s="1"/>
  <c r="J41" i="29"/>
  <c r="AJ70" i="27"/>
  <c r="AJ18" i="27"/>
  <c r="F9" i="29"/>
  <c r="F10" i="29" s="1"/>
  <c r="F11" i="29"/>
  <c r="I19" i="29"/>
  <c r="I20" i="29" s="1"/>
  <c r="I21" i="29"/>
  <c r="D31" i="29"/>
  <c r="D32" i="29" s="1"/>
  <c r="D33" i="29" s="1"/>
  <c r="D34" i="29" s="1"/>
  <c r="D29" i="29"/>
  <c r="D30" i="29" s="1"/>
  <c r="J29" i="29"/>
  <c r="J30" i="29" s="1"/>
  <c r="J31" i="29"/>
  <c r="I18" i="27"/>
  <c r="C42" i="29"/>
  <c r="C43" i="29" s="1"/>
  <c r="C44" i="29" s="1"/>
  <c r="M29" i="27"/>
  <c r="M30" i="27" s="1"/>
  <c r="M19" i="27" s="1"/>
  <c r="M31" i="27"/>
  <c r="L70" i="27"/>
  <c r="L19" i="27" s="1"/>
  <c r="L18" i="27"/>
  <c r="AN70" i="27"/>
  <c r="AN18" i="27"/>
  <c r="AI70" i="27"/>
  <c r="AI18" i="27"/>
  <c r="D39" i="29"/>
  <c r="D40" i="29" s="1"/>
  <c r="D41" i="29"/>
  <c r="I19" i="27"/>
  <c r="N30" i="27"/>
  <c r="N31" i="27" s="1"/>
  <c r="N18" i="27"/>
  <c r="J9" i="29"/>
  <c r="J10" i="29" s="1"/>
  <c r="J11" i="29"/>
  <c r="I29" i="29"/>
  <c r="I30" i="29" s="1"/>
  <c r="I31" i="29"/>
  <c r="G49" i="29"/>
  <c r="G50" i="29" s="1"/>
  <c r="G51" i="29"/>
  <c r="G9" i="29"/>
  <c r="G10" i="29" s="1"/>
  <c r="G11" i="29"/>
  <c r="G39" i="29"/>
  <c r="G40" i="29" s="1"/>
  <c r="G41" i="29"/>
  <c r="H39" i="29"/>
  <c r="H40" i="29" s="1"/>
  <c r="H41" i="29"/>
  <c r="H18" i="27"/>
  <c r="AR70" i="27"/>
  <c r="AR18" i="27"/>
  <c r="G70" i="27"/>
  <c r="G19" i="27" s="1"/>
  <c r="G18" i="27"/>
  <c r="F19" i="27"/>
  <c r="AY19" i="27"/>
  <c r="AY71" i="27"/>
  <c r="AV30" i="27"/>
  <c r="AV31" i="27" s="1"/>
  <c r="AW19" i="27"/>
  <c r="AV70" i="27"/>
  <c r="AV18" i="27"/>
  <c r="AU70" i="27"/>
  <c r="AU18" i="27"/>
  <c r="AT70" i="27"/>
  <c r="AT18" i="27"/>
  <c r="AS19" i="27"/>
  <c r="AS71" i="27"/>
  <c r="AQ19" i="27"/>
  <c r="AQ71" i="27"/>
  <c r="AL70" i="27"/>
  <c r="AL18" i="27"/>
  <c r="Z17" i="27"/>
  <c r="Z18" i="27"/>
  <c r="E32" i="29" l="1"/>
  <c r="E33" i="29" s="1"/>
  <c r="E34" i="29" s="1"/>
  <c r="F32" i="29" s="1"/>
  <c r="F33" i="29" s="1"/>
  <c r="F34" i="29" s="1"/>
  <c r="G32" i="29" s="1"/>
  <c r="G33" i="29" s="1"/>
  <c r="G34" i="29" s="1"/>
  <c r="H32" i="29" s="1"/>
  <c r="H33" i="29" s="1"/>
  <c r="H34" i="29" s="1"/>
  <c r="I32" i="29" s="1"/>
  <c r="I33" i="29" s="1"/>
  <c r="I34" i="29" s="1"/>
  <c r="J32" i="29" s="1"/>
  <c r="J33" i="29" s="1"/>
  <c r="J34" i="29" s="1"/>
  <c r="M18" i="27"/>
  <c r="E12" i="29"/>
  <c r="E13" i="29" s="1"/>
  <c r="E14" i="29" s="1"/>
  <c r="F12" i="29" s="1"/>
  <c r="F13" i="29" s="1"/>
  <c r="F14" i="29" s="1"/>
  <c r="G12" i="29" s="1"/>
  <c r="G13" i="29" s="1"/>
  <c r="G14" i="29" s="1"/>
  <c r="H12" i="29" s="1"/>
  <c r="H13" i="29" s="1"/>
  <c r="H14" i="29" s="1"/>
  <c r="I12" i="29" s="1"/>
  <c r="I13" i="29" s="1"/>
  <c r="I14" i="29" s="1"/>
  <c r="J12" i="29" s="1"/>
  <c r="J13" i="29" s="1"/>
  <c r="J14" i="29" s="1"/>
  <c r="C22" i="29"/>
  <c r="C23" i="29" s="1"/>
  <c r="C24" i="29" s="1"/>
  <c r="D22" i="29" s="1"/>
  <c r="D23" i="29" s="1"/>
  <c r="D24" i="29" s="1"/>
  <c r="E22" i="29" s="1"/>
  <c r="E23" i="29" s="1"/>
  <c r="E24" i="29" s="1"/>
  <c r="F22" i="29" s="1"/>
  <c r="F23" i="29" s="1"/>
  <c r="F24" i="29" s="1"/>
  <c r="G22" i="29" s="1"/>
  <c r="G23" i="29" s="1"/>
  <c r="G24" i="29" s="1"/>
  <c r="H22" i="29" s="1"/>
  <c r="H23" i="29" s="1"/>
  <c r="H24" i="29" s="1"/>
  <c r="I22" i="29" s="1"/>
  <c r="I23" i="29" s="1"/>
  <c r="I24" i="29" s="1"/>
  <c r="J22" i="29" s="1"/>
  <c r="J23" i="29" s="1"/>
  <c r="J24" i="29" s="1"/>
  <c r="AP19" i="27"/>
  <c r="AP71" i="27"/>
  <c r="AP20" i="27" s="1"/>
  <c r="AR19" i="27"/>
  <c r="AR71" i="27"/>
  <c r="AR20" i="27" s="1"/>
  <c r="AI19" i="27"/>
  <c r="AI71" i="27"/>
  <c r="AI20" i="27" s="1"/>
  <c r="AJ19" i="27"/>
  <c r="AJ71" i="27"/>
  <c r="AJ20" i="27" s="1"/>
  <c r="AF19" i="27"/>
  <c r="AF71" i="27"/>
  <c r="AF20" i="27" s="1"/>
  <c r="AG19" i="27"/>
  <c r="AG71" i="27"/>
  <c r="AG20" i="27" s="1"/>
  <c r="AM19" i="27"/>
  <c r="AM71" i="27"/>
  <c r="AM20" i="27" s="1"/>
  <c r="D52" i="29"/>
  <c r="D53" i="29" s="1"/>
  <c r="D54" i="29" s="1"/>
  <c r="E52" i="29" s="1"/>
  <c r="E53" i="29" s="1"/>
  <c r="E54" i="29" s="1"/>
  <c r="F52" i="29" s="1"/>
  <c r="F53" i="29" s="1"/>
  <c r="F54" i="29" s="1"/>
  <c r="G52" i="29" s="1"/>
  <c r="G53" i="29" s="1"/>
  <c r="G54" i="29" s="1"/>
  <c r="H52" i="29" s="1"/>
  <c r="H53" i="29" s="1"/>
  <c r="H54" i="29" s="1"/>
  <c r="I52" i="29" s="1"/>
  <c r="I53" i="29" s="1"/>
  <c r="I54" i="29" s="1"/>
  <c r="J52" i="29" s="1"/>
  <c r="J53" i="29" s="1"/>
  <c r="J54" i="29" s="1"/>
  <c r="AO19" i="27"/>
  <c r="AO71" i="27"/>
  <c r="AO20" i="27" s="1"/>
  <c r="D42" i="29"/>
  <c r="D43" i="29" s="1"/>
  <c r="D44" i="29" s="1"/>
  <c r="E42" i="29" s="1"/>
  <c r="E43" i="29" s="1"/>
  <c r="E44" i="29" s="1"/>
  <c r="F42" i="29" s="1"/>
  <c r="F43" i="29" s="1"/>
  <c r="F44" i="29" s="1"/>
  <c r="G42" i="29" s="1"/>
  <c r="G43" i="29" s="1"/>
  <c r="G44" i="29" s="1"/>
  <c r="H42" i="29" s="1"/>
  <c r="H43" i="29" s="1"/>
  <c r="H44" i="29" s="1"/>
  <c r="I42" i="29" s="1"/>
  <c r="I43" i="29" s="1"/>
  <c r="I44" i="29" s="1"/>
  <c r="J42" i="29" s="1"/>
  <c r="J43" i="29" s="1"/>
  <c r="J44" i="29" s="1"/>
  <c r="AN19" i="27"/>
  <c r="AN71" i="27"/>
  <c r="AN20" i="27" s="1"/>
  <c r="AK19" i="27"/>
  <c r="AK71" i="27"/>
  <c r="AK20" i="27" s="1"/>
  <c r="AY20" i="27"/>
  <c r="AW20" i="27"/>
  <c r="AV19" i="27"/>
  <c r="AV71" i="27"/>
  <c r="AU19" i="27"/>
  <c r="AU71" i="27"/>
  <c r="AT19" i="27"/>
  <c r="AT71" i="27"/>
  <c r="AS20" i="27"/>
  <c r="AQ20" i="27"/>
  <c r="AL19" i="27"/>
  <c r="AL71" i="27"/>
  <c r="AV20" i="27" l="1"/>
  <c r="AU20" i="27"/>
  <c r="AT20" i="27"/>
  <c r="AL20" i="27"/>
  <c r="C8" i="27" l="1"/>
  <c r="C10" i="27" s="1"/>
  <c r="D8" i="27"/>
  <c r="O93" i="27"/>
  <c r="P93" i="27" s="1"/>
  <c r="Q93" i="27" s="1"/>
  <c r="R93" i="27" s="1"/>
  <c r="S93" i="27" s="1"/>
  <c r="T93" i="27" s="1"/>
  <c r="U93" i="27" s="1"/>
  <c r="V93" i="27" s="1"/>
  <c r="W93" i="27" s="1"/>
  <c r="X93" i="27" s="1"/>
  <c r="Y93" i="27" s="1"/>
  <c r="Z93" i="27" s="1"/>
  <c r="AA93" i="27" s="1"/>
  <c r="AB93" i="27" s="1"/>
  <c r="AA87" i="27"/>
  <c r="AA88" i="27" s="1"/>
  <c r="Z87" i="27"/>
  <c r="Z88" i="27" s="1"/>
  <c r="Y87" i="27"/>
  <c r="Y88" i="27" s="1"/>
  <c r="X87" i="27"/>
  <c r="X88" i="27" s="1"/>
  <c r="W87" i="27"/>
  <c r="W88" i="27" s="1"/>
  <c r="V87" i="27"/>
  <c r="V88" i="27" s="1"/>
  <c r="U87" i="27"/>
  <c r="U88" i="27" s="1"/>
  <c r="T87" i="27"/>
  <c r="T88" i="27" s="1"/>
  <c r="S87" i="27"/>
  <c r="S88" i="27" s="1"/>
  <c r="R87" i="27"/>
  <c r="R88" i="27" s="1"/>
  <c r="Q87" i="27"/>
  <c r="Q88" i="27" s="1"/>
  <c r="P87" i="27"/>
  <c r="P88" i="27" s="1"/>
  <c r="O87" i="27"/>
  <c r="O88" i="27" s="1"/>
  <c r="N87" i="27"/>
  <c r="N89" i="27" s="1"/>
  <c r="N91" i="27" s="1"/>
  <c r="X79" i="27"/>
  <c r="AE16" i="27"/>
  <c r="W16" i="27"/>
  <c r="S16" i="27"/>
  <c r="M71" i="27"/>
  <c r="L71" i="27"/>
  <c r="K71" i="27"/>
  <c r="J71" i="27"/>
  <c r="I71" i="27"/>
  <c r="H71" i="27"/>
  <c r="G71" i="27"/>
  <c r="F71" i="27"/>
  <c r="F72" i="27" s="1"/>
  <c r="AB16" i="27"/>
  <c r="P16" i="27"/>
  <c r="M61" i="27"/>
  <c r="L61" i="27"/>
  <c r="K61" i="27"/>
  <c r="J61" i="27"/>
  <c r="I61" i="27"/>
  <c r="H61" i="27"/>
  <c r="G61" i="27"/>
  <c r="F61" i="27"/>
  <c r="F62" i="27" s="1"/>
  <c r="M51" i="27"/>
  <c r="L51" i="27"/>
  <c r="K51" i="27"/>
  <c r="J51" i="27"/>
  <c r="I51" i="27"/>
  <c r="H51" i="27"/>
  <c r="G51" i="27"/>
  <c r="F51" i="27"/>
  <c r="F52" i="27" s="1"/>
  <c r="M41" i="27"/>
  <c r="L41" i="27"/>
  <c r="K41" i="27"/>
  <c r="J41" i="27"/>
  <c r="I41" i="27"/>
  <c r="H41" i="27"/>
  <c r="G41" i="27"/>
  <c r="F41" i="27"/>
  <c r="F42" i="27" s="1"/>
  <c r="H31" i="27"/>
  <c r="AC16" i="27"/>
  <c r="Y16" i="27"/>
  <c r="U16" i="27"/>
  <c r="Q16" i="27"/>
  <c r="L31" i="27"/>
  <c r="K31" i="27"/>
  <c r="J31" i="27"/>
  <c r="F31" i="27"/>
  <c r="F32" i="27" s="1"/>
  <c r="AB17" i="27"/>
  <c r="AA17" i="27"/>
  <c r="X17" i="27"/>
  <c r="V17" i="27"/>
  <c r="T17" i="27"/>
  <c r="O17" i="27"/>
  <c r="N17" i="27"/>
  <c r="M17" i="27"/>
  <c r="L17" i="27"/>
  <c r="K17" i="27"/>
  <c r="J17" i="27"/>
  <c r="I17" i="27"/>
  <c r="H17" i="27"/>
  <c r="G17" i="27"/>
  <c r="F17" i="27"/>
  <c r="AD16" i="27"/>
  <c r="AA16" i="27"/>
  <c r="V16" i="27"/>
  <c r="T16" i="27"/>
  <c r="R16" i="27"/>
  <c r="O16" i="27"/>
  <c r="N16" i="27"/>
  <c r="J16" i="27"/>
  <c r="AE8" i="27"/>
  <c r="AC8" i="27"/>
  <c r="AB8" i="27"/>
  <c r="AA8" i="27"/>
  <c r="Z8" i="27"/>
  <c r="Y8" i="27"/>
  <c r="X8" i="27"/>
  <c r="W8" i="27"/>
  <c r="V8" i="27"/>
  <c r="U8" i="27"/>
  <c r="S8" i="27"/>
  <c r="R8" i="27"/>
  <c r="Q8" i="27"/>
  <c r="P8" i="27"/>
  <c r="N8" i="27"/>
  <c r="M8" i="27"/>
  <c r="L8" i="27"/>
  <c r="K8" i="27"/>
  <c r="J8" i="27"/>
  <c r="I8" i="27"/>
  <c r="H8" i="27"/>
  <c r="G8" i="27"/>
  <c r="F8" i="27"/>
  <c r="E8" i="27"/>
  <c r="O8" i="27"/>
  <c r="AC93" i="27" l="1"/>
  <c r="AD93" i="27" s="1"/>
  <c r="AE93" i="27" s="1"/>
  <c r="AF93" i="27" s="1"/>
  <c r="AG93" i="27" s="1"/>
  <c r="AH93" i="27" s="1"/>
  <c r="AI93" i="27" s="1"/>
  <c r="AJ93" i="27" s="1"/>
  <c r="AK93" i="27" s="1"/>
  <c r="AL93" i="27" s="1"/>
  <c r="AM93" i="27" s="1"/>
  <c r="AN93" i="27" s="1"/>
  <c r="F21" i="27"/>
  <c r="G20" i="27"/>
  <c r="J20" i="27"/>
  <c r="L20" i="27"/>
  <c r="K16" i="27"/>
  <c r="P17" i="27"/>
  <c r="W17" i="27"/>
  <c r="L16" i="27"/>
  <c r="S17" i="27"/>
  <c r="AE17" i="27"/>
  <c r="G16" i="27"/>
  <c r="AD17" i="27"/>
  <c r="X16" i="27"/>
  <c r="Y17" i="27"/>
  <c r="C12" i="27"/>
  <c r="C13" i="27" s="1"/>
  <c r="D10" i="27" s="1"/>
  <c r="C11" i="27"/>
  <c r="N90" i="27"/>
  <c r="H16" i="27"/>
  <c r="R17" i="27"/>
  <c r="F20" i="27"/>
  <c r="H20" i="27"/>
  <c r="I31" i="27"/>
  <c r="I16" i="27"/>
  <c r="M16" i="27"/>
  <c r="F43" i="27"/>
  <c r="Q17" i="27"/>
  <c r="U17" i="27"/>
  <c r="AC17" i="27"/>
  <c r="K20" i="27"/>
  <c r="F53" i="27"/>
  <c r="F63" i="27"/>
  <c r="X81" i="27"/>
  <c r="X82" i="27" s="1"/>
  <c r="Y79" i="27" s="1"/>
  <c r="Y81" i="27" s="1"/>
  <c r="Y82" i="27" s="1"/>
  <c r="Z79" i="27" s="1"/>
  <c r="Z81" i="27" s="1"/>
  <c r="Z82" i="27" s="1"/>
  <c r="AA79" i="27" s="1"/>
  <c r="AA81" i="27" s="1"/>
  <c r="X80" i="27"/>
  <c r="D12" i="27" l="1"/>
  <c r="D13" i="27" s="1"/>
  <c r="E10" i="27" s="1"/>
  <c r="D11" i="27"/>
  <c r="F44" i="27"/>
  <c r="F54" i="27"/>
  <c r="F64" i="27"/>
  <c r="Y80" i="27"/>
  <c r="Z80" i="27" s="1"/>
  <c r="AA80" i="27" s="1"/>
  <c r="M20" i="27"/>
  <c r="F33" i="27"/>
  <c r="I20" i="27"/>
  <c r="G62" i="27" l="1"/>
  <c r="G52" i="27"/>
  <c r="G42" i="27"/>
  <c r="G43" i="27" s="1"/>
  <c r="G44" i="27" s="1"/>
  <c r="H42" i="27" s="1"/>
  <c r="F34" i="27"/>
  <c r="G53" i="27" l="1"/>
  <c r="G54" i="27" s="1"/>
  <c r="H52" i="27" s="1"/>
  <c r="H53" i="27" s="1"/>
  <c r="H54" i="27" s="1"/>
  <c r="I52" i="27" s="1"/>
  <c r="I53" i="27" s="1"/>
  <c r="I54" i="27" s="1"/>
  <c r="G63" i="27"/>
  <c r="G64" i="27" s="1"/>
  <c r="H62" i="27" s="1"/>
  <c r="H63" i="27" s="1"/>
  <c r="H64" i="27" s="1"/>
  <c r="I62" i="27" s="1"/>
  <c r="I63" i="27" s="1"/>
  <c r="I64" i="27" s="1"/>
  <c r="H43" i="27"/>
  <c r="H44" i="27" s="1"/>
  <c r="I42" i="27" s="1"/>
  <c r="I43" i="27" s="1"/>
  <c r="I44" i="27" s="1"/>
  <c r="G32" i="27"/>
  <c r="G33" i="27" l="1"/>
  <c r="G34" i="27" s="1"/>
  <c r="H32" i="27" s="1"/>
  <c r="H33" i="27" s="1"/>
  <c r="H34" i="27" s="1"/>
  <c r="I32" i="27" s="1"/>
  <c r="J62" i="27"/>
  <c r="J63" i="27" s="1"/>
  <c r="J64" i="27" s="1"/>
  <c r="J52" i="27"/>
  <c r="J53" i="27" s="1"/>
  <c r="J54" i="27" s="1"/>
  <c r="J42" i="27"/>
  <c r="J43" i="27" s="1"/>
  <c r="J44" i="27" s="1"/>
  <c r="K62" i="27" l="1"/>
  <c r="K63" i="27" s="1"/>
  <c r="K64" i="27" s="1"/>
  <c r="K52" i="27"/>
  <c r="K53" i="27" s="1"/>
  <c r="K54" i="27" s="1"/>
  <c r="K42" i="27"/>
  <c r="K43" i="27" s="1"/>
  <c r="K44" i="27" s="1"/>
  <c r="I33" i="27"/>
  <c r="I34" i="27" s="1"/>
  <c r="J32" i="27" s="1"/>
  <c r="L52" i="27" l="1"/>
  <c r="L53" i="27" s="1"/>
  <c r="L54" i="27" s="1"/>
  <c r="L62" i="27"/>
  <c r="L63" i="27" s="1"/>
  <c r="L64" i="27" s="1"/>
  <c r="L42" i="27"/>
  <c r="L43" i="27" s="1"/>
  <c r="L44" i="27" s="1"/>
  <c r="J33" i="27"/>
  <c r="J34" i="27" s="1"/>
  <c r="K32" i="27" s="1"/>
  <c r="F73" i="27"/>
  <c r="F74" i="27" s="1"/>
  <c r="F22" i="27"/>
  <c r="M62" i="27" l="1"/>
  <c r="K42" i="29" s="1"/>
  <c r="L42" i="29" s="1"/>
  <c r="N56" i="27" s="1"/>
  <c r="M52" i="27"/>
  <c r="K32" i="29" s="1"/>
  <c r="L32" i="29" s="1"/>
  <c r="N46" i="27" s="1"/>
  <c r="F24" i="27"/>
  <c r="G72" i="27"/>
  <c r="M42" i="27"/>
  <c r="K22" i="29" s="1"/>
  <c r="L22" i="29" s="1"/>
  <c r="N36" i="27" s="1"/>
  <c r="K33" i="27"/>
  <c r="K34" i="27" s="1"/>
  <c r="F23" i="27"/>
  <c r="M53" i="27" l="1"/>
  <c r="M54" i="27" s="1"/>
  <c r="M63" i="27"/>
  <c r="M64" i="27" s="1"/>
  <c r="M43" i="27"/>
  <c r="M44" i="27" s="1"/>
  <c r="L32" i="27"/>
  <c r="L33" i="27" s="1"/>
  <c r="G21" i="27"/>
  <c r="G22" i="27" s="1"/>
  <c r="G73" i="27"/>
  <c r="L34" i="27" l="1"/>
  <c r="M32" i="27" s="1"/>
  <c r="K12" i="29" s="1"/>
  <c r="G74" i="27"/>
  <c r="H72" i="27" s="1"/>
  <c r="G23" i="27"/>
  <c r="G24" i="27" l="1"/>
  <c r="H21" i="27" l="1"/>
  <c r="H22" i="27" s="1"/>
  <c r="H73" i="27"/>
  <c r="H74" i="27" l="1"/>
  <c r="I72" i="27" s="1"/>
  <c r="H23" i="27"/>
  <c r="H24" i="27" l="1"/>
  <c r="I21" i="27" l="1"/>
  <c r="I22" i="27" s="1"/>
  <c r="I73" i="27"/>
  <c r="I74" i="27" l="1"/>
  <c r="J72" i="27" s="1"/>
  <c r="I23" i="27"/>
  <c r="I24" i="27" l="1"/>
  <c r="AA30" i="27"/>
  <c r="AA31" i="27" s="1"/>
  <c r="AA60" i="27"/>
  <c r="AA61" i="27" s="1"/>
  <c r="Q50" i="27" l="1"/>
  <c r="Q51" i="27" s="1"/>
  <c r="J21" i="27"/>
  <c r="J22" i="27" s="1"/>
  <c r="J73" i="27"/>
  <c r="AB60" i="27" l="1"/>
  <c r="AB61" i="27" s="1"/>
  <c r="AA70" i="27"/>
  <c r="AC30" i="27"/>
  <c r="AC31" i="27" s="1"/>
  <c r="AA50" i="27"/>
  <c r="AA51" i="27" s="1"/>
  <c r="AB70" i="27"/>
  <c r="Q60" i="27"/>
  <c r="Q61" i="27" s="1"/>
  <c r="AE30" i="27"/>
  <c r="AE31" i="27" s="1"/>
  <c r="R50" i="27"/>
  <c r="R51" i="27" s="1"/>
  <c r="AC60" i="27"/>
  <c r="AC61" i="27" s="1"/>
  <c r="AB40" i="27"/>
  <c r="AB41" i="27" s="1"/>
  <c r="AB30" i="27"/>
  <c r="AB31" i="27" s="1"/>
  <c r="AA40" i="27"/>
  <c r="AA41" i="27" s="1"/>
  <c r="P40" i="27"/>
  <c r="P41" i="27" s="1"/>
  <c r="P50" i="27"/>
  <c r="P51" i="27" s="1"/>
  <c r="O50" i="27"/>
  <c r="O51" i="27" s="1"/>
  <c r="N60" i="27"/>
  <c r="N61" i="27" s="1"/>
  <c r="N62" i="27" s="1"/>
  <c r="P30" i="27"/>
  <c r="P31" i="27" s="1"/>
  <c r="O40" i="27"/>
  <c r="O41" i="27" s="1"/>
  <c r="N50" i="27"/>
  <c r="N51" i="27" s="1"/>
  <c r="N52" i="27" s="1"/>
  <c r="P60" i="27"/>
  <c r="P61" i="27" s="1"/>
  <c r="O60" i="27"/>
  <c r="O61" i="27" s="1"/>
  <c r="O30" i="27"/>
  <c r="O31" i="27" s="1"/>
  <c r="N40" i="27"/>
  <c r="N41" i="27" s="1"/>
  <c r="N42" i="27" s="1"/>
  <c r="J74" i="27"/>
  <c r="K72" i="27" s="1"/>
  <c r="J23" i="27"/>
  <c r="N53" i="27" l="1"/>
  <c r="N54" i="27" s="1"/>
  <c r="O52" i="27" s="1"/>
  <c r="O53" i="27" s="1"/>
  <c r="O54" i="27" s="1"/>
  <c r="P52" i="27" s="1"/>
  <c r="N63" i="27"/>
  <c r="N64" i="27" s="1"/>
  <c r="O62" i="27" s="1"/>
  <c r="O63" i="27" s="1"/>
  <c r="O64" i="27" s="1"/>
  <c r="P62" i="27" s="1"/>
  <c r="N43" i="27"/>
  <c r="N44" i="27" s="1"/>
  <c r="O42" i="27" s="1"/>
  <c r="O43" i="27" s="1"/>
  <c r="O44" i="27" s="1"/>
  <c r="P42" i="27" s="1"/>
  <c r="S50" i="27"/>
  <c r="S51" i="27" s="1"/>
  <c r="AB71" i="27"/>
  <c r="AD70" i="27"/>
  <c r="AC70" i="27"/>
  <c r="Q40" i="27"/>
  <c r="Q41" i="27" s="1"/>
  <c r="AE60" i="27"/>
  <c r="AE61" i="27" s="1"/>
  <c r="Q30" i="27"/>
  <c r="Q31" i="27" s="1"/>
  <c r="R60" i="27"/>
  <c r="R61" i="27" s="1"/>
  <c r="AC40" i="27"/>
  <c r="AC41" i="27" s="1"/>
  <c r="AA18" i="27"/>
  <c r="AD60" i="27"/>
  <c r="AD61" i="27" s="1"/>
  <c r="T50" i="27"/>
  <c r="T51" i="27" s="1"/>
  <c r="R30" i="27"/>
  <c r="R31" i="27" s="1"/>
  <c r="AD30" i="27"/>
  <c r="AD31" i="27" s="1"/>
  <c r="AA71" i="27"/>
  <c r="AA19" i="27"/>
  <c r="O70" i="27"/>
  <c r="O18" i="27"/>
  <c r="N70" i="27"/>
  <c r="P70" i="27"/>
  <c r="P18" i="27"/>
  <c r="J24" i="27"/>
  <c r="AA20" i="27" l="1"/>
  <c r="P63" i="27"/>
  <c r="P53" i="27"/>
  <c r="P43" i="27"/>
  <c r="P44" i="27" s="1"/>
  <c r="Q42" i="27" s="1"/>
  <c r="Q43" i="27" s="1"/>
  <c r="AD40" i="27"/>
  <c r="AD41" i="27" s="1"/>
  <c r="AB50" i="27"/>
  <c r="AB18" i="27"/>
  <c r="Q70" i="27"/>
  <c r="Q19" i="27" s="1"/>
  <c r="Q18" i="27"/>
  <c r="S60" i="27"/>
  <c r="S61" i="27" s="1"/>
  <c r="R70" i="27"/>
  <c r="U50" i="27"/>
  <c r="U51" i="27" s="1"/>
  <c r="S30" i="27"/>
  <c r="S31" i="27" s="1"/>
  <c r="R40" i="27"/>
  <c r="R41" i="27" s="1"/>
  <c r="AE70" i="27"/>
  <c r="AC71" i="27"/>
  <c r="AD71" i="27"/>
  <c r="P71" i="27"/>
  <c r="P19" i="27"/>
  <c r="N71" i="27"/>
  <c r="N19" i="27"/>
  <c r="O71" i="27"/>
  <c r="O19" i="27"/>
  <c r="K21" i="27"/>
  <c r="K22" i="27" s="1"/>
  <c r="K73" i="27"/>
  <c r="Q44" i="27" l="1"/>
  <c r="R42" i="27" s="1"/>
  <c r="R43" i="27" s="1"/>
  <c r="P20" i="27"/>
  <c r="O20" i="27"/>
  <c r="P54" i="27"/>
  <c r="Q52" i="27" s="1"/>
  <c r="Q53" i="27" s="1"/>
  <c r="P64" i="27"/>
  <c r="Q62" i="27" s="1"/>
  <c r="Q63" i="27" s="1"/>
  <c r="N20" i="27"/>
  <c r="AE40" i="27"/>
  <c r="AE41" i="27" s="1"/>
  <c r="S40" i="27"/>
  <c r="S41" i="27" s="1"/>
  <c r="AC50" i="27"/>
  <c r="AC18" i="27"/>
  <c r="AB51" i="27"/>
  <c r="AB19" i="27"/>
  <c r="T30" i="27"/>
  <c r="T31" i="27" s="1"/>
  <c r="AE71" i="27"/>
  <c r="Q71" i="27"/>
  <c r="T60" i="27"/>
  <c r="T61" i="27" s="1"/>
  <c r="V50" i="27"/>
  <c r="V51" i="27" s="1"/>
  <c r="R71" i="27"/>
  <c r="R19" i="27"/>
  <c r="S70" i="27"/>
  <c r="K74" i="27"/>
  <c r="L72" i="27" s="1"/>
  <c r="K23" i="27"/>
  <c r="Q54" i="27" l="1"/>
  <c r="R52" i="27" s="1"/>
  <c r="R53" i="27" s="1"/>
  <c r="R54" i="27" s="1"/>
  <c r="S52" i="27" s="1"/>
  <c r="S53" i="27" s="1"/>
  <c r="R44" i="27"/>
  <c r="S42" i="27" s="1"/>
  <c r="S43" i="27" s="1"/>
  <c r="S44" i="27" s="1"/>
  <c r="R20" i="27"/>
  <c r="Q20" i="27"/>
  <c r="AB20" i="27"/>
  <c r="Q64" i="27"/>
  <c r="S18" i="27"/>
  <c r="S71" i="27"/>
  <c r="S19" i="27"/>
  <c r="U30" i="27"/>
  <c r="U31" i="27" s="1"/>
  <c r="T70" i="27"/>
  <c r="AC51" i="27"/>
  <c r="AC19" i="27"/>
  <c r="W50" i="27"/>
  <c r="W51" i="27" s="1"/>
  <c r="T40" i="27"/>
  <c r="T41" i="27" s="1"/>
  <c r="U60" i="27"/>
  <c r="U61" i="27" s="1"/>
  <c r="AD50" i="27"/>
  <c r="AD18" i="27"/>
  <c r="K24" i="27"/>
  <c r="R62" i="27" l="1"/>
  <c r="R63" i="27" s="1"/>
  <c r="R64" i="27" s="1"/>
  <c r="S20" i="27"/>
  <c r="AC20" i="27"/>
  <c r="S54" i="27"/>
  <c r="T52" i="27" s="1"/>
  <c r="T53" i="27" s="1"/>
  <c r="T42" i="27"/>
  <c r="T43" i="27" s="1"/>
  <c r="T44" i="27" s="1"/>
  <c r="AE50" i="27"/>
  <c r="AE18" i="27"/>
  <c r="V60" i="27"/>
  <c r="V61" i="27" s="1"/>
  <c r="X50" i="27"/>
  <c r="X51" i="27" s="1"/>
  <c r="T71" i="27"/>
  <c r="T19" i="27"/>
  <c r="V30" i="27"/>
  <c r="V31" i="27" s="1"/>
  <c r="U70" i="27"/>
  <c r="U40" i="27"/>
  <c r="U41" i="27" s="1"/>
  <c r="AD51" i="27"/>
  <c r="AD19" i="27"/>
  <c r="L21" i="27"/>
  <c r="L22" i="27" s="1"/>
  <c r="L73" i="27"/>
  <c r="S62" i="27" l="1"/>
  <c r="S63" i="27" s="1"/>
  <c r="S64" i="27" s="1"/>
  <c r="AD20" i="27"/>
  <c r="T20" i="27"/>
  <c r="T54" i="27"/>
  <c r="U42" i="27"/>
  <c r="U43" i="27" s="1"/>
  <c r="U44" i="27" s="1"/>
  <c r="U18" i="27"/>
  <c r="W30" i="27"/>
  <c r="W31" i="27" s="1"/>
  <c r="V40" i="27"/>
  <c r="V41" i="27" s="1"/>
  <c r="U71" i="27"/>
  <c r="U19" i="27"/>
  <c r="AE51" i="27"/>
  <c r="AE19" i="27"/>
  <c r="W60" i="27"/>
  <c r="W61" i="27" s="1"/>
  <c r="V70" i="27"/>
  <c r="Y50" i="27"/>
  <c r="Y51" i="27" s="1"/>
  <c r="L74" i="27"/>
  <c r="M72" i="27" s="1"/>
  <c r="K52" i="29" s="1"/>
  <c r="L52" i="29" s="1"/>
  <c r="N66" i="27" s="1"/>
  <c r="L23" i="27"/>
  <c r="U52" i="27" l="1"/>
  <c r="U53" i="27" s="1"/>
  <c r="U54" i="27" s="1"/>
  <c r="T62" i="27"/>
  <c r="T63" i="27" s="1"/>
  <c r="T64" i="27" s="1"/>
  <c r="U20" i="27"/>
  <c r="AE20" i="27"/>
  <c r="V42" i="27"/>
  <c r="V43" i="27" s="1"/>
  <c r="V44" i="27" s="1"/>
  <c r="W40" i="27"/>
  <c r="W41" i="27" s="1"/>
  <c r="V71" i="27"/>
  <c r="V19" i="27"/>
  <c r="X60" i="27"/>
  <c r="X61" i="27" s="1"/>
  <c r="Z50" i="27"/>
  <c r="Z51" i="27" s="1"/>
  <c r="X30" i="27"/>
  <c r="X31" i="27" s="1"/>
  <c r="V18" i="27"/>
  <c r="W70" i="27"/>
  <c r="L24" i="27"/>
  <c r="V52" i="27" l="1"/>
  <c r="V53" i="27" s="1"/>
  <c r="V54" i="27" s="1"/>
  <c r="W52" i="27" s="1"/>
  <c r="U62" i="27"/>
  <c r="U63" i="27" s="1"/>
  <c r="U64" i="27" s="1"/>
  <c r="V20" i="27"/>
  <c r="W42" i="27"/>
  <c r="W43" i="27" s="1"/>
  <c r="W44" i="27" s="1"/>
  <c r="Y30" i="27"/>
  <c r="Y31" i="27" s="1"/>
  <c r="Y60" i="27"/>
  <c r="Y61" i="27" s="1"/>
  <c r="X40" i="27"/>
  <c r="X41" i="27" s="1"/>
  <c r="W18" i="27"/>
  <c r="Z60" i="27"/>
  <c r="Z61" i="27" s="1"/>
  <c r="W71" i="27"/>
  <c r="W19" i="27"/>
  <c r="X70" i="27"/>
  <c r="M73" i="27"/>
  <c r="V62" i="27" l="1"/>
  <c r="V63" i="27" s="1"/>
  <c r="V64" i="27" s="1"/>
  <c r="W62" i="27" s="1"/>
  <c r="W63" i="27" s="1"/>
  <c r="W64" i="27" s="1"/>
  <c r="W53" i="27"/>
  <c r="W54" i="27" s="1"/>
  <c r="W20" i="27"/>
  <c r="X42" i="27"/>
  <c r="X43" i="27" s="1"/>
  <c r="X44" i="27" s="1"/>
  <c r="X71" i="27"/>
  <c r="X19" i="27"/>
  <c r="Y40" i="27"/>
  <c r="Y41" i="27" s="1"/>
  <c r="X18" i="27"/>
  <c r="Y70" i="27"/>
  <c r="Y71" i="27" s="1"/>
  <c r="M74" i="27"/>
  <c r="N72" i="27" s="1"/>
  <c r="Y42" i="27" l="1"/>
  <c r="Y43" i="27" s="1"/>
  <c r="Y44" i="27" s="1"/>
  <c r="Z42" i="27" s="1"/>
  <c r="X52" i="27"/>
  <c r="X53" i="27" s="1"/>
  <c r="X54" i="27" s="1"/>
  <c r="Y52" i="27" s="1"/>
  <c r="X62" i="27"/>
  <c r="X63" i="27" s="1"/>
  <c r="X64" i="27" s="1"/>
  <c r="Y62" i="27" s="1"/>
  <c r="Y63" i="27" s="1"/>
  <c r="Y64" i="27" s="1"/>
  <c r="X20" i="27"/>
  <c r="Y18" i="27"/>
  <c r="Y19" i="27"/>
  <c r="Z70" i="27"/>
  <c r="Z19" i="27" s="1"/>
  <c r="Z62" i="27" l="1"/>
  <c r="Z63" i="27" s="1"/>
  <c r="Z64" i="27" s="1"/>
  <c r="Y53" i="27"/>
  <c r="Y54" i="27" s="1"/>
  <c r="Y20" i="27"/>
  <c r="Z71" i="27"/>
  <c r="N73" i="27"/>
  <c r="N74" i="27" s="1"/>
  <c r="O72" i="27" s="1"/>
  <c r="AA62" i="27" l="1"/>
  <c r="Z20" i="27"/>
  <c r="Z43" i="27"/>
  <c r="Z44" i="27" s="1"/>
  <c r="Z52" i="27"/>
  <c r="AA63" i="27" l="1"/>
  <c r="AA64" i="27" s="1"/>
  <c r="AB62" i="27" s="1"/>
  <c r="AB63" i="27" s="1"/>
  <c r="AB64" i="27" s="1"/>
  <c r="AC62" i="27" s="1"/>
  <c r="AC63" i="27" s="1"/>
  <c r="AC64" i="27" s="1"/>
  <c r="AD62" i="27" s="1"/>
  <c r="AD63" i="27" s="1"/>
  <c r="AA42" i="27"/>
  <c r="Z53" i="27"/>
  <c r="Z54" i="27" s="1"/>
  <c r="AA43" i="27" l="1"/>
  <c r="AA44" i="27" s="1"/>
  <c r="AB42" i="27" s="1"/>
  <c r="AB43" i="27" s="1"/>
  <c r="AB44" i="27" s="1"/>
  <c r="AA52" i="27"/>
  <c r="AD64" i="27"/>
  <c r="AE62" i="27" s="1"/>
  <c r="AE63" i="27" s="1"/>
  <c r="O73" i="27"/>
  <c r="O74" i="27" s="1"/>
  <c r="P72" i="27" s="1"/>
  <c r="AC42" i="27" l="1"/>
  <c r="AC43" i="27" s="1"/>
  <c r="AC44" i="27" s="1"/>
  <c r="AA53" i="27"/>
  <c r="AA54" i="27" s="1"/>
  <c r="AE64" i="27"/>
  <c r="AF62" i="27" s="1"/>
  <c r="AF63" i="27" s="1"/>
  <c r="AF64" i="27" s="1"/>
  <c r="AG62" i="27" s="1"/>
  <c r="AG63" i="27" s="1"/>
  <c r="AG64" i="27" s="1"/>
  <c r="AH62" i="27" l="1"/>
  <c r="AH63" i="27" s="1"/>
  <c r="AH64" i="27" s="1"/>
  <c r="AD42" i="27"/>
  <c r="AD43" i="27" s="1"/>
  <c r="AD44" i="27" s="1"/>
  <c r="AB52" i="27"/>
  <c r="AB53" i="27" l="1"/>
  <c r="AB54" i="27" s="1"/>
  <c r="AC52" i="27" s="1"/>
  <c r="AC53" i="27" s="1"/>
  <c r="AC54" i="27" s="1"/>
  <c r="AI62" i="27"/>
  <c r="AI63" i="27" s="1"/>
  <c r="AI64" i="27" s="1"/>
  <c r="AE42" i="27"/>
  <c r="AE43" i="27" s="1"/>
  <c r="AE44" i="27" s="1"/>
  <c r="AF42" i="27" s="1"/>
  <c r="AF43" i="27" s="1"/>
  <c r="AF44" i="27" s="1"/>
  <c r="AG42" i="27" s="1"/>
  <c r="AG43" i="27" s="1"/>
  <c r="AG44" i="27" s="1"/>
  <c r="P73" i="27"/>
  <c r="P74" i="27" s="1"/>
  <c r="Q72" i="27" s="1"/>
  <c r="AJ62" i="27" l="1"/>
  <c r="AJ63" i="27" s="1"/>
  <c r="AJ64" i="27" s="1"/>
  <c r="AH42" i="27"/>
  <c r="AH43" i="27" s="1"/>
  <c r="AH44" i="27" s="1"/>
  <c r="AD52" i="27"/>
  <c r="AD53" i="27" s="1"/>
  <c r="AD54" i="27" s="1"/>
  <c r="AK62" i="27" l="1"/>
  <c r="AK63" i="27" s="1"/>
  <c r="AK64" i="27" s="1"/>
  <c r="AI42" i="27"/>
  <c r="AI43" i="27" s="1"/>
  <c r="AI44" i="27" s="1"/>
  <c r="AE52" i="27"/>
  <c r="AE53" i="27" s="1"/>
  <c r="AE54" i="27" s="1"/>
  <c r="AF52" i="27" s="1"/>
  <c r="AF53" i="27" s="1"/>
  <c r="AF54" i="27" s="1"/>
  <c r="AJ42" i="27" l="1"/>
  <c r="AJ43" i="27" s="1"/>
  <c r="AJ44" i="27" s="1"/>
  <c r="AL62" i="27"/>
  <c r="AG52" i="27"/>
  <c r="AG53" i="27" s="1"/>
  <c r="AG54" i="27" s="1"/>
  <c r="Q73" i="27"/>
  <c r="Q74" i="27" s="1"/>
  <c r="R72" i="27" s="1"/>
  <c r="AL63" i="27" l="1"/>
  <c r="AL64" i="27" s="1"/>
  <c r="AM62" i="27" s="1"/>
  <c r="AK42" i="27"/>
  <c r="AK43" i="27" s="1"/>
  <c r="AK44" i="27" s="1"/>
  <c r="AH52" i="27"/>
  <c r="AH53" i="27" s="1"/>
  <c r="AH54" i="27" s="1"/>
  <c r="AO91" i="27" l="1"/>
  <c r="AO92" i="27" s="1"/>
  <c r="AO90" i="27"/>
  <c r="AM63" i="27"/>
  <c r="AM64" i="27" s="1"/>
  <c r="AN62" i="27" s="1"/>
  <c r="AN63" i="27" s="1"/>
  <c r="AN64" i="27" s="1"/>
  <c r="AL42" i="27"/>
  <c r="AI52" i="27"/>
  <c r="AI53" i="27" s="1"/>
  <c r="AI54" i="27" s="1"/>
  <c r="AL43" i="27" l="1"/>
  <c r="AL44" i="27" s="1"/>
  <c r="AM42" i="27" s="1"/>
  <c r="AM43" i="27" s="1"/>
  <c r="AM44" i="27" s="1"/>
  <c r="AJ52" i="27"/>
  <c r="AJ53" i="27" s="1"/>
  <c r="AJ54" i="27" s="1"/>
  <c r="AO62" i="27"/>
  <c r="AO63" i="27" s="1"/>
  <c r="AO64" i="27" s="1"/>
  <c r="AP89" i="27"/>
  <c r="R73" i="27"/>
  <c r="R74" i="27" s="1"/>
  <c r="S72" i="27" s="1"/>
  <c r="AK52" i="27" l="1"/>
  <c r="AK53" i="27" s="1"/>
  <c r="AK54" i="27" s="1"/>
  <c r="AP62" i="27"/>
  <c r="AP63" i="27" s="1"/>
  <c r="AP64" i="27" s="1"/>
  <c r="AN42" i="27"/>
  <c r="AN43" i="27" s="1"/>
  <c r="AN44" i="27" s="1"/>
  <c r="AP91" i="27"/>
  <c r="AP92" i="27" s="1"/>
  <c r="AQ89" i="27" s="1"/>
  <c r="AQ91" i="27" s="1"/>
  <c r="AQ92" i="27" s="1"/>
  <c r="AR89" i="27" s="1"/>
  <c r="AR91" i="27" s="1"/>
  <c r="AR92" i="27" s="1"/>
  <c r="AS89" i="27" s="1"/>
  <c r="AS91" i="27" s="1"/>
  <c r="AS92" i="27" s="1"/>
  <c r="AT89" i="27" s="1"/>
  <c r="AT91" i="27" s="1"/>
  <c r="AT92" i="27" s="1"/>
  <c r="AU89" i="27" s="1"/>
  <c r="AU91" i="27" s="1"/>
  <c r="AU92" i="27" s="1"/>
  <c r="AP93" i="27"/>
  <c r="AP90" i="27"/>
  <c r="AQ62" i="27" l="1"/>
  <c r="AQ63" i="27" s="1"/>
  <c r="AQ64" i="27" s="1"/>
  <c r="AO42" i="27"/>
  <c r="AO43" i="27" s="1"/>
  <c r="AO44" i="27" s="1"/>
  <c r="AL52" i="27"/>
  <c r="AQ93" i="27"/>
  <c r="AR93" i="27" s="1"/>
  <c r="AS93" i="27" s="1"/>
  <c r="AT93" i="27" s="1"/>
  <c r="AU93" i="27" s="1"/>
  <c r="AQ90" i="27"/>
  <c r="AR90" i="27" s="1"/>
  <c r="AS90" i="27" s="1"/>
  <c r="AT90" i="27" s="1"/>
  <c r="AU90" i="27" s="1"/>
  <c r="AL53" i="27" l="1"/>
  <c r="AL54" i="27" s="1"/>
  <c r="AM52" i="27" s="1"/>
  <c r="AM53" i="27" s="1"/>
  <c r="AM54" i="27" s="1"/>
  <c r="AP42" i="27"/>
  <c r="AP43" i="27" s="1"/>
  <c r="AP44" i="27" s="1"/>
  <c r="AR62" i="27"/>
  <c r="AR63" i="27" s="1"/>
  <c r="AR64" i="27" s="1"/>
  <c r="S73" i="27"/>
  <c r="S74" i="27" s="1"/>
  <c r="T72" i="27" s="1"/>
  <c r="AN52" i="27" l="1"/>
  <c r="AN53" i="27" s="1"/>
  <c r="AN54" i="27" s="1"/>
  <c r="AS62" i="27"/>
  <c r="AS63" i="27" s="1"/>
  <c r="AS64" i="27" s="1"/>
  <c r="AQ42" i="27"/>
  <c r="AQ43" i="27" s="1"/>
  <c r="AQ44" i="27" s="1"/>
  <c r="AV89" i="27"/>
  <c r="AV93" i="27" s="1"/>
  <c r="AT62" i="27" l="1"/>
  <c r="AT63" i="27" s="1"/>
  <c r="AT64" i="27" s="1"/>
  <c r="AR42" i="27"/>
  <c r="AR43" i="27" s="1"/>
  <c r="AR44" i="27" s="1"/>
  <c r="AO52" i="27"/>
  <c r="AO53" i="27" s="1"/>
  <c r="AO54" i="27" s="1"/>
  <c r="AV90" i="27"/>
  <c r="AV91" i="27"/>
  <c r="AV92" i="27" s="1"/>
  <c r="AW89" i="27" s="1"/>
  <c r="AW91" i="27" s="1"/>
  <c r="AW92" i="27" s="1"/>
  <c r="AW90" i="27" l="1"/>
  <c r="AW93" i="27"/>
  <c r="AX89" i="27"/>
  <c r="AS42" i="27"/>
  <c r="AS43" i="27" s="1"/>
  <c r="AS44" i="27" s="1"/>
  <c r="AP52" i="27"/>
  <c r="AP53" i="27" s="1"/>
  <c r="AP54" i="27" s="1"/>
  <c r="AU62" i="27"/>
  <c r="AU63" i="27" s="1"/>
  <c r="AU64" i="27" s="1"/>
  <c r="T73" i="27"/>
  <c r="T74" i="27" s="1"/>
  <c r="U72" i="27" s="1"/>
  <c r="AX91" i="27" l="1"/>
  <c r="AX92" i="27" s="1"/>
  <c r="AY89" i="27" s="1"/>
  <c r="AY91" i="27" s="1"/>
  <c r="AX93" i="27"/>
  <c r="AX90" i="27"/>
  <c r="AV62" i="27"/>
  <c r="AQ52" i="27"/>
  <c r="AQ53" i="27" s="1"/>
  <c r="AQ54" i="27" s="1"/>
  <c r="AT42" i="27"/>
  <c r="AT43" i="27" s="1"/>
  <c r="AT44" i="27" s="1"/>
  <c r="AY90" i="27" l="1"/>
  <c r="AY93" i="27"/>
  <c r="DY90" i="29"/>
  <c r="DZ90" i="29" s="1"/>
  <c r="AY92" i="27"/>
  <c r="AZ89" i="27" s="1"/>
  <c r="AZ91" i="27" s="1"/>
  <c r="AZ92" i="27" s="1"/>
  <c r="BA89" i="27" s="1"/>
  <c r="BA91" i="27" s="1"/>
  <c r="BA92" i="27" s="1"/>
  <c r="BB89" i="27" s="1"/>
  <c r="BB91" i="27" s="1"/>
  <c r="BB92" i="27" s="1"/>
  <c r="BC89" i="27" s="1"/>
  <c r="BC91" i="27" s="1"/>
  <c r="BC92" i="27" s="1"/>
  <c r="AV63" i="27"/>
  <c r="AV64" i="27" s="1"/>
  <c r="AU42" i="27"/>
  <c r="AU43" i="27" s="1"/>
  <c r="AU44" i="27" s="1"/>
  <c r="AR52" i="27"/>
  <c r="AR53" i="27" s="1"/>
  <c r="AR54" i="27" s="1"/>
  <c r="BD89" i="27" l="1"/>
  <c r="BD91" i="27" s="1"/>
  <c r="BD92" i="27" s="1"/>
  <c r="BE89" i="27" s="1"/>
  <c r="AZ93" i="27"/>
  <c r="BA93" i="27" s="1"/>
  <c r="AZ90" i="27"/>
  <c r="BA90" i="27" s="1"/>
  <c r="BB90" i="27" s="1"/>
  <c r="BC90" i="27" s="1"/>
  <c r="AW62" i="27"/>
  <c r="AW63" i="27" s="1"/>
  <c r="AW64" i="27" s="1"/>
  <c r="AS52" i="27"/>
  <c r="AS53" i="27" s="1"/>
  <c r="AS54" i="27" s="1"/>
  <c r="AV42" i="27"/>
  <c r="U73" i="27"/>
  <c r="U74" i="27" s="1"/>
  <c r="V72" i="27" s="1"/>
  <c r="BE91" i="27" l="1"/>
  <c r="BE92" i="27" s="1"/>
  <c r="BF89" i="27" s="1"/>
  <c r="BF91" i="27" s="1"/>
  <c r="BF92" i="27" s="1"/>
  <c r="BB93" i="27"/>
  <c r="BC93" i="27" s="1"/>
  <c r="BD93" i="27" s="1"/>
  <c r="BE93" i="27" s="1"/>
  <c r="BD90" i="27"/>
  <c r="BE90" i="27" s="1"/>
  <c r="AX62" i="27"/>
  <c r="AX63" i="27" s="1"/>
  <c r="AX64" i="27" s="1"/>
  <c r="AY62" i="27" s="1"/>
  <c r="AV43" i="27"/>
  <c r="AV44" i="27" s="1"/>
  <c r="AT52" i="27"/>
  <c r="AT53" i="27" s="1"/>
  <c r="AT54" i="27" s="1"/>
  <c r="BF90" i="27" l="1"/>
  <c r="BF93" i="27"/>
  <c r="BG89" i="27"/>
  <c r="BG91" i="27" s="1"/>
  <c r="BG92" i="27" s="1"/>
  <c r="BH89" i="27" s="1"/>
  <c r="BH91" i="27" s="1"/>
  <c r="BH92" i="27" s="1"/>
  <c r="BI89" i="27" s="1"/>
  <c r="BI91" i="27" s="1"/>
  <c r="BI92" i="27" s="1"/>
  <c r="BJ89" i="27" s="1"/>
  <c r="BJ91" i="27" s="1"/>
  <c r="BJ92" i="27" s="1"/>
  <c r="AW42" i="27"/>
  <c r="AW43" i="27" s="1"/>
  <c r="AW44" i="27" s="1"/>
  <c r="AU52" i="27"/>
  <c r="AU53" i="27" s="1"/>
  <c r="AU54" i="27" s="1"/>
  <c r="BG93" i="27" l="1"/>
  <c r="BH93" i="27" s="1"/>
  <c r="BI93" i="27" s="1"/>
  <c r="BJ93" i="27" s="1"/>
  <c r="BG90" i="27"/>
  <c r="BH90" i="27" s="1"/>
  <c r="BI90" i="27" s="1"/>
  <c r="BJ90" i="27" s="1"/>
  <c r="BK89" i="27"/>
  <c r="AY63" i="27"/>
  <c r="AY64" i="27" s="1"/>
  <c r="DY62" i="29"/>
  <c r="DZ62" i="29" s="1"/>
  <c r="AZ56" i="27" s="1"/>
  <c r="AZ62" i="27" s="1"/>
  <c r="AX42" i="27"/>
  <c r="AX43" i="27" s="1"/>
  <c r="AX44" i="27" s="1"/>
  <c r="AV52" i="27"/>
  <c r="V73" i="27"/>
  <c r="V74" i="27" s="1"/>
  <c r="W72" i="27" s="1"/>
  <c r="BK90" i="27" l="1"/>
  <c r="BK91" i="27"/>
  <c r="BK92" i="27" s="1"/>
  <c r="BL89" i="27" s="1"/>
  <c r="BK93" i="27"/>
  <c r="AZ63" i="27"/>
  <c r="AZ64" i="27" s="1"/>
  <c r="AY42" i="27"/>
  <c r="AV53" i="27"/>
  <c r="AV54" i="27" s="1"/>
  <c r="BL91" i="27" l="1"/>
  <c r="BL92" i="27" s="1"/>
  <c r="BM89" i="27" s="1"/>
  <c r="BM91" i="27" s="1"/>
  <c r="BM92" i="27" s="1"/>
  <c r="BN89" i="27" s="1"/>
  <c r="BN91" i="27" s="1"/>
  <c r="BN92" i="27" s="1"/>
  <c r="BO89" i="27" s="1"/>
  <c r="BL93" i="27"/>
  <c r="BL90" i="27"/>
  <c r="BA62" i="27"/>
  <c r="BA63" i="27" s="1"/>
  <c r="BA64" i="27" s="1"/>
  <c r="BB62" i="27" s="1"/>
  <c r="BB63" i="27" s="1"/>
  <c r="BB64" i="27" s="1"/>
  <c r="BC62" i="27" s="1"/>
  <c r="BC63" i="27" s="1"/>
  <c r="BC64" i="27" s="1"/>
  <c r="BD62" i="27" s="1"/>
  <c r="BD63" i="27" s="1"/>
  <c r="BD64" i="27" s="1"/>
  <c r="BE62" i="27" s="1"/>
  <c r="BE63" i="27" s="1"/>
  <c r="BE64" i="27" s="1"/>
  <c r="BF62" i="27" s="1"/>
  <c r="BF63" i="27" s="1"/>
  <c r="BF64" i="27" s="1"/>
  <c r="BG62" i="27" s="1"/>
  <c r="BG63" i="27" s="1"/>
  <c r="BG64" i="27" s="1"/>
  <c r="BH62" i="27" s="1"/>
  <c r="BH63" i="27" s="1"/>
  <c r="BH64" i="27" s="1"/>
  <c r="BI62" i="27" s="1"/>
  <c r="BI63" i="27" s="1"/>
  <c r="BI64" i="27" s="1"/>
  <c r="BJ62" i="27" s="1"/>
  <c r="BJ63" i="27" s="1"/>
  <c r="BJ64" i="27" s="1"/>
  <c r="BK62" i="27" s="1"/>
  <c r="BK63" i="27" s="1"/>
  <c r="BK64" i="27" s="1"/>
  <c r="BL62" i="27" s="1"/>
  <c r="BL63" i="27" s="1"/>
  <c r="BL64" i="27" s="1"/>
  <c r="BM62" i="27" s="1"/>
  <c r="AY43" i="27"/>
  <c r="AY44" i="27" s="1"/>
  <c r="DY42" i="29"/>
  <c r="DZ42" i="29" s="1"/>
  <c r="AZ36" i="27" s="1"/>
  <c r="AZ42" i="27" s="1"/>
  <c r="AZ43" i="27" s="1"/>
  <c r="AZ44" i="27" s="1"/>
  <c r="AW52" i="27"/>
  <c r="AW53" i="27" s="1"/>
  <c r="AW54" i="27" s="1"/>
  <c r="BM90" i="27" l="1"/>
  <c r="BN90" i="27" s="1"/>
  <c r="BO90" i="27" s="1"/>
  <c r="BM93" i="27"/>
  <c r="BN93" i="27" s="1"/>
  <c r="BO93" i="27" s="1"/>
  <c r="BO91" i="27"/>
  <c r="BO92" i="27" s="1"/>
  <c r="BP89" i="27" s="1"/>
  <c r="BP91" i="27" s="1"/>
  <c r="BP92" i="27" s="1"/>
  <c r="BQ89" i="27" s="1"/>
  <c r="BQ91" i="27" s="1"/>
  <c r="BQ92" i="27" s="1"/>
  <c r="BM63" i="27"/>
  <c r="BM64" i="27" s="1"/>
  <c r="AZ78" i="27"/>
  <c r="AZ79" i="27" s="1"/>
  <c r="BA42" i="27"/>
  <c r="BA43" i="27" s="1"/>
  <c r="BA44" i="27" s="1"/>
  <c r="BB42" i="27" s="1"/>
  <c r="BB43" i="27" s="1"/>
  <c r="BB44" i="27" s="1"/>
  <c r="BC42" i="27" s="1"/>
  <c r="BC43" i="27" s="1"/>
  <c r="BC44" i="27" s="1"/>
  <c r="BD42" i="27" s="1"/>
  <c r="BD43" i="27" s="1"/>
  <c r="BD44" i="27" s="1"/>
  <c r="BE42" i="27" s="1"/>
  <c r="BE43" i="27" s="1"/>
  <c r="BE44" i="27" s="1"/>
  <c r="BF42" i="27" s="1"/>
  <c r="BF43" i="27" s="1"/>
  <c r="BF44" i="27" s="1"/>
  <c r="BG42" i="27" s="1"/>
  <c r="BG43" i="27" s="1"/>
  <c r="BG44" i="27" s="1"/>
  <c r="BH42" i="27" s="1"/>
  <c r="BH43" i="27" s="1"/>
  <c r="BH44" i="27" s="1"/>
  <c r="BI42" i="27" s="1"/>
  <c r="BI43" i="27" s="1"/>
  <c r="BI44" i="27" s="1"/>
  <c r="BJ42" i="27" s="1"/>
  <c r="BJ43" i="27" s="1"/>
  <c r="BJ44" i="27" s="1"/>
  <c r="BK42" i="27" s="1"/>
  <c r="BK43" i="27" s="1"/>
  <c r="BK44" i="27" s="1"/>
  <c r="BL42" i="27" s="1"/>
  <c r="BL43" i="27" s="1"/>
  <c r="BL44" i="27" s="1"/>
  <c r="BM42" i="27" s="1"/>
  <c r="AX52" i="27"/>
  <c r="AX53" i="27" s="1"/>
  <c r="AX54" i="27" s="1"/>
  <c r="W73" i="27"/>
  <c r="W74" i="27" s="1"/>
  <c r="X72" i="27" s="1"/>
  <c r="BP90" i="27" l="1"/>
  <c r="BQ90" i="27" s="1"/>
  <c r="BR89" i="27"/>
  <c r="BP93" i="27"/>
  <c r="BQ93" i="27" s="1"/>
  <c r="BN62" i="27"/>
  <c r="BN63" i="27" s="1"/>
  <c r="BN64" i="27" s="1"/>
  <c r="BO62" i="27" s="1"/>
  <c r="BO63" i="27" s="1"/>
  <c r="BO64" i="27" s="1"/>
  <c r="BP62" i="27" s="1"/>
  <c r="BP63" i="27" s="1"/>
  <c r="BP64" i="27" s="1"/>
  <c r="BQ62" i="27" s="1"/>
  <c r="BQ63" i="27" s="1"/>
  <c r="BQ64" i="27" s="1"/>
  <c r="BR62" i="27" s="1"/>
  <c r="BR63" i="27" s="1"/>
  <c r="BR64" i="27" s="1"/>
  <c r="BS62" i="27" s="1"/>
  <c r="BS63" i="27" s="1"/>
  <c r="BS64" i="27" s="1"/>
  <c r="BT62" i="27" s="1"/>
  <c r="BT63" i="27" s="1"/>
  <c r="BT64" i="27" s="1"/>
  <c r="BU62" i="27" s="1"/>
  <c r="BU63" i="27" s="1"/>
  <c r="BU64" i="27" s="1"/>
  <c r="BV62" i="27" s="1"/>
  <c r="BV63" i="27" s="1"/>
  <c r="BV64" i="27" s="1"/>
  <c r="BW62" i="27" s="1"/>
  <c r="BW63" i="27" s="1"/>
  <c r="BW64" i="27" s="1"/>
  <c r="BX62" i="27" s="1"/>
  <c r="BX63" i="27" s="1"/>
  <c r="BX64" i="27" s="1"/>
  <c r="BY62" i="27" s="1"/>
  <c r="BY63" i="27" s="1"/>
  <c r="BY64" i="27" s="1"/>
  <c r="BZ62" i="27" s="1"/>
  <c r="BZ63" i="27" s="1"/>
  <c r="BZ64" i="27" s="1"/>
  <c r="CA62" i="27" s="1"/>
  <c r="CA63" i="27" s="1"/>
  <c r="CA64" i="27" s="1"/>
  <c r="CB62" i="27" s="1"/>
  <c r="CB63" i="27" s="1"/>
  <c r="CB64" i="27" s="1"/>
  <c r="CC62" i="27" s="1"/>
  <c r="CC63" i="27" s="1"/>
  <c r="CC64" i="27" s="1"/>
  <c r="CD62" i="27" s="1"/>
  <c r="CD63" i="27" s="1"/>
  <c r="CD64" i="27" s="1"/>
  <c r="CE62" i="27" s="1"/>
  <c r="CE63" i="27" s="1"/>
  <c r="CE64" i="27" s="1"/>
  <c r="CF62" i="27" s="1"/>
  <c r="CF63" i="27" s="1"/>
  <c r="CF64" i="27" s="1"/>
  <c r="CG62" i="27" s="1"/>
  <c r="CG63" i="27" s="1"/>
  <c r="CG64" i="27" s="1"/>
  <c r="BM43" i="27"/>
  <c r="BM44" i="27" s="1"/>
  <c r="AZ81" i="27"/>
  <c r="AZ82" i="27" s="1"/>
  <c r="BA79" i="27" s="1"/>
  <c r="BA81" i="27" s="1"/>
  <c r="BA82" i="27" s="1"/>
  <c r="BB79" i="27" s="1"/>
  <c r="BB81" i="27" s="1"/>
  <c r="BB82" i="27" s="1"/>
  <c r="BC79" i="27" s="1"/>
  <c r="BC81" i="27" s="1"/>
  <c r="BC82" i="27" s="1"/>
  <c r="BD79" i="27" s="1"/>
  <c r="BD81" i="27" s="1"/>
  <c r="BD82" i="27" s="1"/>
  <c r="BE79" i="27" s="1"/>
  <c r="BE81" i="27" s="1"/>
  <c r="BE82" i="27" s="1"/>
  <c r="BF79" i="27" s="1"/>
  <c r="BF81" i="27" s="1"/>
  <c r="BF82" i="27" s="1"/>
  <c r="BG79" i="27" s="1"/>
  <c r="BG81" i="27" s="1"/>
  <c r="BG82" i="27" s="1"/>
  <c r="BH79" i="27" s="1"/>
  <c r="BH81" i="27" s="1"/>
  <c r="BH82" i="27" s="1"/>
  <c r="BI79" i="27" s="1"/>
  <c r="BI81" i="27" s="1"/>
  <c r="BI82" i="27" s="1"/>
  <c r="BJ79" i="27" s="1"/>
  <c r="BJ81" i="27" s="1"/>
  <c r="BJ82" i="27" s="1"/>
  <c r="BK79" i="27" s="1"/>
  <c r="BK81" i="27" s="1"/>
  <c r="BK82" i="27" s="1"/>
  <c r="BL79" i="27" s="1"/>
  <c r="BL81" i="27" s="1"/>
  <c r="BL82" i="27" s="1"/>
  <c r="BM79" i="27" s="1"/>
  <c r="BM81" i="27" s="1"/>
  <c r="BM82" i="27" s="1"/>
  <c r="BN79" i="27" s="1"/>
  <c r="BN81" i="27" s="1"/>
  <c r="BN82" i="27" s="1"/>
  <c r="BO79" i="27" s="1"/>
  <c r="BO81" i="27" s="1"/>
  <c r="BO82" i="27" s="1"/>
  <c r="BP79" i="27" s="1"/>
  <c r="BP81" i="27" s="1"/>
  <c r="BP82" i="27" s="1"/>
  <c r="BQ79" i="27" s="1"/>
  <c r="BQ81" i="27" s="1"/>
  <c r="BQ82" i="27" s="1"/>
  <c r="BR79" i="27" s="1"/>
  <c r="BR81" i="27" s="1"/>
  <c r="BR82" i="27" s="1"/>
  <c r="BS79" i="27" s="1"/>
  <c r="BS81" i="27" s="1"/>
  <c r="BS82" i="27" s="1"/>
  <c r="BT79" i="27" s="1"/>
  <c r="BT81" i="27" s="1"/>
  <c r="BT82" i="27" s="1"/>
  <c r="BU79" i="27" s="1"/>
  <c r="BU81" i="27" s="1"/>
  <c r="BU82" i="27" s="1"/>
  <c r="BV79" i="27" s="1"/>
  <c r="BV81" i="27" s="1"/>
  <c r="BV82" i="27" s="1"/>
  <c r="BW79" i="27" s="1"/>
  <c r="BW81" i="27" s="1"/>
  <c r="BW82" i="27" s="1"/>
  <c r="BX79" i="27" s="1"/>
  <c r="BX81" i="27" s="1"/>
  <c r="BX82" i="27" s="1"/>
  <c r="BY79" i="27" s="1"/>
  <c r="BY81" i="27" s="1"/>
  <c r="BY82" i="27" s="1"/>
  <c r="BZ79" i="27" s="1"/>
  <c r="BZ81" i="27" s="1"/>
  <c r="BZ82" i="27" s="1"/>
  <c r="CA79" i="27" s="1"/>
  <c r="CA81" i="27" s="1"/>
  <c r="CA82" i="27" s="1"/>
  <c r="CB79" i="27" s="1"/>
  <c r="CB81" i="27" s="1"/>
  <c r="CB82" i="27" s="1"/>
  <c r="CC79" i="27" s="1"/>
  <c r="CC81" i="27" s="1"/>
  <c r="CC82" i="27" s="1"/>
  <c r="CD79" i="27" s="1"/>
  <c r="CD81" i="27" s="1"/>
  <c r="CD82" i="27" s="1"/>
  <c r="CE79" i="27" s="1"/>
  <c r="AZ80" i="27"/>
  <c r="AY52" i="27"/>
  <c r="CE81" i="27" l="1"/>
  <c r="CE82" i="27" s="1"/>
  <c r="CF79" i="27" s="1"/>
  <c r="CF81" i="27" s="1"/>
  <c r="CF82" i="27" s="1"/>
  <c r="CG79" i="27" s="1"/>
  <c r="CG81" i="27" s="1"/>
  <c r="CG82" i="27" s="1"/>
  <c r="BR90" i="27"/>
  <c r="BR93" i="27"/>
  <c r="BR91" i="27"/>
  <c r="BR92" i="27" s="1"/>
  <c r="BS89" i="27" s="1"/>
  <c r="BS91" i="27" s="1"/>
  <c r="BS92" i="27" s="1"/>
  <c r="BT89" i="27" s="1"/>
  <c r="BT91" i="27" s="1"/>
  <c r="BT92" i="27" s="1"/>
  <c r="BN42" i="27"/>
  <c r="BN43" i="27" s="1"/>
  <c r="BN44" i="27" s="1"/>
  <c r="BO42" i="27" s="1"/>
  <c r="BO43" i="27" s="1"/>
  <c r="BO44" i="27" s="1"/>
  <c r="BP42" i="27" s="1"/>
  <c r="BP43" i="27" s="1"/>
  <c r="BP44" i="27" s="1"/>
  <c r="BQ42" i="27" s="1"/>
  <c r="BQ43" i="27" s="1"/>
  <c r="BQ44" i="27" s="1"/>
  <c r="BR42" i="27" s="1"/>
  <c r="BR43" i="27" s="1"/>
  <c r="BR44" i="27" s="1"/>
  <c r="BS42" i="27" s="1"/>
  <c r="BS43" i="27" s="1"/>
  <c r="BS44" i="27" s="1"/>
  <c r="BT42" i="27" s="1"/>
  <c r="BT43" i="27" s="1"/>
  <c r="BT44" i="27" s="1"/>
  <c r="BU42" i="27" s="1"/>
  <c r="BU43" i="27" s="1"/>
  <c r="BU44" i="27" s="1"/>
  <c r="BV42" i="27" s="1"/>
  <c r="BV43" i="27" s="1"/>
  <c r="BV44" i="27" s="1"/>
  <c r="BW42" i="27" s="1"/>
  <c r="BW43" i="27" s="1"/>
  <c r="BW44" i="27" s="1"/>
  <c r="BX42" i="27" s="1"/>
  <c r="BX43" i="27" s="1"/>
  <c r="BX44" i="27" s="1"/>
  <c r="BY42" i="27" s="1"/>
  <c r="BY43" i="27" s="1"/>
  <c r="BY44" i="27" s="1"/>
  <c r="BZ42" i="27" s="1"/>
  <c r="BZ43" i="27" s="1"/>
  <c r="BZ44" i="27" s="1"/>
  <c r="CA42" i="27" s="1"/>
  <c r="CA43" i="27" s="1"/>
  <c r="CA44" i="27" s="1"/>
  <c r="CB42" i="27" s="1"/>
  <c r="CB43" i="27" s="1"/>
  <c r="CB44" i="27" s="1"/>
  <c r="CC42" i="27" s="1"/>
  <c r="CC43" i="27" s="1"/>
  <c r="CC44" i="27" s="1"/>
  <c r="CD42" i="27" s="1"/>
  <c r="CD43" i="27" s="1"/>
  <c r="CD44" i="27" s="1"/>
  <c r="CE42" i="27" s="1"/>
  <c r="CE43" i="27" s="1"/>
  <c r="CE44" i="27" s="1"/>
  <c r="CF42" i="27" s="1"/>
  <c r="CF43" i="27" s="1"/>
  <c r="CF44" i="27" s="1"/>
  <c r="CG42" i="27" s="1"/>
  <c r="CG43" i="27" s="1"/>
  <c r="CG44" i="27" s="1"/>
  <c r="BA80" i="27"/>
  <c r="BB80" i="27" s="1"/>
  <c r="BC80" i="27" s="1"/>
  <c r="BD80" i="27" s="1"/>
  <c r="BE80" i="27" s="1"/>
  <c r="BF80" i="27" s="1"/>
  <c r="BG80" i="27" s="1"/>
  <c r="BH80" i="27" s="1"/>
  <c r="BI80" i="27" s="1"/>
  <c r="BJ80" i="27" s="1"/>
  <c r="BK80" i="27" s="1"/>
  <c r="BL80" i="27" s="1"/>
  <c r="BM80" i="27" s="1"/>
  <c r="BN80" i="27" s="1"/>
  <c r="BO80" i="27" s="1"/>
  <c r="BP80" i="27" s="1"/>
  <c r="BQ80" i="27" s="1"/>
  <c r="BR80" i="27" s="1"/>
  <c r="BS80" i="27" s="1"/>
  <c r="BT80" i="27" s="1"/>
  <c r="BU80" i="27" s="1"/>
  <c r="BV80" i="27" s="1"/>
  <c r="BW80" i="27" s="1"/>
  <c r="BX80" i="27" s="1"/>
  <c r="BY80" i="27" s="1"/>
  <c r="BZ80" i="27" s="1"/>
  <c r="CA80" i="27" s="1"/>
  <c r="CB80" i="27" s="1"/>
  <c r="CC80" i="27" s="1"/>
  <c r="CD80" i="27" s="1"/>
  <c r="CE80" i="27" s="1"/>
  <c r="CF80" i="27" s="1"/>
  <c r="AY53" i="27"/>
  <c r="AY54" i="27" s="1"/>
  <c r="DY52" i="29"/>
  <c r="DZ52" i="29" s="1"/>
  <c r="AZ46" i="27" s="1"/>
  <c r="CG80" i="27" l="1"/>
  <c r="BS93" i="27"/>
  <c r="BT93" i="27" s="1"/>
  <c r="BS90" i="27"/>
  <c r="BT90" i="27" s="1"/>
  <c r="AZ52" i="27"/>
  <c r="AZ53" i="27" s="1"/>
  <c r="AZ54" i="27" s="1"/>
  <c r="X73" i="27"/>
  <c r="X74" i="27" s="1"/>
  <c r="Y72" i="27" s="1"/>
  <c r="BU89" i="27" l="1"/>
  <c r="BA52" i="27"/>
  <c r="BA53" i="27" s="1"/>
  <c r="BA54" i="27" s="1"/>
  <c r="BB52" i="27" s="1"/>
  <c r="BB53" i="27" s="1"/>
  <c r="BB54" i="27" s="1"/>
  <c r="BC52" i="27" s="1"/>
  <c r="BC53" i="27" s="1"/>
  <c r="BC54" i="27" s="1"/>
  <c r="BD52" i="27" s="1"/>
  <c r="BD53" i="27" s="1"/>
  <c r="BD54" i="27" s="1"/>
  <c r="BE52" i="27" s="1"/>
  <c r="BE53" i="27" s="1"/>
  <c r="BE54" i="27" s="1"/>
  <c r="BF52" i="27" s="1"/>
  <c r="BF53" i="27" s="1"/>
  <c r="BF54" i="27" s="1"/>
  <c r="BG52" i="27" s="1"/>
  <c r="BG53" i="27" s="1"/>
  <c r="BG54" i="27" s="1"/>
  <c r="BH52" i="27" s="1"/>
  <c r="BH53" i="27" s="1"/>
  <c r="BH54" i="27" s="1"/>
  <c r="BI52" i="27" s="1"/>
  <c r="BI53" i="27" s="1"/>
  <c r="BI54" i="27" s="1"/>
  <c r="BJ52" i="27" s="1"/>
  <c r="BJ53" i="27" s="1"/>
  <c r="BJ54" i="27" s="1"/>
  <c r="BK52" i="27" s="1"/>
  <c r="BK53" i="27" s="1"/>
  <c r="BK54" i="27" s="1"/>
  <c r="BL52" i="27" s="1"/>
  <c r="BL53" i="27" s="1"/>
  <c r="BL54" i="27" s="1"/>
  <c r="BM52" i="27" s="1"/>
  <c r="BU93" i="27" l="1"/>
  <c r="BU91" i="27"/>
  <c r="BU92" i="27" s="1"/>
  <c r="BV89" i="27" s="1"/>
  <c r="BV91" i="27" s="1"/>
  <c r="BV92" i="27" s="1"/>
  <c r="BW89" i="27" s="1"/>
  <c r="BW91" i="27" s="1"/>
  <c r="BW92" i="27" s="1"/>
  <c r="BU90" i="27"/>
  <c r="BM53" i="27"/>
  <c r="BM54" i="27" s="1"/>
  <c r="BV90" i="27" l="1"/>
  <c r="BW90" i="27" s="1"/>
  <c r="BV93" i="27"/>
  <c r="BW93" i="27" s="1"/>
  <c r="BN52" i="27"/>
  <c r="BN53" i="27" s="1"/>
  <c r="BN54" i="27" s="1"/>
  <c r="BO52" i="27" s="1"/>
  <c r="BO53" i="27" s="1"/>
  <c r="BO54" i="27" s="1"/>
  <c r="BP52" i="27" s="1"/>
  <c r="BP53" i="27" s="1"/>
  <c r="BP54" i="27" s="1"/>
  <c r="BQ52" i="27" s="1"/>
  <c r="BQ53" i="27" s="1"/>
  <c r="BQ54" i="27" s="1"/>
  <c r="BR52" i="27" s="1"/>
  <c r="BR53" i="27" s="1"/>
  <c r="BR54" i="27" s="1"/>
  <c r="BS52" i="27" s="1"/>
  <c r="BS53" i="27" s="1"/>
  <c r="BS54" i="27" s="1"/>
  <c r="BT52" i="27" s="1"/>
  <c r="BT53" i="27" s="1"/>
  <c r="BT54" i="27" s="1"/>
  <c r="BU52" i="27" s="1"/>
  <c r="BU53" i="27" s="1"/>
  <c r="BU54" i="27" s="1"/>
  <c r="BV52" i="27" s="1"/>
  <c r="BV53" i="27" s="1"/>
  <c r="BV54" i="27" s="1"/>
  <c r="BW52" i="27" s="1"/>
  <c r="BW53" i="27" s="1"/>
  <c r="BW54" i="27" s="1"/>
  <c r="BX52" i="27" s="1"/>
  <c r="BX53" i="27" s="1"/>
  <c r="BX54" i="27" s="1"/>
  <c r="BY52" i="27" s="1"/>
  <c r="BY53" i="27" s="1"/>
  <c r="BY54" i="27" s="1"/>
  <c r="BZ52" i="27" s="1"/>
  <c r="BZ53" i="27" s="1"/>
  <c r="BZ54" i="27" s="1"/>
  <c r="CA52" i="27" s="1"/>
  <c r="CA53" i="27" s="1"/>
  <c r="CA54" i="27" s="1"/>
  <c r="CB52" i="27" s="1"/>
  <c r="CB53" i="27" s="1"/>
  <c r="CB54" i="27" s="1"/>
  <c r="CC52" i="27" s="1"/>
  <c r="CC53" i="27" s="1"/>
  <c r="CC54" i="27" s="1"/>
  <c r="CD52" i="27" s="1"/>
  <c r="CD53" i="27" s="1"/>
  <c r="CD54" i="27" s="1"/>
  <c r="CE52" i="27" s="1"/>
  <c r="CE53" i="27" s="1"/>
  <c r="CE54" i="27" s="1"/>
  <c r="CF52" i="27" s="1"/>
  <c r="CF53" i="27" s="1"/>
  <c r="CF54" i="27" s="1"/>
  <c r="CG52" i="27" s="1"/>
  <c r="CG53" i="27" s="1"/>
  <c r="CG54" i="27" s="1"/>
  <c r="Y73" i="27"/>
  <c r="Y74" i="27" s="1"/>
  <c r="BX89" i="27" l="1"/>
  <c r="Z72" i="27"/>
  <c r="BX90" i="27" l="1"/>
  <c r="BX93" i="27"/>
  <c r="BX91" i="27"/>
  <c r="BX92" i="27" s="1"/>
  <c r="BY89" i="27" s="1"/>
  <c r="BY91" i="27" s="1"/>
  <c r="BY92" i="27" s="1"/>
  <c r="Z73" i="27"/>
  <c r="BY93" i="27" l="1"/>
  <c r="BZ89" i="27"/>
  <c r="BY90" i="27"/>
  <c r="Z74" i="27"/>
  <c r="AA72" i="27" s="1"/>
  <c r="BZ90" i="27" l="1"/>
  <c r="BZ93" i="27"/>
  <c r="BZ91" i="27"/>
  <c r="BZ92" i="27" s="1"/>
  <c r="CA89" i="27" s="1"/>
  <c r="CA91" i="27" s="1"/>
  <c r="CA92" i="27" s="1"/>
  <c r="CB89" i="27" s="1"/>
  <c r="CB91" i="27" s="1"/>
  <c r="CB92" i="27" s="1"/>
  <c r="CC89" i="27" s="1"/>
  <c r="CC91" i="27" s="1"/>
  <c r="CC92" i="27" s="1"/>
  <c r="CD89" i="27" s="1"/>
  <c r="CD91" i="27" l="1"/>
  <c r="CD92" i="27" s="1"/>
  <c r="CE89" i="27" s="1"/>
  <c r="CA90" i="27"/>
  <c r="CB90" i="27" s="1"/>
  <c r="CC90" i="27" s="1"/>
  <c r="CD90" i="27" s="1"/>
  <c r="CA93" i="27"/>
  <c r="CB93" i="27" s="1"/>
  <c r="CC93" i="27" s="1"/>
  <c r="CD93" i="27" s="1"/>
  <c r="CE90" i="27" l="1"/>
  <c r="CE93" i="27"/>
  <c r="CE91" i="27"/>
  <c r="CE92" i="27" s="1"/>
  <c r="CF89" i="27" s="1"/>
  <c r="CF91" i="27" s="1"/>
  <c r="CF92" i="27" s="1"/>
  <c r="CG89" i="27" s="1"/>
  <c r="AA73" i="27"/>
  <c r="AA74" i="27" s="1"/>
  <c r="AB72" i="27" s="1"/>
  <c r="CF90" i="27" l="1"/>
  <c r="CG90" i="27" s="1"/>
  <c r="CG91" i="27"/>
  <c r="CG92" i="27" s="1"/>
  <c r="CF93" i="27"/>
  <c r="CG93" i="27" s="1"/>
  <c r="AB73" i="27" l="1"/>
  <c r="AB74" i="27" s="1"/>
  <c r="AC72" i="27" s="1"/>
  <c r="AC73" i="27" l="1"/>
  <c r="AC74" i="27" s="1"/>
  <c r="AD72" i="27" s="1"/>
  <c r="AD73" i="27" l="1"/>
  <c r="AD74" i="27" s="1"/>
  <c r="AE72" i="27" s="1"/>
  <c r="AE73" i="27" l="1"/>
  <c r="AE74" i="27" s="1"/>
  <c r="AF72" i="27" s="1"/>
  <c r="AF73" i="27" l="1"/>
  <c r="AF74" i="27" l="1"/>
  <c r="AG72" i="27" l="1"/>
  <c r="AG73" i="27" l="1"/>
  <c r="AG74" i="27" l="1"/>
  <c r="AH72" i="27" l="1"/>
  <c r="AH73" i="27" l="1"/>
  <c r="AH74" i="27" l="1"/>
  <c r="AI72" i="27" s="1"/>
  <c r="AI73" i="27" l="1"/>
  <c r="AI74" i="27" l="1"/>
  <c r="AJ72" i="27" s="1"/>
  <c r="AJ73" i="27" l="1"/>
  <c r="AJ74" i="27" l="1"/>
  <c r="AK72" i="27" s="1"/>
  <c r="AK73" i="27" s="1"/>
  <c r="AK74" i="27" s="1"/>
  <c r="AL72" i="27" s="1"/>
  <c r="AL73" i="27" l="1"/>
  <c r="AL74" i="27" l="1"/>
  <c r="AM72" i="27" s="1"/>
  <c r="AM73" i="27" l="1"/>
  <c r="AM74" i="27" l="1"/>
  <c r="AN72" i="27" s="1"/>
  <c r="AN73" i="27" l="1"/>
  <c r="AN74" i="27" l="1"/>
  <c r="AO72" i="27" s="1"/>
  <c r="AO73" i="27" l="1"/>
  <c r="AO74" i="27" l="1"/>
  <c r="AP72" i="27" s="1"/>
  <c r="AP73" i="27" l="1"/>
  <c r="AP74" i="27" l="1"/>
  <c r="AQ72" i="27" s="1"/>
  <c r="AQ73" i="27" l="1"/>
  <c r="AQ74" i="27" l="1"/>
  <c r="AR72" i="27" s="1"/>
  <c r="AR73" i="27" l="1"/>
  <c r="AR74" i="27" l="1"/>
  <c r="AS72" i="27" s="1"/>
  <c r="AS73" i="27" l="1"/>
  <c r="AS74" i="27" l="1"/>
  <c r="AT72" i="27" s="1"/>
  <c r="AT73" i="27" l="1"/>
  <c r="AT74" i="27" l="1"/>
  <c r="AU72" i="27" s="1"/>
  <c r="AU73" i="27" l="1"/>
  <c r="AU74" i="27" l="1"/>
  <c r="AV72" i="27" s="1"/>
  <c r="AV73" i="27" l="1"/>
  <c r="AV74" i="27" l="1"/>
  <c r="AW72" i="27" l="1"/>
  <c r="AW73" i="27" l="1"/>
  <c r="AW74" i="27" l="1"/>
  <c r="AX72" i="27" l="1"/>
  <c r="AX73" i="27" l="1"/>
  <c r="AX74" i="27" l="1"/>
  <c r="AY72" i="27" l="1"/>
  <c r="DY72" i="29" s="1"/>
  <c r="DZ72" i="29" s="1"/>
  <c r="AZ66" i="27" s="1"/>
  <c r="AY73" i="27" l="1"/>
  <c r="AY74" i="27" l="1"/>
  <c r="E12" i="27"/>
  <c r="E13" i="27" s="1"/>
  <c r="F10" i="27" s="1"/>
  <c r="AZ72" i="27" l="1"/>
  <c r="AZ73" i="27" s="1"/>
  <c r="AZ74" i="27" s="1"/>
  <c r="E11" i="27"/>
  <c r="BA72" i="27" l="1"/>
  <c r="F12" i="27"/>
  <c r="F11" i="27"/>
  <c r="BA73" i="27" l="1"/>
  <c r="F13" i="27"/>
  <c r="G10" i="27" s="1"/>
  <c r="BA74" i="27" l="1"/>
  <c r="BB72" i="27" s="1"/>
  <c r="G12" i="27"/>
  <c r="G13" i="27" s="1"/>
  <c r="H10" i="27" s="1"/>
  <c r="G11" i="27"/>
  <c r="BB73" i="27" l="1"/>
  <c r="H12" i="27"/>
  <c r="H13" i="27" s="1"/>
  <c r="I10" i="27" s="1"/>
  <c r="BB74" i="27" l="1"/>
  <c r="I12" i="27"/>
  <c r="I13" i="27" s="1"/>
  <c r="J10" i="27" s="1"/>
  <c r="H11" i="27"/>
  <c r="I11" i="27" s="1"/>
  <c r="BC72" i="27" l="1"/>
  <c r="J12" i="27"/>
  <c r="J13" i="27" s="1"/>
  <c r="K10" i="27" s="1"/>
  <c r="BC73" i="27" l="1"/>
  <c r="J11" i="27"/>
  <c r="K12" i="27"/>
  <c r="K13" i="27" s="1"/>
  <c r="BC74" i="27" l="1"/>
  <c r="L10" i="27"/>
  <c r="L12" i="27" s="1"/>
  <c r="L13" i="27" s="1"/>
  <c r="M10" i="27" s="1"/>
  <c r="M12" i="27" s="1"/>
  <c r="M13" i="27" s="1"/>
  <c r="K11" i="27"/>
  <c r="BD72" i="27" l="1"/>
  <c r="L11" i="27"/>
  <c r="M11" i="27" s="1"/>
  <c r="N10" i="27"/>
  <c r="N12" i="27" s="1"/>
  <c r="N13" i="27" s="1"/>
  <c r="BD73" i="27" l="1"/>
  <c r="O10" i="27"/>
  <c r="O12" i="27" s="1"/>
  <c r="O13" i="27" s="1"/>
  <c r="N11" i="27"/>
  <c r="BD74" i="27" l="1"/>
  <c r="O11" i="27"/>
  <c r="P10" i="27"/>
  <c r="P12" i="27" s="1"/>
  <c r="P13" i="27" s="1"/>
  <c r="BE72" i="27" l="1"/>
  <c r="Q10" i="27"/>
  <c r="Q12" i="27" s="1"/>
  <c r="Q13" i="27" s="1"/>
  <c r="P11" i="27"/>
  <c r="BE73" i="27" l="1"/>
  <c r="Q11" i="27"/>
  <c r="R10" i="27"/>
  <c r="R12" i="27" s="1"/>
  <c r="R13" i="27" s="1"/>
  <c r="BE74" i="27" l="1"/>
  <c r="S10" i="27"/>
  <c r="S12" i="27" s="1"/>
  <c r="S13" i="27" s="1"/>
  <c r="R11" i="27"/>
  <c r="BF72" i="27" l="1"/>
  <c r="S11" i="27"/>
  <c r="T10" i="27"/>
  <c r="BF73" i="27" l="1"/>
  <c r="T11" i="27"/>
  <c r="T12" i="27"/>
  <c r="T13" i="27" s="1"/>
  <c r="U10" i="27" s="1"/>
  <c r="U12" i="27" s="1"/>
  <c r="U13" i="27" s="1"/>
  <c r="BF74" i="27" l="1"/>
  <c r="U11" i="27"/>
  <c r="V10" i="27"/>
  <c r="V12" i="27" s="1"/>
  <c r="V13" i="27" s="1"/>
  <c r="BG72" i="27" l="1"/>
  <c r="W10" i="27"/>
  <c r="W12" i="27" s="1"/>
  <c r="W13" i="27" s="1"/>
  <c r="V11" i="27"/>
  <c r="BG73" i="27" l="1"/>
  <c r="W11" i="27"/>
  <c r="X10" i="27"/>
  <c r="X12" i="27" s="1"/>
  <c r="X13" i="27" s="1"/>
  <c r="BG74" i="27" l="1"/>
  <c r="Y10" i="27"/>
  <c r="Y12" i="27" s="1"/>
  <c r="Y13" i="27" s="1"/>
  <c r="X11" i="27"/>
  <c r="BH72" i="27" l="1"/>
  <c r="Y11" i="27"/>
  <c r="Z10" i="27"/>
  <c r="Z12" i="27" s="1"/>
  <c r="Z13" i="27" s="1"/>
  <c r="AA10" i="27" s="1"/>
  <c r="BH73" i="27" l="1"/>
  <c r="AA12" i="27"/>
  <c r="AA13" i="27" s="1"/>
  <c r="AB10" i="27" s="1"/>
  <c r="Z11" i="27"/>
  <c r="BH74" i="27" l="1"/>
  <c r="BI72" i="27" s="1"/>
  <c r="AA11" i="27"/>
  <c r="AB12" i="27"/>
  <c r="BI73" i="27" l="1"/>
  <c r="AB13" i="27"/>
  <c r="AC10" i="27" s="1"/>
  <c r="AB11" i="27"/>
  <c r="BI74" i="27" l="1"/>
  <c r="BJ72" i="27" s="1"/>
  <c r="AC12" i="27"/>
  <c r="AC13" i="27" s="1"/>
  <c r="AC11" i="27"/>
  <c r="BD11" i="29" s="1"/>
  <c r="BE11" i="29" s="1"/>
  <c r="BJ73" i="27" l="1"/>
  <c r="AD5" i="27"/>
  <c r="AD10" i="27" s="1"/>
  <c r="AD12" i="27" s="1"/>
  <c r="AD13" i="27" s="1"/>
  <c r="AE10" i="27" s="1"/>
  <c r="BN19" i="29"/>
  <c r="BJ74" i="27" l="1"/>
  <c r="AD11" i="27"/>
  <c r="AE11" i="27" s="1"/>
  <c r="BN22" i="29"/>
  <c r="BO19" i="29" s="1"/>
  <c r="BO21" i="29" s="1"/>
  <c r="BO22" i="29" s="1"/>
  <c r="BP19" i="29" s="1"/>
  <c r="BP21" i="29" s="1"/>
  <c r="BP22" i="29" s="1"/>
  <c r="BQ19" i="29" s="1"/>
  <c r="BQ21" i="29" s="1"/>
  <c r="BQ22" i="29" s="1"/>
  <c r="BR19" i="29" s="1"/>
  <c r="BR21" i="29" s="1"/>
  <c r="BR22" i="29" s="1"/>
  <c r="BS19" i="29" s="1"/>
  <c r="BS21" i="29" s="1"/>
  <c r="BS22" i="29" s="1"/>
  <c r="BT19" i="29" s="1"/>
  <c r="BT21" i="29" s="1"/>
  <c r="BT22" i="29" s="1"/>
  <c r="BU19" i="29" s="1"/>
  <c r="BU21" i="29" s="1"/>
  <c r="BU22" i="29" s="1"/>
  <c r="BN20" i="29"/>
  <c r="AE12" i="27"/>
  <c r="BK72" i="27" l="1"/>
  <c r="BO20" i="29"/>
  <c r="BP20" i="29" s="1"/>
  <c r="BQ20" i="29" s="1"/>
  <c r="BR20" i="29" s="1"/>
  <c r="BS20" i="29" s="1"/>
  <c r="BT20" i="29" s="1"/>
  <c r="BU20" i="29" s="1"/>
  <c r="AE13" i="27"/>
  <c r="BK73" i="27" l="1"/>
  <c r="AF10" i="27"/>
  <c r="BK74" i="27" l="1"/>
  <c r="AF12" i="27"/>
  <c r="AF13" i="27" s="1"/>
  <c r="AG10" i="27" s="1"/>
  <c r="AF11" i="27"/>
  <c r="BL72" i="27" l="1"/>
  <c r="AG12" i="27"/>
  <c r="AG11" i="27"/>
  <c r="BL73" i="27" l="1"/>
  <c r="AG13" i="27"/>
  <c r="AH10" i="27" s="1"/>
  <c r="AH12" i="27" s="1"/>
  <c r="AH13" i="27" s="1"/>
  <c r="AI10" i="27" s="1"/>
  <c r="AI12" i="27" s="1"/>
  <c r="AI13" i="27" s="1"/>
  <c r="AJ10" i="27" s="1"/>
  <c r="BL74" i="27" l="1"/>
  <c r="BM72" i="27" s="1"/>
  <c r="AJ12" i="27"/>
  <c r="AH11" i="27"/>
  <c r="AI11" i="27" s="1"/>
  <c r="AJ11" i="27" s="1"/>
  <c r="BM73" i="27" l="1"/>
  <c r="BM74" i="27" s="1"/>
  <c r="BN72" i="27" s="1"/>
  <c r="AJ13" i="27"/>
  <c r="AK10" i="27" s="1"/>
  <c r="BN73" i="27" l="1"/>
  <c r="BV19" i="29"/>
  <c r="BW19" i="29" s="1"/>
  <c r="AK12" i="27"/>
  <c r="AK11" i="27"/>
  <c r="BN74" i="27" l="1"/>
  <c r="BO72" i="27" s="1"/>
  <c r="AK13" i="27"/>
  <c r="AL10" i="27" s="1"/>
  <c r="AL12" i="27" s="1"/>
  <c r="AL13" i="27" s="1"/>
  <c r="BO73" i="27" l="1"/>
  <c r="AL11" i="27"/>
  <c r="AM10" i="27"/>
  <c r="BO74" i="27" l="1"/>
  <c r="BP72" i="27" l="1"/>
  <c r="AM12" i="27"/>
  <c r="AM13" i="27" s="1"/>
  <c r="AN10" i="27" s="1"/>
  <c r="BP73" i="27" l="1"/>
  <c r="AN12" i="27"/>
  <c r="AN13" i="27" s="1"/>
  <c r="AO10" i="27" s="1"/>
  <c r="AO12" i="27" s="1"/>
  <c r="AO13" i="27" s="1"/>
  <c r="AM11" i="27"/>
  <c r="AN11" i="27" s="1"/>
  <c r="BP74" i="27" l="1"/>
  <c r="AO11" i="27"/>
  <c r="AP10" i="27"/>
  <c r="AP12" i="27" s="1"/>
  <c r="AP13" i="27" s="1"/>
  <c r="AQ10" i="27" s="1"/>
  <c r="AQ12" i="27" s="1"/>
  <c r="AQ13" i="27" s="1"/>
  <c r="AR10" i="27" s="1"/>
  <c r="AR12" i="27" s="1"/>
  <c r="AR13" i="27" s="1"/>
  <c r="AS10" i="27" s="1"/>
  <c r="BQ72" i="27" l="1"/>
  <c r="AS12" i="27"/>
  <c r="AP11" i="27"/>
  <c r="AQ11" i="27" s="1"/>
  <c r="AR11" i="27" s="1"/>
  <c r="AS11" i="27" s="1"/>
  <c r="BQ73" i="27" l="1"/>
  <c r="AS13" i="27"/>
  <c r="AT10" i="27" s="1"/>
  <c r="AT12" i="27" s="1"/>
  <c r="AT13" i="27" s="1"/>
  <c r="AU10" i="27" s="1"/>
  <c r="AU12" i="27" s="1"/>
  <c r="AU13" i="27" s="1"/>
  <c r="AV10" i="27" s="1"/>
  <c r="AV12" i="27" s="1"/>
  <c r="AV13" i="27" s="1"/>
  <c r="AW10" i="27" s="1"/>
  <c r="AW12" i="27" s="1"/>
  <c r="AW13" i="27" s="1"/>
  <c r="AX10" i="27" s="1"/>
  <c r="AX12" i="27" s="1"/>
  <c r="AX13" i="27" s="1"/>
  <c r="BQ74" i="27" l="1"/>
  <c r="AY10" i="27"/>
  <c r="AY12" i="27" s="1"/>
  <c r="AY13" i="27" s="1"/>
  <c r="AT11" i="27"/>
  <c r="AU11" i="27" s="1"/>
  <c r="AV11" i="27" s="1"/>
  <c r="AW11" i="27" s="1"/>
  <c r="AX11" i="27" s="1"/>
  <c r="BR72" i="27" l="1"/>
  <c r="AY11" i="27"/>
  <c r="BR73" i="27" l="1"/>
  <c r="M21" i="27"/>
  <c r="M22" i="27" s="1"/>
  <c r="L12" i="29"/>
  <c r="N26" i="27" s="1"/>
  <c r="M33" i="27"/>
  <c r="M34" i="27" s="1"/>
  <c r="BR74" i="27" l="1"/>
  <c r="N32" i="27"/>
  <c r="N33" i="27" s="1"/>
  <c r="N15" i="27"/>
  <c r="M24" i="27"/>
  <c r="M23" i="27"/>
  <c r="BS72" i="27" l="1"/>
  <c r="N21" i="27"/>
  <c r="N22" i="27" s="1"/>
  <c r="N34" i="27"/>
  <c r="O32" i="27" s="1"/>
  <c r="N23" i="27"/>
  <c r="BS73" i="27" l="1"/>
  <c r="O33" i="27"/>
  <c r="O23" i="27" s="1"/>
  <c r="O21" i="27"/>
  <c r="O22" i="27" s="1"/>
  <c r="N24" i="27"/>
  <c r="BS74" i="27" l="1"/>
  <c r="O34" i="27"/>
  <c r="P32" i="27" s="1"/>
  <c r="P21" i="27" s="1"/>
  <c r="P22" i="27" s="1"/>
  <c r="BT72" i="27" l="1"/>
  <c r="O24" i="27"/>
  <c r="P33" i="27"/>
  <c r="P23" i="27" s="1"/>
  <c r="BT73" i="27" l="1"/>
  <c r="P34" i="27"/>
  <c r="P24" i="27" s="1"/>
  <c r="BT74" i="27" l="1"/>
  <c r="Q32" i="27"/>
  <c r="Q33" i="27" s="1"/>
  <c r="BU72" i="27" l="1"/>
  <c r="Q21" i="27"/>
  <c r="Q22" i="27" s="1"/>
  <c r="Q23" i="27"/>
  <c r="Q34" i="27"/>
  <c r="BU73" i="27" l="1"/>
  <c r="R32" i="27"/>
  <c r="Q24" i="27"/>
  <c r="BU74" i="27" l="1"/>
  <c r="R21" i="27"/>
  <c r="R22" i="27" s="1"/>
  <c r="R33" i="27"/>
  <c r="BV72" i="27" l="1"/>
  <c r="R23" i="27"/>
  <c r="R34" i="27"/>
  <c r="S32" i="27" s="1"/>
  <c r="BV73" i="27" l="1"/>
  <c r="S33" i="27"/>
  <c r="S23" i="27" s="1"/>
  <c r="S21" i="27"/>
  <c r="S22" i="27" s="1"/>
  <c r="R24" i="27"/>
  <c r="BV74" i="27" l="1"/>
  <c r="S34" i="27"/>
  <c r="T32" i="27" s="1"/>
  <c r="T33" i="27" s="1"/>
  <c r="BW72" i="27" l="1"/>
  <c r="S24" i="27"/>
  <c r="T23" i="27"/>
  <c r="T34" i="27"/>
  <c r="U32" i="27" s="1"/>
  <c r="U33" i="27" s="1"/>
  <c r="T21" i="27"/>
  <c r="T22" i="27" s="1"/>
  <c r="BW73" i="27" l="1"/>
  <c r="T24" i="27"/>
  <c r="U23" i="27"/>
  <c r="U34" i="27"/>
  <c r="V32" i="27" s="1"/>
  <c r="V33" i="27" s="1"/>
  <c r="U21" i="27"/>
  <c r="U22" i="27" s="1"/>
  <c r="BW74" i="27" l="1"/>
  <c r="U24" i="27"/>
  <c r="V23" i="27"/>
  <c r="V34" i="27"/>
  <c r="W32" i="27" s="1"/>
  <c r="W21" i="27" s="1"/>
  <c r="V21" i="27"/>
  <c r="V22" i="27" s="1"/>
  <c r="BX72" i="27" l="1"/>
  <c r="V24" i="27"/>
  <c r="W33" i="27"/>
  <c r="W22" i="27"/>
  <c r="BX73" i="27" l="1"/>
  <c r="W23" i="27"/>
  <c r="W34" i="27"/>
  <c r="BX74" i="27" l="1"/>
  <c r="BY72" i="27" s="1"/>
  <c r="X32" i="27"/>
  <c r="W24" i="27"/>
  <c r="BY73" i="27" l="1"/>
  <c r="X33" i="27"/>
  <c r="X21" i="27"/>
  <c r="X22" i="27" s="1"/>
  <c r="BY74" i="27" l="1"/>
  <c r="BZ72" i="27" s="1"/>
  <c r="X23" i="27"/>
  <c r="X34" i="27"/>
  <c r="BZ73" i="27" l="1"/>
  <c r="Y32" i="27"/>
  <c r="X24" i="27"/>
  <c r="BZ74" i="27" l="1"/>
  <c r="CA72" i="27" s="1"/>
  <c r="Y33" i="27"/>
  <c r="Y21" i="27"/>
  <c r="Y22" i="27" s="1"/>
  <c r="CA73" i="27" l="1"/>
  <c r="Y23" i="27"/>
  <c r="Y34" i="27"/>
  <c r="Z32" i="27" s="1"/>
  <c r="Z33" i="27" s="1"/>
  <c r="CA74" i="27" l="1"/>
  <c r="CB72" i="27" s="1"/>
  <c r="Z21" i="27"/>
  <c r="Z22" i="27" s="1"/>
  <c r="Y24" i="27"/>
  <c r="CB73" i="27" l="1"/>
  <c r="Z23" i="27"/>
  <c r="CB74" i="27" l="1"/>
  <c r="CC72" i="27" s="1"/>
  <c r="Z34" i="27"/>
  <c r="AA32" i="27" s="1"/>
  <c r="CC73" i="27" l="1"/>
  <c r="AA21" i="27"/>
  <c r="AA33" i="27"/>
  <c r="AA23" i="27" s="1"/>
  <c r="Z24" i="27"/>
  <c r="CC74" i="27" l="1"/>
  <c r="AA34" i="27"/>
  <c r="AB32" i="27" s="1"/>
  <c r="AA22" i="27"/>
  <c r="CD72" i="27" l="1"/>
  <c r="AA24" i="27"/>
  <c r="AB21" i="27"/>
  <c r="AB22" i="27" s="1"/>
  <c r="AB33" i="27"/>
  <c r="AB23" i="27" s="1"/>
  <c r="CD73" i="27" l="1"/>
  <c r="AB34" i="27"/>
  <c r="AC32" i="27" s="1"/>
  <c r="AC21" i="27" s="1"/>
  <c r="AC22" i="27" s="1"/>
  <c r="CD74" i="27" l="1"/>
  <c r="AB24" i="27"/>
  <c r="AC33" i="27"/>
  <c r="AC23" i="27" s="1"/>
  <c r="CE72" i="27" l="1"/>
  <c r="AC34" i="27"/>
  <c r="AD32" i="27" s="1"/>
  <c r="AD21" i="27" s="1"/>
  <c r="AD22" i="27" s="1"/>
  <c r="CE73" i="27" l="1"/>
  <c r="AC24" i="27"/>
  <c r="AD33" i="27"/>
  <c r="AD23" i="27" s="1"/>
  <c r="CE74" i="27" l="1"/>
  <c r="AD34" i="27"/>
  <c r="AE32" i="27" s="1"/>
  <c r="AE21" i="27" s="1"/>
  <c r="AE22" i="27" s="1"/>
  <c r="CF72" i="27" l="1"/>
  <c r="AD24" i="27"/>
  <c r="AE33" i="27"/>
  <c r="AE23" i="27" s="1"/>
  <c r="CF73" i="27" l="1"/>
  <c r="AE34" i="27"/>
  <c r="AF32" i="27" s="1"/>
  <c r="AF33" i="27" s="1"/>
  <c r="AF34" i="27" s="1"/>
  <c r="AF24" i="27" s="1"/>
  <c r="CF74" i="27" l="1"/>
  <c r="CG72" i="27" s="1"/>
  <c r="AE24" i="27"/>
  <c r="AF23" i="27"/>
  <c r="AG32" i="27"/>
  <c r="AG33" i="27" s="1"/>
  <c r="AF21" i="27"/>
  <c r="AF22" i="27" s="1"/>
  <c r="CG73" i="27" l="1"/>
  <c r="AG21" i="27"/>
  <c r="AG22" i="27" s="1"/>
  <c r="AG34" i="27"/>
  <c r="AG23" i="27"/>
  <c r="CG74" i="27" l="1"/>
  <c r="AH32" i="27"/>
  <c r="AG24" i="27"/>
  <c r="AH33" i="27" l="1"/>
  <c r="AH21" i="27"/>
  <c r="AH22" i="27" l="1"/>
  <c r="AH23" i="27"/>
  <c r="AH34" i="27"/>
  <c r="AI32" i="27" s="1"/>
  <c r="AI33" i="27" l="1"/>
  <c r="AI23" i="27" s="1"/>
  <c r="AI21" i="27"/>
  <c r="AI22" i="27" s="1"/>
  <c r="AH24" i="27"/>
  <c r="AI34" i="27" l="1"/>
  <c r="AJ32" i="27" s="1"/>
  <c r="AJ33" i="27" s="1"/>
  <c r="AI24" i="27" l="1"/>
  <c r="AJ23" i="27"/>
  <c r="AJ34" i="27"/>
  <c r="AK32" i="27" s="1"/>
  <c r="AK33" i="27" s="1"/>
  <c r="AK23" i="27" s="1"/>
  <c r="AJ21" i="27"/>
  <c r="AJ22" i="27" s="1"/>
  <c r="AJ24" i="27" l="1"/>
  <c r="AK21" i="27"/>
  <c r="AK22" i="27" s="1"/>
  <c r="AK34" i="27"/>
  <c r="AK24" i="27" s="1"/>
  <c r="AL32" i="27" l="1"/>
  <c r="AL33" i="27" l="1"/>
  <c r="AL21" i="27"/>
  <c r="AL22" i="27" s="1"/>
  <c r="AL23" i="27" l="1"/>
  <c r="AL34" i="27"/>
  <c r="AM32" i="27" l="1"/>
  <c r="AL24" i="27"/>
  <c r="AM33" i="27" l="1"/>
  <c r="AM21" i="27"/>
  <c r="AM22" i="27" s="1"/>
  <c r="AM23" i="27" l="1"/>
  <c r="AM34" i="27"/>
  <c r="AN32" i="27" l="1"/>
  <c r="AM24" i="27"/>
  <c r="AN33" i="27" l="1"/>
  <c r="AN21" i="27"/>
  <c r="AN22" i="27" s="1"/>
  <c r="AN23" i="27" l="1"/>
  <c r="AN34" i="27"/>
  <c r="AO32" i="27" l="1"/>
  <c r="AN24" i="27"/>
  <c r="AO33" i="27" l="1"/>
  <c r="AO21" i="27"/>
  <c r="AO22" i="27" s="1"/>
  <c r="AO23" i="27" l="1"/>
  <c r="AO34" i="27"/>
  <c r="AP32" i="27" l="1"/>
  <c r="AO24" i="27"/>
  <c r="AP33" i="27" l="1"/>
  <c r="AP21" i="27"/>
  <c r="AP22" i="27" s="1"/>
  <c r="AP23" i="27" l="1"/>
  <c r="AP34" i="27"/>
  <c r="AQ32" i="27" l="1"/>
  <c r="AP24" i="27"/>
  <c r="AQ33" i="27" l="1"/>
  <c r="AQ21" i="27"/>
  <c r="AQ22" i="27" s="1"/>
  <c r="AQ23" i="27" l="1"/>
  <c r="AQ34" i="27"/>
  <c r="AR32" i="27" l="1"/>
  <c r="AQ24" i="27"/>
  <c r="AR33" i="27" l="1"/>
  <c r="AR21" i="27"/>
  <c r="AR22" i="27" s="1"/>
  <c r="AR23" i="27" l="1"/>
  <c r="AR34" i="27"/>
  <c r="AS32" i="27" l="1"/>
  <c r="AR24" i="27"/>
  <c r="AS33" i="27" l="1"/>
  <c r="AS21" i="27"/>
  <c r="AS22" i="27" s="1"/>
  <c r="AS23" i="27" l="1"/>
  <c r="AS34" i="27"/>
  <c r="AT32" i="27" l="1"/>
  <c r="AS24" i="27"/>
  <c r="AT33" i="27" l="1"/>
  <c r="AT21" i="27"/>
  <c r="AT22" i="27" s="1"/>
  <c r="AT23" i="27" l="1"/>
  <c r="AT34" i="27"/>
  <c r="AU32" i="27" l="1"/>
  <c r="AT24" i="27"/>
  <c r="AU33" i="27" l="1"/>
  <c r="AU21" i="27"/>
  <c r="AU22" i="27" s="1"/>
  <c r="AU23" i="27" l="1"/>
  <c r="AU34" i="27"/>
  <c r="AV32" i="27" s="1"/>
  <c r="AV33" i="27" s="1"/>
  <c r="AV34" i="27" s="1"/>
  <c r="AW32" i="27" l="1"/>
  <c r="AW33" i="27" s="1"/>
  <c r="AW34" i="27" s="1"/>
  <c r="AX32" i="27" s="1"/>
  <c r="AU24" i="27"/>
  <c r="AW23" i="27" l="1"/>
  <c r="AW21" i="27"/>
  <c r="AV21" i="27"/>
  <c r="AV22" i="27" s="1"/>
  <c r="AW22" i="27" l="1"/>
  <c r="AV23" i="27"/>
  <c r="AX33" i="27" l="1"/>
  <c r="AX34" i="27" s="1"/>
  <c r="AV24" i="27"/>
  <c r="AY32" i="27" l="1"/>
  <c r="DY32" i="29" s="1"/>
  <c r="DZ32" i="29" s="1"/>
  <c r="AZ26" i="27" s="1"/>
  <c r="AX23" i="27"/>
  <c r="AX21" i="27"/>
  <c r="AX22" i="27" s="1"/>
  <c r="AW24" i="27"/>
  <c r="AZ15" i="27" l="1"/>
  <c r="AY21" i="27"/>
  <c r="AY22" i="27" s="1"/>
  <c r="AY33" i="27"/>
  <c r="AY23" i="27" s="1"/>
  <c r="AX24" i="27"/>
  <c r="AY34" i="27" l="1"/>
  <c r="AY24" i="27" s="1"/>
  <c r="AZ32" i="27" l="1"/>
  <c r="AZ33" i="27" s="1"/>
  <c r="AZ23" i="27" l="1"/>
  <c r="AZ34" i="27"/>
  <c r="BA32" i="27" s="1"/>
  <c r="BA33" i="27" s="1"/>
  <c r="AZ21" i="27"/>
  <c r="AZ22" i="27" s="1"/>
  <c r="AZ24" i="27" l="1"/>
  <c r="BA21" i="27"/>
  <c r="BA22" i="27" s="1"/>
  <c r="BA23" i="27"/>
  <c r="BA34" i="27"/>
  <c r="DY11" i="29"/>
  <c r="DZ11" i="29" s="1"/>
  <c r="AZ5" i="27" l="1"/>
  <c r="AZ10" i="27" s="1"/>
  <c r="BA24" i="27"/>
  <c r="BB32" i="27"/>
  <c r="AZ11" i="27" l="1"/>
  <c r="AZ12" i="27"/>
  <c r="AZ13" i="27" s="1"/>
  <c r="BB33" i="27"/>
  <c r="BB21" i="27"/>
  <c r="BB22" i="27" s="1"/>
  <c r="BA10" i="27"/>
  <c r="BA12" i="27" s="1"/>
  <c r="BA13" i="27" s="1"/>
  <c r="BB34" i="27" l="1"/>
  <c r="BB23" i="27"/>
  <c r="BA11" i="27"/>
  <c r="FF11" i="29" s="1"/>
  <c r="FG11" i="29" s="1"/>
  <c r="BB5" i="27" s="1"/>
  <c r="BB10" i="27" s="1"/>
  <c r="BC32" i="27" l="1"/>
  <c r="BB24" i="27"/>
  <c r="BC33" i="27" l="1"/>
  <c r="BC21" i="27"/>
  <c r="BC22" i="27" s="1"/>
  <c r="BB12" i="27"/>
  <c r="BB13" i="27" s="1"/>
  <c r="BC10" i="27" s="1"/>
  <c r="BC12" i="27" s="1"/>
  <c r="BC13" i="27" s="1"/>
  <c r="BD10" i="27" s="1"/>
  <c r="BD12" i="27" s="1"/>
  <c r="BD13" i="27" s="1"/>
  <c r="BE10" i="27" s="1"/>
  <c r="BE12" i="27" s="1"/>
  <c r="BE13" i="27" s="1"/>
  <c r="BF10" i="27" s="1"/>
  <c r="BF12" i="27" s="1"/>
  <c r="BF13" i="27" s="1"/>
  <c r="BG10" i="27" s="1"/>
  <c r="BG12" i="27" s="1"/>
  <c r="BG13" i="27" s="1"/>
  <c r="BH10" i="27" s="1"/>
  <c r="BH12" i="27" s="1"/>
  <c r="BH13" i="27" s="1"/>
  <c r="BB11" i="27"/>
  <c r="BC34" i="27" l="1"/>
  <c r="BC23" i="27"/>
  <c r="BC11" i="27"/>
  <c r="BD11" i="27" s="1"/>
  <c r="BE11" i="27" s="1"/>
  <c r="BF11" i="27" s="1"/>
  <c r="BG11" i="27" l="1"/>
  <c r="BH11" i="27" s="1"/>
  <c r="BD32" i="27"/>
  <c r="BC24" i="27"/>
  <c r="FQ11" i="29" l="1"/>
  <c r="FR11" i="29" s="1"/>
  <c r="BD33" i="27"/>
  <c r="BD21" i="27"/>
  <c r="BD22" i="27" s="1"/>
  <c r="BI5" i="27" l="1"/>
  <c r="BI10" i="27" s="1"/>
  <c r="BI12" i="27" s="1"/>
  <c r="BD34" i="27"/>
  <c r="BD23" i="27"/>
  <c r="BI11" i="27" l="1"/>
  <c r="BE32" i="27"/>
  <c r="BD24" i="27"/>
  <c r="BI13" i="27" l="1"/>
  <c r="BJ10" i="27" s="1"/>
  <c r="BJ12" i="27" s="1"/>
  <c r="BJ13" i="27" s="1"/>
  <c r="BK10" i="27" s="1"/>
  <c r="BK12" i="27" s="1"/>
  <c r="BK13" i="27" s="1"/>
  <c r="BL10" i="27" s="1"/>
  <c r="BL12" i="27" s="1"/>
  <c r="BL13" i="27" s="1"/>
  <c r="BM10" i="27" s="1"/>
  <c r="BM12" i="27" s="1"/>
  <c r="BM13" i="27" s="1"/>
  <c r="BN10" i="27" s="1"/>
  <c r="BN12" i="27" s="1"/>
  <c r="BN13" i="27" s="1"/>
  <c r="BO10" i="27" s="1"/>
  <c r="BO12" i="27" s="1"/>
  <c r="BO13" i="27" s="1"/>
  <c r="BP10" i="27" s="1"/>
  <c r="BP12" i="27" s="1"/>
  <c r="BP13" i="27" s="1"/>
  <c r="BQ10" i="27" s="1"/>
  <c r="BQ12" i="27" s="1"/>
  <c r="BQ13" i="27" s="1"/>
  <c r="BR10" i="27" s="1"/>
  <c r="BR12" i="27" s="1"/>
  <c r="BR13" i="27" s="1"/>
  <c r="BS10" i="27" s="1"/>
  <c r="BS12" i="27" s="1"/>
  <c r="BS13" i="27" s="1"/>
  <c r="BT10" i="27" s="1"/>
  <c r="BT12" i="27" s="1"/>
  <c r="BT13" i="27" s="1"/>
  <c r="BU10" i="27" s="1"/>
  <c r="BU12" i="27" s="1"/>
  <c r="BU13" i="27" s="1"/>
  <c r="BV10" i="27" s="1"/>
  <c r="BV12" i="27" s="1"/>
  <c r="BV13" i="27" s="1"/>
  <c r="BW10" i="27" s="1"/>
  <c r="BW12" i="27" s="1"/>
  <c r="BW13" i="27" s="1"/>
  <c r="BX10" i="27" s="1"/>
  <c r="BX12" i="27" s="1"/>
  <c r="BX13" i="27" s="1"/>
  <c r="BY10" i="27" s="1"/>
  <c r="BY12" i="27" s="1"/>
  <c r="BY13" i="27" s="1"/>
  <c r="BZ10" i="27" s="1"/>
  <c r="BZ12" i="27" s="1"/>
  <c r="BZ13" i="27" s="1"/>
  <c r="CA10" i="27" s="1"/>
  <c r="CA12" i="27" s="1"/>
  <c r="CA13" i="27" s="1"/>
  <c r="CB10" i="27" s="1"/>
  <c r="CB12" i="27" s="1"/>
  <c r="CB13" i="27" s="1"/>
  <c r="CC10" i="27" s="1"/>
  <c r="CC12" i="27" s="1"/>
  <c r="CC13" i="27" s="1"/>
  <c r="CD10" i="27" s="1"/>
  <c r="CD12" i="27" s="1"/>
  <c r="CD13" i="27" s="1"/>
  <c r="CE10" i="27" s="1"/>
  <c r="CE12" i="27" s="1"/>
  <c r="CE13" i="27" s="1"/>
  <c r="CF10" i="27" s="1"/>
  <c r="CF12" i="27" s="1"/>
  <c r="CF13" i="27" s="1"/>
  <c r="CG10" i="27" s="1"/>
  <c r="CG12" i="27" s="1"/>
  <c r="CG13" i="27" s="1"/>
  <c r="BE33" i="27"/>
  <c r="BE21" i="27"/>
  <c r="BE22" i="27" s="1"/>
  <c r="BJ11" i="27" l="1"/>
  <c r="BK11" i="27" s="1"/>
  <c r="BL11" i="27" s="1"/>
  <c r="BM11" i="27" s="1"/>
  <c r="BN11" i="27" s="1"/>
  <c r="BO11" i="27" s="1"/>
  <c r="BP11" i="27" s="1"/>
  <c r="BQ11" i="27" s="1"/>
  <c r="BR11" i="27" s="1"/>
  <c r="BS11" i="27" s="1"/>
  <c r="BT11" i="27" s="1"/>
  <c r="BU11" i="27" s="1"/>
  <c r="BV11" i="27" s="1"/>
  <c r="BW11" i="27" s="1"/>
  <c r="BX11" i="27" s="1"/>
  <c r="BY11" i="27" s="1"/>
  <c r="BZ11" i="27" s="1"/>
  <c r="CA11" i="27" s="1"/>
  <c r="CB11" i="27" s="1"/>
  <c r="CC11" i="27" s="1"/>
  <c r="CD11" i="27" s="1"/>
  <c r="CE11" i="27" s="1"/>
  <c r="CF11" i="27" s="1"/>
  <c r="CG11" i="27" s="1"/>
  <c r="BE34" i="27"/>
  <c r="BE23" i="27"/>
  <c r="BF32" i="27" l="1"/>
  <c r="BE24" i="27"/>
  <c r="BF33" i="27" l="1"/>
  <c r="BF21" i="27"/>
  <c r="BF22" i="27" s="1"/>
  <c r="BF34" i="27" l="1"/>
  <c r="BF23" i="27"/>
  <c r="BG32" i="27" l="1"/>
  <c r="BF24" i="27"/>
  <c r="BG33" i="27" l="1"/>
  <c r="BG21" i="27"/>
  <c r="BG22" i="27" s="1"/>
  <c r="BG34" i="27" l="1"/>
  <c r="BG23" i="27"/>
  <c r="BH32" i="27" l="1"/>
  <c r="BG24" i="27"/>
  <c r="BH33" i="27" l="1"/>
  <c r="BH21" i="27"/>
  <c r="BH22" i="27" s="1"/>
  <c r="BH34" i="27" l="1"/>
  <c r="BH23" i="27"/>
  <c r="BH24" i="27" l="1"/>
  <c r="BI32" i="27"/>
  <c r="BI33" i="27" l="1"/>
  <c r="BI21" i="27"/>
  <c r="BI22" i="27" s="1"/>
  <c r="BI34" i="27" l="1"/>
  <c r="BI23" i="27"/>
  <c r="BI24" i="27" l="1"/>
  <c r="BJ32" i="27"/>
  <c r="BJ33" i="27" l="1"/>
  <c r="BJ21" i="27"/>
  <c r="BJ22" i="27" s="1"/>
  <c r="BJ34" i="27" l="1"/>
  <c r="BJ23" i="27"/>
  <c r="BK32" i="27" l="1"/>
  <c r="BJ24" i="27"/>
  <c r="BK33" i="27" l="1"/>
  <c r="BK21" i="27"/>
  <c r="BK22" i="27" s="1"/>
  <c r="BK34" i="27" l="1"/>
  <c r="BK23" i="27"/>
  <c r="BL32" i="27" l="1"/>
  <c r="BK24" i="27"/>
  <c r="BL33" i="27" l="1"/>
  <c r="BL21" i="27"/>
  <c r="BL22" i="27" s="1"/>
  <c r="BL34" i="27" l="1"/>
  <c r="BL23" i="27"/>
  <c r="BM32" i="27" l="1"/>
  <c r="BM33" i="27" s="1"/>
  <c r="BM34" i="27" s="1"/>
  <c r="BL24" i="27"/>
  <c r="BM21" i="27" l="1"/>
  <c r="BM22" i="27" s="1"/>
  <c r="BN32" i="27"/>
  <c r="BM24" i="27"/>
  <c r="BM23" i="27"/>
  <c r="BN33" i="27" l="1"/>
  <c r="BN21" i="27"/>
  <c r="BN22" i="27" s="1"/>
  <c r="BN23" i="27" l="1"/>
  <c r="BN34" i="27"/>
  <c r="BN24" i="27" l="1"/>
  <c r="BO32" i="27"/>
  <c r="BO33" i="27" l="1"/>
  <c r="BO21" i="27"/>
  <c r="BO22" i="27" s="1"/>
  <c r="BO34" i="27" l="1"/>
  <c r="BO23" i="27"/>
  <c r="BP32" i="27" l="1"/>
  <c r="BO24" i="27"/>
  <c r="BP33" i="27" l="1"/>
  <c r="BP21" i="27"/>
  <c r="BP22" i="27" s="1"/>
  <c r="BP34" i="27" l="1"/>
  <c r="BP23" i="27"/>
  <c r="BQ32" i="27" l="1"/>
  <c r="BP24" i="27"/>
  <c r="BQ33" i="27" l="1"/>
  <c r="BQ21" i="27"/>
  <c r="BQ22" i="27" s="1"/>
  <c r="BQ34" i="27" l="1"/>
  <c r="BQ23" i="27"/>
  <c r="BR32" i="27" l="1"/>
  <c r="BQ24" i="27"/>
  <c r="BR33" i="27" l="1"/>
  <c r="BR21" i="27"/>
  <c r="BR22" i="27" s="1"/>
  <c r="BR34" i="27" l="1"/>
  <c r="BR23" i="27"/>
  <c r="BS32" i="27" l="1"/>
  <c r="BR24" i="27"/>
  <c r="BS33" i="27" l="1"/>
  <c r="BS21" i="27"/>
  <c r="BS22" i="27" s="1"/>
  <c r="BS34" i="27" l="1"/>
  <c r="BS23" i="27"/>
  <c r="BT32" i="27" l="1"/>
  <c r="BS24" i="27"/>
  <c r="BT33" i="27" l="1"/>
  <c r="BT21" i="27"/>
  <c r="BT22" i="27" s="1"/>
  <c r="BT34" i="27" l="1"/>
  <c r="BT23" i="27"/>
  <c r="BU32" i="27" l="1"/>
  <c r="BT24" i="27"/>
  <c r="BU33" i="27" l="1"/>
  <c r="BU21" i="27"/>
  <c r="BU22" i="27" s="1"/>
  <c r="BU34" i="27" l="1"/>
  <c r="BU23" i="27"/>
  <c r="BV32" i="27" l="1"/>
  <c r="BU24" i="27"/>
  <c r="BV33" i="27" l="1"/>
  <c r="BV21" i="27"/>
  <c r="BV22" i="27" s="1"/>
  <c r="BV34" i="27" l="1"/>
  <c r="BV23" i="27"/>
  <c r="BW32" i="27" l="1"/>
  <c r="BV24" i="27"/>
  <c r="BW33" i="27" l="1"/>
  <c r="BW21" i="27"/>
  <c r="BW22" i="27" s="1"/>
  <c r="BW34" i="27" l="1"/>
  <c r="BW23" i="27"/>
  <c r="BX32" i="27" l="1"/>
  <c r="BW24" i="27"/>
  <c r="BX33" i="27" l="1"/>
  <c r="BX21" i="27"/>
  <c r="BX22" i="27" l="1"/>
  <c r="BX34" i="27"/>
  <c r="BX23" i="27"/>
  <c r="BX24" i="27" l="1"/>
  <c r="BY32" i="27"/>
  <c r="BY33" i="27" l="1"/>
  <c r="BY21" i="27"/>
  <c r="BY22" i="27" l="1"/>
  <c r="BY34" i="27"/>
  <c r="BY23" i="27"/>
  <c r="BY24" i="27" l="1"/>
  <c r="BZ32" i="27"/>
  <c r="BZ33" i="27" l="1"/>
  <c r="BZ21" i="27"/>
  <c r="BZ22" i="27" s="1"/>
  <c r="BZ34" i="27" l="1"/>
  <c r="BZ23" i="27"/>
  <c r="BZ24" i="27" l="1"/>
  <c r="CA32" i="27"/>
  <c r="CA33" i="27" l="1"/>
  <c r="CA21" i="27"/>
  <c r="CA22" i="27" s="1"/>
  <c r="CA34" i="27" l="1"/>
  <c r="CA23" i="27"/>
  <c r="CA24" i="27" l="1"/>
  <c r="CB32" i="27"/>
  <c r="CB33" i="27" l="1"/>
  <c r="CB21" i="27"/>
  <c r="CB22" i="27" s="1"/>
  <c r="CB34" i="27" l="1"/>
  <c r="CB23" i="27"/>
  <c r="CB24" i="27" l="1"/>
  <c r="CC32" i="27"/>
  <c r="CC33" i="27" l="1"/>
  <c r="CC21" i="27"/>
  <c r="CC22" i="27" s="1"/>
  <c r="CC34" i="27" l="1"/>
  <c r="CC23" i="27"/>
  <c r="CD32" i="27" l="1"/>
  <c r="CC24" i="27"/>
  <c r="CD33" i="27" l="1"/>
  <c r="CD21" i="27"/>
  <c r="CD22" i="27" s="1"/>
  <c r="CD34" i="27" l="1"/>
  <c r="CD23" i="27"/>
  <c r="CE32" i="27" l="1"/>
  <c r="CD24" i="27"/>
  <c r="CE33" i="27" l="1"/>
  <c r="CE21" i="27"/>
  <c r="CE22" i="27" s="1"/>
  <c r="CE34" i="27" l="1"/>
  <c r="CE23" i="27"/>
  <c r="CF32" i="27" l="1"/>
  <c r="CE24" i="27"/>
  <c r="CF33" i="27" l="1"/>
  <c r="CF21" i="27"/>
  <c r="CF22" i="27" s="1"/>
  <c r="CF34" i="27" l="1"/>
  <c r="CF23" i="27"/>
  <c r="CF24" i="27" l="1"/>
  <c r="CG32" i="27"/>
  <c r="CG33" i="27" l="1"/>
  <c r="CG21" i="27"/>
  <c r="CG22" i="27" s="1"/>
  <c r="CG34" i="27" l="1"/>
  <c r="CG23" i="27"/>
  <c r="CG24" i="27" l="1"/>
  <c r="CF31" i="28" l="1"/>
  <c r="CF20" i="28"/>
  <c r="CG20" i="28"/>
  <c r="CF36" i="28" l="1"/>
  <c r="CH27" i="27"/>
  <c r="CF11" i="28"/>
  <c r="CG31" i="28"/>
  <c r="CH39" i="28" l="1"/>
  <c r="CH16" i="27"/>
  <c r="CI27" i="27"/>
  <c r="CG36" i="28"/>
  <c r="CH44" i="28" s="1"/>
  <c r="CI16" i="27" l="1"/>
  <c r="CG54" i="28" l="1"/>
  <c r="CG72" i="28" s="1"/>
  <c r="CI58" i="27" s="1"/>
  <c r="CI59" i="27" s="1"/>
  <c r="CI60" i="27" s="1"/>
  <c r="CI61" i="27" s="1"/>
  <c r="CH53" i="28"/>
  <c r="CG53" i="28"/>
  <c r="CG71" i="28" s="1"/>
  <c r="CI48" i="27" s="1"/>
  <c r="CI49" i="27" s="1"/>
  <c r="CI50" i="27" s="1"/>
  <c r="CI51" i="27" s="1"/>
  <c r="CF58" i="28"/>
  <c r="CH52" i="28"/>
  <c r="CH70" i="28" s="1"/>
  <c r="CJ38" i="27" s="1"/>
  <c r="CJ39" i="27" s="1"/>
  <c r="CJ40" i="27" s="1"/>
  <c r="CJ41" i="27" s="1"/>
  <c r="CF52" i="28"/>
  <c r="N53" i="36"/>
  <c r="CF54" i="28"/>
  <c r="CH58" i="28"/>
  <c r="CF53" i="28"/>
  <c r="CF55" i="28"/>
  <c r="CG52" i="28"/>
  <c r="CG70" i="28" s="1"/>
  <c r="CI38" i="27" s="1"/>
  <c r="CI39" i="27" s="1"/>
  <c r="CI40" i="27" s="1"/>
  <c r="CI41" i="27" s="1"/>
  <c r="CH55" i="28"/>
  <c r="CG55" i="28"/>
  <c r="CG73" i="28" s="1"/>
  <c r="CI68" i="27" s="1"/>
  <c r="CG58" i="28"/>
  <c r="CH54" i="28"/>
  <c r="CH72" i="28" s="1"/>
  <c r="CJ58" i="27" s="1"/>
  <c r="CJ59" i="27" s="1"/>
  <c r="CJ60" i="27" s="1"/>
  <c r="CJ61" i="27" s="1"/>
  <c r="CF72" i="28" l="1"/>
  <c r="CH58" i="27" s="1"/>
  <c r="CH59" i="27" s="1"/>
  <c r="CH60" i="27" s="1"/>
  <c r="CH61" i="27" s="1"/>
  <c r="CH62" i="27" s="1"/>
  <c r="CH63" i="27" s="1"/>
  <c r="CH64" i="27" s="1"/>
  <c r="CI62" i="27" s="1"/>
  <c r="CI63" i="27" s="1"/>
  <c r="CI64" i="27" s="1"/>
  <c r="CJ62" i="27" s="1"/>
  <c r="CJ63" i="27" s="1"/>
  <c r="CJ64" i="27" s="1"/>
  <c r="CF71" i="28"/>
  <c r="CH48" i="27" s="1"/>
  <c r="CH49" i="27" s="1"/>
  <c r="CH50" i="27" s="1"/>
  <c r="CH51" i="27" s="1"/>
  <c r="CH52" i="27" s="1"/>
  <c r="CH53" i="27" s="1"/>
  <c r="CH54" i="27" s="1"/>
  <c r="CI52" i="27" s="1"/>
  <c r="CI53" i="27" s="1"/>
  <c r="CI54" i="27" s="1"/>
  <c r="CF73" i="28"/>
  <c r="CH68" i="27" s="1"/>
  <c r="CH69" i="27" s="1"/>
  <c r="CJ7" i="27"/>
  <c r="CJ8" i="27" s="1"/>
  <c r="O17" i="37"/>
  <c r="CH71" i="28"/>
  <c r="CJ48" i="27" s="1"/>
  <c r="CJ49" i="27" s="1"/>
  <c r="CJ50" i="27" s="1"/>
  <c r="CJ51" i="27" s="1"/>
  <c r="CJ52" i="27" s="1"/>
  <c r="CJ53" i="27" s="1"/>
  <c r="CJ54" i="27" s="1"/>
  <c r="CH73" i="28"/>
  <c r="CJ68" i="27" s="1"/>
  <c r="CF70" i="28"/>
  <c r="CH38" i="27" s="1"/>
  <c r="CH39" i="27" s="1"/>
  <c r="CH40" i="27" s="1"/>
  <c r="CH41" i="27" s="1"/>
  <c r="CH42" i="27" s="1"/>
  <c r="CH43" i="27" s="1"/>
  <c r="CH44" i="27" s="1"/>
  <c r="CI42" i="27" s="1"/>
  <c r="CI43" i="27" s="1"/>
  <c r="CI44" i="27" s="1"/>
  <c r="CJ42" i="27" s="1"/>
  <c r="CJ43" i="27" s="1"/>
  <c r="CJ44" i="27" s="1"/>
  <c r="CH7" i="27"/>
  <c r="CH8" i="27" s="1"/>
  <c r="CH10" i="27" s="1"/>
  <c r="CI69" i="27"/>
  <c r="CI7" i="27"/>
  <c r="CI8" i="27" s="1"/>
  <c r="CF51" i="28"/>
  <c r="CG51" i="28"/>
  <c r="CH51" i="28"/>
  <c r="CI86" i="27"/>
  <c r="O58" i="36"/>
  <c r="O52" i="36"/>
  <c r="O53" i="36"/>
  <c r="M52" i="36"/>
  <c r="M55" i="36"/>
  <c r="O7" i="34"/>
  <c r="O8" i="34" s="1"/>
  <c r="N58" i="36"/>
  <c r="N71" i="36" s="1"/>
  <c r="O48" i="34" s="1"/>
  <c r="M54" i="36"/>
  <c r="M53" i="36"/>
  <c r="N7" i="34"/>
  <c r="N8" i="34" s="1"/>
  <c r="N10" i="34" s="1"/>
  <c r="M58" i="36"/>
  <c r="N55" i="36"/>
  <c r="CH77" i="27"/>
  <c r="CH78" i="27" s="1"/>
  <c r="CH79" i="27" s="1"/>
  <c r="N52" i="36"/>
  <c r="O54" i="36"/>
  <c r="O55" i="36"/>
  <c r="N54" i="36"/>
  <c r="CH86" i="27" l="1"/>
  <c r="CH87" i="27" s="1"/>
  <c r="CH88" i="27" s="1"/>
  <c r="CH89" i="27" s="1"/>
  <c r="CJ86" i="27"/>
  <c r="CJ87" i="27" s="1"/>
  <c r="CJ88" i="27" s="1"/>
  <c r="CI87" i="27"/>
  <c r="CI88" i="27" s="1"/>
  <c r="CH80" i="27"/>
  <c r="CH81" i="27"/>
  <c r="CH82" i="27" s="1"/>
  <c r="CH93" i="27"/>
  <c r="CH90" i="27"/>
  <c r="CH91" i="27"/>
  <c r="CH92" i="27" s="1"/>
  <c r="CI89" i="27" s="1"/>
  <c r="CH12" i="27"/>
  <c r="CH13" i="27" s="1"/>
  <c r="CI10" i="27" s="1"/>
  <c r="CH11" i="27"/>
  <c r="N31" i="37"/>
  <c r="M73" i="36"/>
  <c r="N68" i="34" s="1"/>
  <c r="CF56" i="28"/>
  <c r="CF69" i="28"/>
  <c r="CF74" i="28" s="1"/>
  <c r="P17" i="37"/>
  <c r="O71" i="36"/>
  <c r="P48" i="34" s="1"/>
  <c r="N70" i="36"/>
  <c r="O38" i="34" s="1"/>
  <c r="O10" i="37"/>
  <c r="CJ69" i="27"/>
  <c r="N72" i="36"/>
  <c r="O58" i="34" s="1"/>
  <c r="O24" i="37"/>
  <c r="O73" i="36"/>
  <c r="P68" i="34" s="1"/>
  <c r="P31" i="37"/>
  <c r="N24" i="37"/>
  <c r="M72" i="36"/>
  <c r="N58" i="34" s="1"/>
  <c r="CH70" i="27"/>
  <c r="CH69" i="28"/>
  <c r="CH74" i="28" s="1"/>
  <c r="CH56" i="28"/>
  <c r="CJ28" i="27"/>
  <c r="CJ29" i="27" s="1"/>
  <c r="CJ30" i="27" s="1"/>
  <c r="CJ31" i="27" s="1"/>
  <c r="CJ77" i="27"/>
  <c r="CJ78" i="27" s="1"/>
  <c r="CI77" i="27"/>
  <c r="CI78" i="27" s="1"/>
  <c r="O72" i="36"/>
  <c r="P58" i="34" s="1"/>
  <c r="P24" i="37"/>
  <c r="N10" i="37"/>
  <c r="M70" i="36"/>
  <c r="N38" i="34" s="1"/>
  <c r="CI70" i="27"/>
  <c r="N12" i="34"/>
  <c r="N13" i="34" s="1"/>
  <c r="O10" i="34" s="1"/>
  <c r="N11" i="34"/>
  <c r="O11" i="34" s="1"/>
  <c r="P7" i="34"/>
  <c r="P8" i="34" s="1"/>
  <c r="P10" i="37"/>
  <c r="O70" i="36"/>
  <c r="P38" i="34" s="1"/>
  <c r="N17" i="37"/>
  <c r="N18" i="37" s="1"/>
  <c r="N19" i="37" s="1"/>
  <c r="N20" i="37" s="1"/>
  <c r="N21" i="37" s="1"/>
  <c r="N22" i="37" s="1"/>
  <c r="M71" i="36"/>
  <c r="N48" i="34" s="1"/>
  <c r="O31" i="37"/>
  <c r="N73" i="36"/>
  <c r="O68" i="34" s="1"/>
  <c r="CG56" i="28"/>
  <c r="CG69" i="28"/>
  <c r="CG74" i="28" s="1"/>
  <c r="N51" i="36"/>
  <c r="O51" i="36"/>
  <c r="M51" i="36"/>
  <c r="CI90" i="27" l="1"/>
  <c r="CI93" i="27"/>
  <c r="CH28" i="27"/>
  <c r="CI11" i="27"/>
  <c r="CJ17" i="27"/>
  <c r="CI12" i="27"/>
  <c r="CI13" i="27" s="1"/>
  <c r="CJ10" i="27" s="1"/>
  <c r="O12" i="34"/>
  <c r="O13" i="34" s="1"/>
  <c r="P10" i="34" s="1"/>
  <c r="CJ70" i="27"/>
  <c r="CJ18" i="27"/>
  <c r="CI28" i="27"/>
  <c r="O11" i="37"/>
  <c r="O12" i="37" s="1"/>
  <c r="O13" i="37" s="1"/>
  <c r="O14" i="37" s="1"/>
  <c r="O15" i="37" s="1"/>
  <c r="O39" i="34" s="1"/>
  <c r="O40" i="34" s="1"/>
  <c r="O41" i="34" s="1"/>
  <c r="CI91" i="27"/>
  <c r="CI92" i="27" s="1"/>
  <c r="CJ89" i="27" s="1"/>
  <c r="CJ90" i="27" s="1"/>
  <c r="M56" i="36"/>
  <c r="M69" i="36"/>
  <c r="M74" i="36" s="1"/>
  <c r="N3" i="37"/>
  <c r="N4" i="37" s="1"/>
  <c r="N5" i="37" s="1"/>
  <c r="N6" i="37" s="1"/>
  <c r="N7" i="37" s="1"/>
  <c r="N8" i="37" s="1"/>
  <c r="N28" i="34"/>
  <c r="N29" i="34" s="1"/>
  <c r="N30" i="34" s="1"/>
  <c r="N31" i="34" s="1"/>
  <c r="N32" i="34" s="1"/>
  <c r="N33" i="34" s="1"/>
  <c r="N34" i="34" s="1"/>
  <c r="O69" i="36"/>
  <c r="O74" i="36" s="1"/>
  <c r="P3" i="37"/>
  <c r="O56" i="36"/>
  <c r="CI71" i="27"/>
  <c r="CH71" i="27"/>
  <c r="O3" i="37"/>
  <c r="N69" i="36"/>
  <c r="N74" i="36" s="1"/>
  <c r="N56" i="36"/>
  <c r="O28" i="34"/>
  <c r="O32" i="37"/>
  <c r="O33" i="37" s="1"/>
  <c r="O34" i="37" s="1"/>
  <c r="O35" i="37" s="1"/>
  <c r="O36" i="37" s="1"/>
  <c r="O69" i="34" s="1"/>
  <c r="N11" i="37"/>
  <c r="N12" i="37" s="1"/>
  <c r="N13" i="37" s="1"/>
  <c r="N14" i="37"/>
  <c r="N15" i="37" s="1"/>
  <c r="N39" i="34" s="1"/>
  <c r="N40" i="34" s="1"/>
  <c r="N41" i="34" s="1"/>
  <c r="N42" i="34" s="1"/>
  <c r="N43" i="34" s="1"/>
  <c r="N44" i="34" s="1"/>
  <c r="N25" i="37"/>
  <c r="N26" i="37" s="1"/>
  <c r="N27" i="37" s="1"/>
  <c r="N28" i="37"/>
  <c r="N29" i="37" s="1"/>
  <c r="N59" i="34" s="1"/>
  <c r="N60" i="34" s="1"/>
  <c r="N61" i="34" s="1"/>
  <c r="N62" i="34" s="1"/>
  <c r="N63" i="34" s="1"/>
  <c r="N64" i="34" s="1"/>
  <c r="CI79" i="27"/>
  <c r="N49" i="34"/>
  <c r="N50" i="34" s="1"/>
  <c r="N51" i="34" s="1"/>
  <c r="N52" i="34" s="1"/>
  <c r="N53" i="34" s="1"/>
  <c r="N54" i="34" s="1"/>
  <c r="CI80" i="27"/>
  <c r="P11" i="37"/>
  <c r="P12" i="37" s="1"/>
  <c r="P13" i="37" s="1"/>
  <c r="P14" i="37" s="1"/>
  <c r="P15" i="37" s="1"/>
  <c r="P39" i="34" s="1"/>
  <c r="P40" i="34" s="1"/>
  <c r="P41" i="34" s="1"/>
  <c r="O18" i="37"/>
  <c r="O19" i="37" s="1"/>
  <c r="O20" i="37" s="1"/>
  <c r="O21" i="37" s="1"/>
  <c r="O22" i="37" s="1"/>
  <c r="O49" i="34" s="1"/>
  <c r="O50" i="34" s="1"/>
  <c r="O51" i="34" s="1"/>
  <c r="N32" i="37"/>
  <c r="N33" i="37" s="1"/>
  <c r="N34" i="37" s="1"/>
  <c r="N35" i="37"/>
  <c r="N36" i="37" s="1"/>
  <c r="N69" i="34" s="1"/>
  <c r="N17" i="34" l="1"/>
  <c r="CH29" i="27"/>
  <c r="CH17" i="27"/>
  <c r="O42" i="34"/>
  <c r="O43" i="34" s="1"/>
  <c r="O44" i="34" s="1"/>
  <c r="P42" i="34" s="1"/>
  <c r="P43" i="34" s="1"/>
  <c r="P44" i="34" s="1"/>
  <c r="O70" i="34"/>
  <c r="CI81" i="27"/>
  <c r="CI82" i="27" s="1"/>
  <c r="CJ79" i="27" s="1"/>
  <c r="CJ80" i="27" s="1"/>
  <c r="O17" i="34"/>
  <c r="N70" i="34"/>
  <c r="N18" i="34"/>
  <c r="P18" i="37"/>
  <c r="P19" i="37" s="1"/>
  <c r="P20" i="37" s="1"/>
  <c r="P21" i="37" s="1"/>
  <c r="P22" i="37" s="1"/>
  <c r="P49" i="34" s="1"/>
  <c r="P50" i="34" s="1"/>
  <c r="P51" i="34" s="1"/>
  <c r="P52" i="34" s="1"/>
  <c r="P53" i="34" s="1"/>
  <c r="P54" i="34" s="1"/>
  <c r="CJ12" i="27"/>
  <c r="CJ13" i="27" s="1"/>
  <c r="O25" i="37"/>
  <c r="P12" i="34"/>
  <c r="P13" i="34" s="1"/>
  <c r="P11" i="34"/>
  <c r="CJ71" i="27"/>
  <c r="CJ19" i="27"/>
  <c r="P32" i="37"/>
  <c r="P33" i="37" s="1"/>
  <c r="P34" i="37" s="1"/>
  <c r="P35" i="37" s="1"/>
  <c r="P36" i="37" s="1"/>
  <c r="P69" i="34" s="1"/>
  <c r="O52" i="34"/>
  <c r="O53" i="34" s="1"/>
  <c r="O54" i="34" s="1"/>
  <c r="CH72" i="27"/>
  <c r="CH73" i="27" s="1"/>
  <c r="O4" i="37"/>
  <c r="O5" i="37" s="1"/>
  <c r="O6" i="37" s="1"/>
  <c r="O7" i="37" s="1"/>
  <c r="O8" i="37" s="1"/>
  <c r="O29" i="34" s="1"/>
  <c r="O30" i="34" s="1"/>
  <c r="O31" i="34" s="1"/>
  <c r="O32" i="34" s="1"/>
  <c r="O33" i="34" s="1"/>
  <c r="O34" i="34" s="1"/>
  <c r="CJ91" i="27"/>
  <c r="CJ92" i="27" s="1"/>
  <c r="CJ11" i="27"/>
  <c r="P28" i="34"/>
  <c r="P17" i="34" s="1"/>
  <c r="CI29" i="27"/>
  <c r="CI17" i="27"/>
  <c r="CJ93" i="27"/>
  <c r="CH30" i="27" l="1"/>
  <c r="CH18" i="27"/>
  <c r="P70" i="34"/>
  <c r="CJ81" i="27"/>
  <c r="CJ82" i="27" s="1"/>
  <c r="P4" i="37"/>
  <c r="P5" i="37" s="1"/>
  <c r="P6" i="37" s="1"/>
  <c r="P7" i="37" s="1"/>
  <c r="P8" i="37" s="1"/>
  <c r="P29" i="34" s="1"/>
  <c r="P30" i="34" s="1"/>
  <c r="P31" i="34" s="1"/>
  <c r="P32" i="34" s="1"/>
  <c r="P33" i="34" s="1"/>
  <c r="P34" i="34" s="1"/>
  <c r="CJ20" i="27"/>
  <c r="O26" i="37"/>
  <c r="O27" i="37" s="1"/>
  <c r="O28" i="37" s="1"/>
  <c r="O29" i="37" s="1"/>
  <c r="O59" i="34" s="1"/>
  <c r="P25" i="37"/>
  <c r="N19" i="34"/>
  <c r="N71" i="34"/>
  <c r="O71" i="34"/>
  <c r="CI30" i="27"/>
  <c r="CI18" i="27"/>
  <c r="CH74" i="27"/>
  <c r="CH31" i="27" l="1"/>
  <c r="CH19" i="27"/>
  <c r="CI72" i="27"/>
  <c r="O60" i="34"/>
  <c r="O18" i="34"/>
  <c r="CI31" i="27"/>
  <c r="CI19" i="27"/>
  <c r="N72" i="34"/>
  <c r="N21" i="34" s="1"/>
  <c r="N20" i="34"/>
  <c r="P71" i="34"/>
  <c r="P26" i="37"/>
  <c r="P27" i="37" s="1"/>
  <c r="P28" i="37" s="1"/>
  <c r="P29" i="37" s="1"/>
  <c r="P59" i="34" s="1"/>
  <c r="CH32" i="27" l="1"/>
  <c r="CH21" i="27" s="1"/>
  <c r="CH33" i="27"/>
  <c r="CH20" i="27"/>
  <c r="CI20" i="27"/>
  <c r="N22" i="34"/>
  <c r="P60" i="34"/>
  <c r="P18" i="34"/>
  <c r="O61" i="34"/>
  <c r="O19" i="34"/>
  <c r="N73" i="34"/>
  <c r="CI73" i="27"/>
  <c r="CH34" i="27" l="1"/>
  <c r="CH23" i="27"/>
  <c r="CH22" i="27"/>
  <c r="P61" i="34"/>
  <c r="P19" i="34"/>
  <c r="CI74" i="27"/>
  <c r="N74" i="34"/>
  <c r="N23" i="34"/>
  <c r="O62" i="34"/>
  <c r="O63" i="34" s="1"/>
  <c r="O64" i="34" s="1"/>
  <c r="O20" i="34"/>
  <c r="CH24" i="27" l="1"/>
  <c r="CI32" i="27"/>
  <c r="N24" i="34"/>
  <c r="O72" i="34"/>
  <c r="CJ72" i="27"/>
  <c r="P62" i="34"/>
  <c r="P63" i="34" s="1"/>
  <c r="P64" i="34" s="1"/>
  <c r="P20" i="34"/>
  <c r="CI21" i="27" l="1"/>
  <c r="CI33" i="27"/>
  <c r="CJ73" i="27"/>
  <c r="O21" i="34"/>
  <c r="O73" i="34"/>
  <c r="CI34" i="27" l="1"/>
  <c r="CI23" i="27"/>
  <c r="CI22" i="27"/>
  <c r="O74" i="34"/>
  <c r="O23" i="34"/>
  <c r="O22" i="34"/>
  <c r="CJ74" i="27"/>
  <c r="CJ32" i="27" l="1"/>
  <c r="CI24" i="27"/>
  <c r="O24" i="34"/>
  <c r="P72" i="34"/>
  <c r="CJ33" i="27" l="1"/>
  <c r="CJ21" i="27"/>
  <c r="P21" i="34"/>
  <c r="P73" i="34"/>
  <c r="CJ22" i="27" l="1"/>
  <c r="CJ34" i="27"/>
  <c r="CJ24" i="27" s="1"/>
  <c r="CJ23" i="27"/>
  <c r="P74" i="34"/>
  <c r="P24" i="34" s="1"/>
  <c r="P23" i="34"/>
  <c r="P22"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D6" authorId="0" shapeId="0" xr:uid="{3061C650-E2A5-4F2E-928E-9BBD33D18D71}">
      <text>
        <r>
          <rPr>
            <b/>
            <sz val="9"/>
            <color indexed="81"/>
            <rFont val="Tahoma"/>
            <family val="2"/>
          </rPr>
          <t>Filley, Kimberly S:</t>
        </r>
        <r>
          <rPr>
            <sz val="9"/>
            <color indexed="81"/>
            <rFont val="Tahoma"/>
            <family val="2"/>
          </rPr>
          <t xml:space="preserve">
includes $2,141.09 in costs related to PAYS</t>
        </r>
      </text>
    </comment>
    <comment ref="E6" authorId="0" shapeId="0" xr:uid="{E5EA8EDD-383A-4B10-8806-94EFE3271A07}">
      <text>
        <r>
          <rPr>
            <b/>
            <sz val="9"/>
            <color indexed="81"/>
            <rFont val="Tahoma"/>
            <family val="2"/>
          </rPr>
          <t>Filley, Kimberly S:</t>
        </r>
        <r>
          <rPr>
            <sz val="9"/>
            <color indexed="81"/>
            <rFont val="Tahoma"/>
            <family val="2"/>
          </rPr>
          <t xml:space="preserve">
includes $2,122.45 in costs related to PAYS</t>
        </r>
      </text>
    </comment>
    <comment ref="F6" authorId="0" shapeId="0" xr:uid="{6A160C19-C5BA-4EAC-A1F1-9D45B65F7081}">
      <text>
        <r>
          <rPr>
            <b/>
            <sz val="9"/>
            <color indexed="81"/>
            <rFont val="Tahoma"/>
            <family val="2"/>
          </rPr>
          <t>Filley, Kimberly S:</t>
        </r>
        <r>
          <rPr>
            <sz val="9"/>
            <color indexed="81"/>
            <rFont val="Tahoma"/>
            <family val="2"/>
          </rPr>
          <t xml:space="preserve">
includes $2,259.08 in costs related to PAYS and a write-off of PAYS to MEEIA of $374.04 due to no payment on billed balance</t>
        </r>
      </text>
    </comment>
    <comment ref="G6" authorId="0" shapeId="0" xr:uid="{E63FC25F-8425-4955-A6D9-09C549DB2C9F}">
      <text>
        <r>
          <rPr>
            <b/>
            <sz val="9"/>
            <color indexed="81"/>
            <rFont val="Tahoma"/>
            <family val="2"/>
          </rPr>
          <t>Filley, Kimberly S:</t>
        </r>
        <r>
          <rPr>
            <sz val="9"/>
            <color indexed="81"/>
            <rFont val="Tahoma"/>
            <family val="2"/>
          </rPr>
          <t xml:space="preserve">
includes $2,316.54 in costs related to PAYS </t>
        </r>
      </text>
    </comment>
    <comment ref="H6" authorId="0" shapeId="0" xr:uid="{E89F3D8A-CD69-4128-AC6D-F6F7F3B9CA1B}">
      <text>
        <r>
          <rPr>
            <b/>
            <sz val="9"/>
            <color indexed="81"/>
            <rFont val="Tahoma"/>
            <family val="2"/>
          </rPr>
          <t>Filley, Kimberly S:</t>
        </r>
        <r>
          <rPr>
            <sz val="9"/>
            <color indexed="81"/>
            <rFont val="Tahoma"/>
            <family val="2"/>
          </rPr>
          <t xml:space="preserve">
includes $2,468.48 in costs related to PAYS </t>
        </r>
      </text>
    </comment>
    <comment ref="I6" authorId="0" shapeId="0" xr:uid="{BDFCDA0D-B253-4932-B59D-F1541B570B3F}">
      <text>
        <r>
          <rPr>
            <b/>
            <sz val="9"/>
            <color indexed="81"/>
            <rFont val="Tahoma"/>
            <family val="2"/>
          </rPr>
          <t>Filley, Kimberly S:</t>
        </r>
        <r>
          <rPr>
            <sz val="9"/>
            <color indexed="81"/>
            <rFont val="Tahoma"/>
            <family val="2"/>
          </rPr>
          <t xml:space="preserve">
includes $504.07 in costs related to PAYS </t>
        </r>
      </text>
    </comment>
    <comment ref="J6" authorId="0" shapeId="0" xr:uid="{18F45AA1-CD48-4F56-8F2E-00F43D3A7F07}">
      <text>
        <r>
          <rPr>
            <b/>
            <sz val="9"/>
            <color indexed="81"/>
            <rFont val="Tahoma"/>
            <family val="2"/>
          </rPr>
          <t>Filley, Kimberly S:</t>
        </r>
        <r>
          <rPr>
            <sz val="9"/>
            <color indexed="81"/>
            <rFont val="Tahoma"/>
            <family val="2"/>
          </rPr>
          <t xml:space="preserve">
includes $505.80 in costs related to PAYS </t>
        </r>
      </text>
    </comment>
    <comment ref="K6" authorId="0" shapeId="0" xr:uid="{DC8D7E19-C15D-4B65-B663-26C742E400E1}">
      <text>
        <r>
          <rPr>
            <b/>
            <sz val="9"/>
            <color indexed="81"/>
            <rFont val="Tahoma"/>
            <family val="2"/>
          </rPr>
          <t>Filley, Kimberly S:</t>
        </r>
        <r>
          <rPr>
            <sz val="9"/>
            <color indexed="81"/>
            <rFont val="Tahoma"/>
            <family val="2"/>
          </rPr>
          <t xml:space="preserve">
includes $912.63 in costs related to PAYS and a partial write-off of pays deferred balance to MEEIA of $80.22 due to no pymt being made</t>
        </r>
      </text>
    </comment>
    <comment ref="L6" authorId="0" shapeId="0" xr:uid="{899FA90C-85E1-4C79-84F6-5745986EDF37}">
      <text>
        <r>
          <rPr>
            <b/>
            <sz val="9"/>
            <color indexed="81"/>
            <rFont val="Tahoma"/>
            <family val="2"/>
          </rPr>
          <t>Filley, Kimberly S:</t>
        </r>
        <r>
          <rPr>
            <sz val="9"/>
            <color indexed="81"/>
            <rFont val="Tahoma"/>
            <family val="2"/>
          </rPr>
          <t xml:space="preserve">
includes $1254.30 in costs related to PAYS</t>
        </r>
      </text>
    </comment>
    <comment ref="M6" authorId="0" shapeId="0" xr:uid="{2E53E221-E7EF-4068-A69F-8E594D21AF05}">
      <text>
        <r>
          <rPr>
            <b/>
            <sz val="9"/>
            <color indexed="81"/>
            <rFont val="Tahoma"/>
            <family val="2"/>
          </rPr>
          <t>Filley, Kimberly S:</t>
        </r>
        <r>
          <rPr>
            <sz val="9"/>
            <color indexed="81"/>
            <rFont val="Tahoma"/>
            <family val="2"/>
          </rPr>
          <t xml:space="preserve">
includes $1924.08 in costs related to PAYS</t>
        </r>
      </text>
    </comment>
    <comment ref="F84" authorId="0" shapeId="0" xr:uid="{0B13E188-3D0E-40CA-B660-C053A950F29A}">
      <text>
        <r>
          <rPr>
            <b/>
            <sz val="9"/>
            <color indexed="81"/>
            <rFont val="Tahoma"/>
            <family val="2"/>
          </rPr>
          <t>Filley, Kimberly S:</t>
        </r>
        <r>
          <rPr>
            <sz val="9"/>
            <color indexed="81"/>
            <rFont val="Tahoma"/>
            <family val="2"/>
          </rPr>
          <t xml:space="preserve">
booked Mar 25 close
1. M4 EO recog for plan year 2025 +$379,915.27
</t>
        </r>
      </text>
    </comment>
    <comment ref="I84" authorId="0" shapeId="0" xr:uid="{D2FD9290-571C-4984-9560-EF90C5FAE3DA}">
      <text>
        <r>
          <rPr>
            <b/>
            <sz val="9"/>
            <color indexed="81"/>
            <rFont val="Tahoma"/>
            <family val="2"/>
          </rPr>
          <t>Filley, Kimberly S:</t>
        </r>
        <r>
          <rPr>
            <sz val="9"/>
            <color indexed="81"/>
            <rFont val="Tahoma"/>
            <family val="2"/>
          </rPr>
          <t xml:space="preserve">
booked Jun 25 close
1. M4 EO recog for plan year 2025 +$717,090.49
</t>
        </r>
      </text>
    </comment>
    <comment ref="L84" authorId="0" shapeId="0" xr:uid="{CEAFF417-D688-4FEA-B8C9-740994C1E69B}">
      <text>
        <r>
          <rPr>
            <b/>
            <sz val="9"/>
            <color indexed="81"/>
            <rFont val="Tahoma"/>
            <family val="2"/>
          </rPr>
          <t>Filley, Kimberly S:</t>
        </r>
        <r>
          <rPr>
            <sz val="9"/>
            <color indexed="81"/>
            <rFont val="Tahoma"/>
            <family val="2"/>
          </rPr>
          <t xml:space="preserve">
booked Sept 25 close
1. M4 EO recog for plan year 2025 +$2,698,495.67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M5" authorId="0" shapeId="0" xr:uid="{621A3219-75FC-49B1-A0A5-306EF291620A}">
      <text>
        <r>
          <rPr>
            <b/>
            <sz val="9"/>
            <color indexed="81"/>
            <rFont val="Tahoma"/>
            <family val="2"/>
          </rPr>
          <t>Filley, Kimberly S:</t>
        </r>
        <r>
          <rPr>
            <sz val="9"/>
            <color indexed="81"/>
            <rFont val="Tahoma"/>
            <family val="2"/>
          </rPr>
          <t xml:space="preserve">
write-off of Sept 30, 2021 PAYS balance to Rate Base accounts 
</t>
        </r>
      </text>
    </comment>
    <comment ref="AD5" authorId="0" shapeId="0" xr:uid="{79816688-E6F8-4C3F-95A9-99375DCB5B98}">
      <text>
        <r>
          <rPr>
            <b/>
            <sz val="9"/>
            <color indexed="81"/>
            <rFont val="Tahoma"/>
            <family val="2"/>
          </rPr>
          <t>Filley, Kimberly S:</t>
        </r>
        <r>
          <rPr>
            <sz val="9"/>
            <color indexed="81"/>
            <rFont val="Tahoma"/>
            <family val="2"/>
          </rPr>
          <t xml:space="preserve">
write-off of December 31, 2022 PAYS balance to Rate Base accounts</t>
        </r>
      </text>
    </comment>
    <comment ref="BA5" authorId="0" shapeId="0" xr:uid="{21197527-AA74-4678-8952-0AA0815A0C44}">
      <text>
        <r>
          <rPr>
            <b/>
            <sz val="9"/>
            <color indexed="81"/>
            <rFont val="Tahoma"/>
            <family val="2"/>
          </rPr>
          <t>Filley, Kimberly S:</t>
        </r>
        <r>
          <rPr>
            <sz val="9"/>
            <color indexed="81"/>
            <rFont val="Tahoma"/>
            <family val="2"/>
          </rPr>
          <t xml:space="preserve">
write-off of December 31, 2024 PAYS balance to Rate Base accounts as result of Rate Case which took effect June 1, 2025
</t>
        </r>
      </text>
    </comment>
    <comment ref="N6" authorId="0" shapeId="0" xr:uid="{B84F3EDA-866D-494F-9135-04E631E2E081}">
      <text>
        <r>
          <rPr>
            <b/>
            <sz val="9"/>
            <color indexed="81"/>
            <rFont val="Tahoma"/>
            <family val="2"/>
          </rPr>
          <t>Filley, Kimberly S:</t>
        </r>
        <r>
          <rPr>
            <sz val="9"/>
            <color indexed="81"/>
            <rFont val="Tahoma"/>
            <family val="2"/>
          </rPr>
          <t xml:space="preserve">
Outstanding customer PAYS balance as of Dec 2021 was written off in March 2022 as such associated deferred spend less amortization was also written off to MEEIA 3 PC in March 2022 </t>
        </r>
      </text>
    </comment>
    <comment ref="W6" authorId="0" shapeId="0" xr:uid="{B752EE4E-7690-44B5-87FC-8C263069A50E}">
      <text>
        <r>
          <rPr>
            <b/>
            <sz val="9"/>
            <color indexed="81"/>
            <rFont val="Tahoma"/>
            <family val="2"/>
          </rPr>
          <t>Filley, Kimberly S:</t>
        </r>
        <r>
          <rPr>
            <sz val="9"/>
            <color indexed="81"/>
            <rFont val="Tahoma"/>
            <family val="2"/>
          </rPr>
          <t xml:space="preserve">
customer account billed and unpaid balance written off in Dec 2022 </t>
        </r>
      </text>
    </comment>
    <comment ref="AM6" authorId="0" shapeId="0" xr:uid="{F24AEEC9-F49A-4F8C-A6C1-29C0EB7FBC74}">
      <text>
        <r>
          <rPr>
            <b/>
            <sz val="9"/>
            <color indexed="81"/>
            <rFont val="Tahoma"/>
            <family val="2"/>
          </rPr>
          <t>Filley, Kimberly S:</t>
        </r>
        <r>
          <rPr>
            <sz val="9"/>
            <color indexed="81"/>
            <rFont val="Tahoma"/>
            <family val="2"/>
          </rPr>
          <t xml:space="preserve">
customer account billed but not paid so had to be written off in Apr 24 
</t>
        </r>
      </text>
    </comment>
    <comment ref="AX6" authorId="0" shapeId="0" xr:uid="{34A21D12-5EAA-41A9-8613-AFBE2B59B6DA}">
      <text>
        <r>
          <rPr>
            <b/>
            <sz val="9"/>
            <color indexed="81"/>
            <rFont val="Tahoma"/>
            <family val="2"/>
          </rPr>
          <t>Filley, Kimberly S:</t>
        </r>
        <r>
          <rPr>
            <sz val="9"/>
            <color indexed="81"/>
            <rFont val="Tahoma"/>
            <family val="2"/>
          </rPr>
          <t xml:space="preserve">
customer account billed but not paid so had to be written off in Mar 25 
</t>
        </r>
      </text>
    </comment>
    <comment ref="BC6" authorId="0" shapeId="0" xr:uid="{7AC94269-CE78-4071-B99E-BC32D4797EEB}">
      <text>
        <r>
          <rPr>
            <b/>
            <sz val="9"/>
            <color indexed="81"/>
            <rFont val="Tahoma"/>
            <family val="2"/>
          </rPr>
          <t>Filley, Kimberly S:</t>
        </r>
        <r>
          <rPr>
            <sz val="9"/>
            <color indexed="81"/>
            <rFont val="Tahoma"/>
            <family val="2"/>
          </rPr>
          <t xml:space="preserve">
customer account billed but not paid so had to be written off in Aug 25 
</t>
        </r>
      </text>
    </comment>
    <comment ref="BD7" authorId="0" shapeId="0" xr:uid="{5EE9CF5C-9326-4364-AC95-60E7A6149B22}">
      <text>
        <r>
          <rPr>
            <b/>
            <sz val="9"/>
            <color indexed="81"/>
            <rFont val="Tahoma"/>
            <family val="2"/>
          </rPr>
          <t>Filley, Kimberly S:</t>
        </r>
        <r>
          <rPr>
            <sz val="9"/>
            <color indexed="81"/>
            <rFont val="Tahoma"/>
            <family val="2"/>
          </rPr>
          <t xml:space="preserve">
this account was early paid in Sept 25 so this is removing the remaining unamortized principle balance (as fully paid) from the deferred spend balance herein</t>
        </r>
      </text>
    </comment>
    <comment ref="W8" authorId="0" shapeId="0" xr:uid="{06F421F1-0D00-4834-A9C2-AAB7A8279A0C}">
      <text>
        <r>
          <rPr>
            <b/>
            <sz val="9"/>
            <color indexed="81"/>
            <rFont val="Tahoma"/>
            <family val="2"/>
          </rPr>
          <t>Filley, Kimberly S:</t>
        </r>
        <r>
          <rPr>
            <sz val="9"/>
            <color indexed="81"/>
            <rFont val="Tahoma"/>
            <family val="2"/>
          </rPr>
          <t xml:space="preserve">
unwinding of amortization recorded Jun 21-Jan 22 due to customer account billed and unpaid balance written off in Dec 2022 </t>
        </r>
      </text>
    </comment>
    <comment ref="AA8" authorId="0" shapeId="0" xr:uid="{D0A34C44-088F-4204-A77A-987FD68D0142}">
      <text>
        <r>
          <rPr>
            <b/>
            <sz val="9"/>
            <color indexed="81"/>
            <rFont val="Tahoma"/>
            <family val="2"/>
          </rPr>
          <t>Filley, Kimberly S:</t>
        </r>
        <r>
          <rPr>
            <sz val="9"/>
            <color indexed="81"/>
            <rFont val="Tahoma"/>
            <family val="2"/>
          </rPr>
          <t xml:space="preserve">
unwinding of amortization recorded due to customer account not being setup to bill until 4-23 </t>
        </r>
      </text>
    </comment>
    <comment ref="AC8" authorId="0" shapeId="0" xr:uid="{F4C04808-2323-41F0-8BA3-D8D5F76CF782}">
      <text>
        <r>
          <rPr>
            <b/>
            <sz val="9"/>
            <color indexed="81"/>
            <rFont val="Tahoma"/>
            <family val="2"/>
          </rPr>
          <t>Filley, Kimberly S:</t>
        </r>
        <r>
          <rPr>
            <sz val="9"/>
            <color indexed="81"/>
            <rFont val="Tahoma"/>
            <family val="2"/>
          </rPr>
          <t xml:space="preserve">
unwinding of amortization recorded Aug 2022 - May 2023 as service was disconnected due to non-payment - account reestablished and charges commenced June 2023</t>
        </r>
      </text>
    </comment>
    <comment ref="BC8" authorId="0" shapeId="0" xr:uid="{875DBCDA-6C58-4DCC-8991-1B9063705162}">
      <text>
        <r>
          <rPr>
            <b/>
            <sz val="9"/>
            <color indexed="81"/>
            <rFont val="Tahoma"/>
            <family val="2"/>
          </rPr>
          <t>Filley, Kimberly S:</t>
        </r>
        <r>
          <rPr>
            <sz val="9"/>
            <color indexed="81"/>
            <rFont val="Tahoma"/>
            <family val="2"/>
          </rPr>
          <t xml:space="preserve">
unwinding of amortization recorded April 2025 due to customer account billed but never paid billed but not paid balance written off in August 25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AD5" authorId="0" shapeId="0" xr:uid="{00000000-0006-0000-0000-000001000000}">
      <text>
        <r>
          <rPr>
            <b/>
            <sz val="9"/>
            <color indexed="81"/>
            <rFont val="Tahoma"/>
            <family val="2"/>
          </rPr>
          <t>Filley, Kimberly S:</t>
        </r>
        <r>
          <rPr>
            <sz val="9"/>
            <color indexed="81"/>
            <rFont val="Tahoma"/>
            <family val="2"/>
          </rPr>
          <t xml:space="preserve">
includes cost and associated interest correction related to prud review to back out $21,490.44 in costs from March 19 - Sep 20 for RT = 34 as these are not recoverable through MEEIA and $491.96 in associated interest</t>
        </r>
      </text>
    </comment>
    <comment ref="AL5" authorId="0" shapeId="0" xr:uid="{00000000-0006-0000-0000-000002000000}">
      <text>
        <r>
          <rPr>
            <b/>
            <sz val="9"/>
            <color indexed="81"/>
            <rFont val="Tahoma"/>
            <family val="2"/>
          </rPr>
          <t>Filley, Kimberly S:</t>
        </r>
        <r>
          <rPr>
            <sz val="9"/>
            <color indexed="81"/>
            <rFont val="Tahoma"/>
            <family val="2"/>
          </rPr>
          <t xml:space="preserve">
PC and assoc. interest adj related to PAYS labor that was incorrectly included in M3 PC booked in GL in November 21</t>
        </r>
      </text>
    </comment>
    <comment ref="AO5" authorId="1" shapeId="0" xr:uid="{00000000-0006-0000-0000-000003000000}">
      <text>
        <r>
          <rPr>
            <b/>
            <sz val="9"/>
            <color indexed="81"/>
            <rFont val="Tahoma"/>
            <family val="2"/>
          </rPr>
          <t>Logan, Raysene:</t>
        </r>
        <r>
          <rPr>
            <sz val="9"/>
            <color indexed="81"/>
            <rFont val="Tahoma"/>
            <family val="2"/>
          </rPr>
          <t xml:space="preserve">
M2 Janaury 2022 ending balances rolled into M3 effective Feb 2022</t>
        </r>
      </text>
    </comment>
    <comment ref="AZ5" authorId="0" shapeId="0" xr:uid="{00000000-0006-0000-0000-000004000000}">
      <text>
        <r>
          <rPr>
            <b/>
            <sz val="9"/>
            <color indexed="81"/>
            <rFont val="Tahoma"/>
            <family val="2"/>
          </rPr>
          <t>Filley, Kimberly S:</t>
        </r>
        <r>
          <rPr>
            <sz val="9"/>
            <color indexed="81"/>
            <rFont val="Tahoma"/>
            <family val="2"/>
          </rPr>
          <t xml:space="preserve">
interest correction related to change in interest rate in Dec 2020 for M3 which resulted in change in interest amount Dec 2020 - Dec 2022 totaling -$533.70 
and for M2 which resulted in a change in interest amount Dec 2020 - Jan 2022 totaling 
-$24.64 which needs to now be picked up as part of M3 as M2 PC ended in Jan 2022 </t>
        </r>
      </text>
    </comment>
    <comment ref="BB5" authorId="0" shapeId="0" xr:uid="{00000000-0006-0000-0000-000005000000}">
      <text>
        <r>
          <rPr>
            <b/>
            <sz val="9"/>
            <color indexed="81"/>
            <rFont val="Tahoma"/>
            <family val="2"/>
          </rPr>
          <t>Filley, Kimberly S:</t>
        </r>
        <r>
          <rPr>
            <sz val="9"/>
            <color indexed="81"/>
            <rFont val="Tahoma"/>
            <family val="2"/>
          </rPr>
          <t xml:space="preserve">
interest correction booked in GL March 2023 related to 3 prudence review finds spanning from Nov 20 to Sep 22 whereby costs had either been improperly included or excluded during those periods resulting in incorrect interest amounts being booked Nov 20- Feb 23</t>
        </r>
      </text>
    </comment>
    <comment ref="BI5" authorId="0" shapeId="0" xr:uid="{00000000-0006-0000-0000-000006000000}">
      <text>
        <r>
          <rPr>
            <b/>
            <sz val="9"/>
            <color indexed="81"/>
            <rFont val="Tahoma"/>
            <family val="2"/>
          </rPr>
          <t>Filley, Kimberly S:</t>
        </r>
        <r>
          <rPr>
            <sz val="9"/>
            <color indexed="81"/>
            <rFont val="Tahoma"/>
            <family val="2"/>
          </rPr>
          <t xml:space="preserve">
PC and assoc. interest adj related to PAYS costs that s/h flowed through MEEIA had the correct PISA rate been applied in Jul 23 - Sep 23, crrtn booked in GL in Oct 23</t>
        </r>
      </text>
    </comment>
    <comment ref="AE6" authorId="0" shapeId="0" xr:uid="{00000000-0006-0000-0000-000007000000}">
      <text>
        <r>
          <rPr>
            <b/>
            <sz val="9"/>
            <color indexed="81"/>
            <rFont val="Tahoma"/>
            <family val="2"/>
          </rPr>
          <t>Filley, Kimberly S:</t>
        </r>
        <r>
          <rPr>
            <sz val="9"/>
            <color indexed="81"/>
            <rFont val="Tahoma"/>
            <family val="2"/>
          </rPr>
          <t xml:space="preserve">
includes $70.13 in costs related to PAYS program</t>
        </r>
      </text>
    </comment>
    <comment ref="AF6" authorId="0" shapeId="0" xr:uid="{00000000-0006-0000-0000-000008000000}">
      <text>
        <r>
          <rPr>
            <b/>
            <sz val="9"/>
            <color indexed="81"/>
            <rFont val="Tahoma"/>
            <family val="2"/>
          </rPr>
          <t>Filley, Kimberly S:</t>
        </r>
        <r>
          <rPr>
            <sz val="9"/>
            <color indexed="81"/>
            <rFont val="Tahoma"/>
            <family val="2"/>
          </rPr>
          <t xml:space="preserve">
includes $169.53 in costs related to PAYS program</t>
        </r>
      </text>
    </comment>
    <comment ref="AG6" authorId="0" shapeId="0" xr:uid="{00000000-0006-0000-0000-000009000000}">
      <text>
        <r>
          <rPr>
            <b/>
            <sz val="9"/>
            <color indexed="81"/>
            <rFont val="Tahoma"/>
            <family val="2"/>
          </rPr>
          <t>Filley, Kimberly S:</t>
        </r>
        <r>
          <rPr>
            <sz val="9"/>
            <color indexed="81"/>
            <rFont val="Tahoma"/>
            <family val="2"/>
          </rPr>
          <t xml:space="preserve">
includes $175.17 in costs related to PAYS program</t>
        </r>
      </text>
    </comment>
    <comment ref="AH6" authorId="0" shapeId="0" xr:uid="{00000000-0006-0000-0000-00000A000000}">
      <text>
        <r>
          <rPr>
            <b/>
            <sz val="9"/>
            <color indexed="81"/>
            <rFont val="Tahoma"/>
            <family val="2"/>
          </rPr>
          <t>Filley, Kimberly S:</t>
        </r>
        <r>
          <rPr>
            <sz val="9"/>
            <color indexed="81"/>
            <rFont val="Tahoma"/>
            <family val="2"/>
          </rPr>
          <t xml:space="preserve">
includes $220.92 in costs related to PAYS program</t>
        </r>
      </text>
    </comment>
    <comment ref="AI6" authorId="0" shapeId="0" xr:uid="{00000000-0006-0000-0000-00000B000000}">
      <text>
        <r>
          <rPr>
            <b/>
            <sz val="9"/>
            <color indexed="81"/>
            <rFont val="Tahoma"/>
            <family val="2"/>
          </rPr>
          <t>Filley, Kimberly S:</t>
        </r>
        <r>
          <rPr>
            <sz val="9"/>
            <color indexed="81"/>
            <rFont val="Tahoma"/>
            <family val="2"/>
          </rPr>
          <t xml:space="preserve">
includes $379 in costs related to PAYS program</t>
        </r>
      </text>
    </comment>
    <comment ref="AJ6" authorId="0" shapeId="0" xr:uid="{00000000-0006-0000-0000-00000C000000}">
      <text>
        <r>
          <rPr>
            <b/>
            <sz val="9"/>
            <color indexed="81"/>
            <rFont val="Tahoma"/>
            <family val="2"/>
          </rPr>
          <t>Filley, Kimberly S:</t>
        </r>
        <r>
          <rPr>
            <sz val="9"/>
            <color indexed="81"/>
            <rFont val="Tahoma"/>
            <family val="2"/>
          </rPr>
          <t xml:space="preserve">
includes $592.10 in costs related to PAYS program</t>
        </r>
      </text>
    </comment>
    <comment ref="AK6" authorId="0" shapeId="0" xr:uid="{00000000-0006-0000-0000-00000D000000}">
      <text>
        <r>
          <rPr>
            <b/>
            <sz val="9"/>
            <color indexed="81"/>
            <rFont val="Tahoma"/>
            <family val="2"/>
          </rPr>
          <t>Filley, Kimberly S:</t>
        </r>
        <r>
          <rPr>
            <sz val="9"/>
            <color indexed="81"/>
            <rFont val="Tahoma"/>
            <family val="2"/>
          </rPr>
          <t xml:space="preserve">
includes $850.16 in costs related to PAYS program</t>
        </r>
      </text>
    </comment>
    <comment ref="AL6" authorId="0" shapeId="0" xr:uid="{00000000-0006-0000-0000-00000E000000}">
      <text>
        <r>
          <rPr>
            <b/>
            <sz val="9"/>
            <color indexed="81"/>
            <rFont val="Tahoma"/>
            <family val="2"/>
          </rPr>
          <t>Filley, Kimberly S:</t>
        </r>
        <r>
          <rPr>
            <sz val="9"/>
            <color indexed="81"/>
            <rFont val="Tahoma"/>
            <family val="2"/>
          </rPr>
          <t xml:space="preserve">
includes $1,213.81 in costs related to PAYS program</t>
        </r>
      </text>
    </comment>
    <comment ref="AM6" authorId="0" shapeId="0" xr:uid="{00000000-0006-0000-0000-00000F000000}">
      <text>
        <r>
          <rPr>
            <b/>
            <sz val="9"/>
            <color indexed="81"/>
            <rFont val="Tahoma"/>
            <family val="2"/>
          </rPr>
          <t>Filley, Kimberly S:</t>
        </r>
        <r>
          <rPr>
            <sz val="9"/>
            <color indexed="81"/>
            <rFont val="Tahoma"/>
            <family val="2"/>
          </rPr>
          <t xml:space="preserve">
includes $1,272.44 in costs related to PAYS program</t>
        </r>
      </text>
    </comment>
    <comment ref="AN6" authorId="0" shapeId="0" xr:uid="{00000000-0006-0000-0000-000010000000}">
      <text>
        <r>
          <rPr>
            <b/>
            <sz val="9"/>
            <color indexed="81"/>
            <rFont val="Tahoma"/>
            <family val="2"/>
          </rPr>
          <t>Filley, Kimberly S:</t>
        </r>
        <r>
          <rPr>
            <sz val="9"/>
            <color indexed="81"/>
            <rFont val="Tahoma"/>
            <family val="2"/>
          </rPr>
          <t xml:space="preserve">
includes $1,419.25 in costs related to PAYS program</t>
        </r>
      </text>
    </comment>
    <comment ref="AO6" authorId="0" shapeId="0" xr:uid="{00000000-0006-0000-0000-000011000000}">
      <text>
        <r>
          <rPr>
            <b/>
            <sz val="9"/>
            <color indexed="81"/>
            <rFont val="Tahoma"/>
            <family val="2"/>
          </rPr>
          <t>Filley, Kimberly S:</t>
        </r>
        <r>
          <rPr>
            <sz val="9"/>
            <color indexed="81"/>
            <rFont val="Tahoma"/>
            <family val="2"/>
          </rPr>
          <t xml:space="preserve">
includes $703.04 in costs related to PAYS program</t>
        </r>
      </text>
    </comment>
    <comment ref="AP6" authorId="0" shapeId="0" xr:uid="{00000000-0006-0000-0000-000012000000}">
      <text>
        <r>
          <rPr>
            <b/>
            <sz val="9"/>
            <color indexed="81"/>
            <rFont val="Tahoma"/>
            <family val="2"/>
          </rPr>
          <t>Filley, Kimberly S:</t>
        </r>
        <r>
          <rPr>
            <sz val="9"/>
            <color indexed="81"/>
            <rFont val="Tahoma"/>
            <family val="2"/>
          </rPr>
          <t xml:space="preserve">
includes $725.21 in costs related to PAYS program and $8,404.86 resulting from the write-off of a PAYS customer account balance in the deferred spend PAYS account 182PAY</t>
        </r>
      </text>
    </comment>
    <comment ref="AQ6" authorId="0" shapeId="0" xr:uid="{00000000-0006-0000-0000-000013000000}">
      <text>
        <r>
          <rPr>
            <b/>
            <sz val="9"/>
            <color indexed="81"/>
            <rFont val="Tahoma"/>
            <family val="2"/>
          </rPr>
          <t>Filley, Kimberly S:</t>
        </r>
        <r>
          <rPr>
            <sz val="9"/>
            <color indexed="81"/>
            <rFont val="Tahoma"/>
            <family val="2"/>
          </rPr>
          <t xml:space="preserve">
includes $1078.71 in costs related to PAYS program </t>
        </r>
      </text>
    </comment>
    <comment ref="AR6" authorId="0" shapeId="0" xr:uid="{00000000-0006-0000-0000-000014000000}">
      <text>
        <r>
          <rPr>
            <b/>
            <sz val="9"/>
            <color indexed="81"/>
            <rFont val="Tahoma"/>
            <family val="2"/>
          </rPr>
          <t>Filley, Kimberly S:</t>
        </r>
        <r>
          <rPr>
            <sz val="9"/>
            <color indexed="81"/>
            <rFont val="Tahoma"/>
            <family val="2"/>
          </rPr>
          <t xml:space="preserve">
includes $1284.55 in costs related to PAYS program </t>
        </r>
      </text>
    </comment>
    <comment ref="AS6" authorId="0" shapeId="0" xr:uid="{00000000-0006-0000-0000-000015000000}">
      <text>
        <r>
          <rPr>
            <b/>
            <sz val="9"/>
            <color indexed="81"/>
            <rFont val="Tahoma"/>
            <family val="2"/>
          </rPr>
          <t>Filley, Kimberly S:</t>
        </r>
        <r>
          <rPr>
            <sz val="9"/>
            <color indexed="81"/>
            <rFont val="Tahoma"/>
            <family val="2"/>
          </rPr>
          <t xml:space="preserve">
includes $1386.29 in costs related to PAYS program </t>
        </r>
      </text>
    </comment>
    <comment ref="AT6" authorId="0" shapeId="0" xr:uid="{00000000-0006-0000-0000-000016000000}">
      <text>
        <r>
          <rPr>
            <b/>
            <sz val="9"/>
            <color indexed="81"/>
            <rFont val="Tahoma"/>
            <family val="2"/>
          </rPr>
          <t>Filley, Kimberly S:</t>
        </r>
        <r>
          <rPr>
            <sz val="9"/>
            <color indexed="81"/>
            <rFont val="Tahoma"/>
            <family val="2"/>
          </rPr>
          <t xml:space="preserve">
includes $1513.94 in costs related to PAYS program </t>
        </r>
      </text>
    </comment>
    <comment ref="AU6" authorId="0" shapeId="0" xr:uid="{00000000-0006-0000-0000-000017000000}">
      <text>
        <r>
          <rPr>
            <b/>
            <sz val="9"/>
            <color indexed="81"/>
            <rFont val="Tahoma"/>
            <family val="2"/>
          </rPr>
          <t>Filley, Kimberly S:</t>
        </r>
        <r>
          <rPr>
            <sz val="9"/>
            <color indexed="81"/>
            <rFont val="Tahoma"/>
            <family val="2"/>
          </rPr>
          <t xml:space="preserve">
includes $1616.65 in costs related to PAYS program </t>
        </r>
      </text>
    </comment>
    <comment ref="AV6" authorId="0" shapeId="0" xr:uid="{00000000-0006-0000-0000-000018000000}">
      <text>
        <r>
          <rPr>
            <b/>
            <sz val="9"/>
            <color indexed="81"/>
            <rFont val="Tahoma"/>
            <family val="2"/>
          </rPr>
          <t>Filley, Kimberly S:</t>
        </r>
        <r>
          <rPr>
            <sz val="9"/>
            <color indexed="81"/>
            <rFont val="Tahoma"/>
            <family val="2"/>
          </rPr>
          <t xml:space="preserve">
includes $1821.21 in costs related to PAYS program </t>
        </r>
      </text>
    </comment>
    <comment ref="AW6" authorId="0" shapeId="0" xr:uid="{00000000-0006-0000-0000-000019000000}">
      <text>
        <r>
          <rPr>
            <b/>
            <sz val="9"/>
            <color indexed="81"/>
            <rFont val="Tahoma"/>
            <family val="2"/>
          </rPr>
          <t>Filley, Kimberly S:</t>
        </r>
        <r>
          <rPr>
            <sz val="9"/>
            <color indexed="81"/>
            <rFont val="Tahoma"/>
            <family val="2"/>
          </rPr>
          <t xml:space="preserve">
includes $1889.83 in costs related to PAYS program </t>
        </r>
      </text>
    </comment>
    <comment ref="AX6" authorId="0" shapeId="0" xr:uid="{00000000-0006-0000-0000-00001A000000}">
      <text>
        <r>
          <rPr>
            <b/>
            <sz val="9"/>
            <color indexed="81"/>
            <rFont val="Tahoma"/>
            <family val="2"/>
          </rPr>
          <t>Filley, Kimberly S:</t>
        </r>
        <r>
          <rPr>
            <sz val="9"/>
            <color indexed="81"/>
            <rFont val="Tahoma"/>
            <family val="2"/>
          </rPr>
          <t xml:space="preserve">
includes $2070.59 in costs related to PAYS program </t>
        </r>
      </text>
    </comment>
    <comment ref="AY6" authorId="0" shapeId="0" xr:uid="{00000000-0006-0000-0000-00001B000000}">
      <text>
        <r>
          <rPr>
            <b/>
            <sz val="9"/>
            <color indexed="81"/>
            <rFont val="Tahoma"/>
            <family val="2"/>
          </rPr>
          <t>Filley, Kimberly S:</t>
        </r>
        <r>
          <rPr>
            <sz val="9"/>
            <color indexed="81"/>
            <rFont val="Tahoma"/>
            <family val="2"/>
          </rPr>
          <t xml:space="preserve">
includes $2,306.05 in costs related to PAYS program and $692.55 associated with the write-off of an unpaid PAYS balance.</t>
        </r>
      </text>
    </comment>
    <comment ref="AZ6" authorId="0" shapeId="0" xr:uid="{00000000-0006-0000-0000-00001C000000}">
      <text>
        <r>
          <rPr>
            <b/>
            <sz val="9"/>
            <color indexed="81"/>
            <rFont val="Tahoma"/>
            <family val="2"/>
          </rPr>
          <t>Filley, Kimberly S:</t>
        </r>
        <r>
          <rPr>
            <sz val="9"/>
            <color indexed="81"/>
            <rFont val="Tahoma"/>
            <family val="2"/>
          </rPr>
          <t xml:space="preserve">
includes $2,443.32 in costs related to PAYS </t>
        </r>
      </text>
    </comment>
    <comment ref="BA6" authorId="0" shapeId="0" xr:uid="{00000000-0006-0000-0000-00001D000000}">
      <text>
        <r>
          <rPr>
            <b/>
            <sz val="9"/>
            <color indexed="81"/>
            <rFont val="Tahoma"/>
            <family val="2"/>
          </rPr>
          <t>Filley, Kimberly S:</t>
        </r>
        <r>
          <rPr>
            <sz val="9"/>
            <color indexed="81"/>
            <rFont val="Tahoma"/>
            <family val="2"/>
          </rPr>
          <t xml:space="preserve">
includes $2,593.30 in costs related to PAYS </t>
        </r>
      </text>
    </comment>
    <comment ref="BB6" authorId="0" shapeId="0" xr:uid="{00000000-0006-0000-0000-00001E000000}">
      <text>
        <r>
          <rPr>
            <b/>
            <sz val="9"/>
            <color indexed="81"/>
            <rFont val="Tahoma"/>
            <family val="2"/>
          </rPr>
          <t>Filley, Kimberly S:</t>
        </r>
        <r>
          <rPr>
            <sz val="9"/>
            <color indexed="81"/>
            <rFont val="Tahoma"/>
            <family val="2"/>
          </rPr>
          <t xml:space="preserve">
includes $2,624.66 in costs related to PAYS </t>
        </r>
      </text>
    </comment>
    <comment ref="BC6" authorId="0" shapeId="0" xr:uid="{00000000-0006-0000-0000-00001F000000}">
      <text>
        <r>
          <rPr>
            <b/>
            <sz val="9"/>
            <color indexed="81"/>
            <rFont val="Tahoma"/>
            <family val="2"/>
          </rPr>
          <t>Filley, Kimberly S:</t>
        </r>
        <r>
          <rPr>
            <sz val="9"/>
            <color indexed="81"/>
            <rFont val="Tahoma"/>
            <family val="2"/>
          </rPr>
          <t xml:space="preserve">
includes $2,692.03 in costs related to PAYS </t>
        </r>
      </text>
    </comment>
    <comment ref="BD6" authorId="0" shapeId="0" xr:uid="{00000000-0006-0000-0000-000020000000}">
      <text>
        <r>
          <rPr>
            <b/>
            <sz val="9"/>
            <color indexed="81"/>
            <rFont val="Tahoma"/>
            <family val="2"/>
          </rPr>
          <t>Filley, Kimberly S:</t>
        </r>
        <r>
          <rPr>
            <sz val="9"/>
            <color indexed="81"/>
            <rFont val="Tahoma"/>
            <family val="2"/>
          </rPr>
          <t xml:space="preserve">
includes $2,737.36 in costs related to PAYS </t>
        </r>
      </text>
    </comment>
    <comment ref="BE6" authorId="0" shapeId="0" xr:uid="{00000000-0006-0000-0000-000021000000}">
      <text>
        <r>
          <rPr>
            <b/>
            <sz val="9"/>
            <color indexed="81"/>
            <rFont val="Tahoma"/>
            <family val="2"/>
          </rPr>
          <t>Filley, Kimberly S:</t>
        </r>
        <r>
          <rPr>
            <sz val="9"/>
            <color indexed="81"/>
            <rFont val="Tahoma"/>
            <family val="2"/>
          </rPr>
          <t xml:space="preserve">
includes $2,781.49 in costs related to PAYS </t>
        </r>
      </text>
    </comment>
    <comment ref="BF6" authorId="0" shapeId="0" xr:uid="{00000000-0006-0000-0000-000022000000}">
      <text>
        <r>
          <rPr>
            <b/>
            <sz val="9"/>
            <color indexed="81"/>
            <rFont val="Tahoma"/>
            <family val="2"/>
          </rPr>
          <t>Filley, Kimberly S:</t>
        </r>
        <r>
          <rPr>
            <sz val="9"/>
            <color indexed="81"/>
            <rFont val="Tahoma"/>
            <family val="2"/>
          </rPr>
          <t xml:space="preserve">
includes $571.88 in costs related to PAYS </t>
        </r>
      </text>
    </comment>
    <comment ref="BG6" authorId="0" shapeId="0" xr:uid="{00000000-0006-0000-0000-000023000000}">
      <text>
        <r>
          <rPr>
            <b/>
            <sz val="9"/>
            <color indexed="81"/>
            <rFont val="Tahoma"/>
            <family val="2"/>
          </rPr>
          <t>Filley, Kimberly S:</t>
        </r>
        <r>
          <rPr>
            <sz val="9"/>
            <color indexed="81"/>
            <rFont val="Tahoma"/>
            <family val="2"/>
          </rPr>
          <t xml:space="preserve">
includes $743.10 in costs related to PAYS </t>
        </r>
      </text>
    </comment>
    <comment ref="BH6" authorId="0" shapeId="0" xr:uid="{00000000-0006-0000-0000-000024000000}">
      <text>
        <r>
          <rPr>
            <b/>
            <sz val="9"/>
            <color indexed="81"/>
            <rFont val="Tahoma"/>
            <family val="2"/>
          </rPr>
          <t>Filley, Kimberly S:</t>
        </r>
        <r>
          <rPr>
            <sz val="9"/>
            <color indexed="81"/>
            <rFont val="Tahoma"/>
            <family val="2"/>
          </rPr>
          <t xml:space="preserve">
includes $848.98 in costs related to PAYS </t>
        </r>
      </text>
    </comment>
    <comment ref="BI6" authorId="0" shapeId="0" xr:uid="{00000000-0006-0000-0000-000025000000}">
      <text>
        <r>
          <rPr>
            <b/>
            <sz val="9"/>
            <color indexed="81"/>
            <rFont val="Tahoma"/>
            <family val="2"/>
          </rPr>
          <t>Filley, Kimberly S:</t>
        </r>
        <r>
          <rPr>
            <sz val="9"/>
            <color indexed="81"/>
            <rFont val="Tahoma"/>
            <family val="2"/>
          </rPr>
          <t xml:space="preserve">
includes $1,182.71 in costs related to PAYS </t>
        </r>
      </text>
    </comment>
    <comment ref="BJ6" authorId="0" shapeId="0" xr:uid="{A11530EB-3385-46F0-94AC-DAD34BB11C8B}">
      <text>
        <r>
          <rPr>
            <b/>
            <sz val="9"/>
            <color indexed="81"/>
            <rFont val="Tahoma"/>
            <family val="2"/>
          </rPr>
          <t>Filley, Kimberly S:</t>
        </r>
        <r>
          <rPr>
            <sz val="9"/>
            <color indexed="81"/>
            <rFont val="Tahoma"/>
            <family val="2"/>
          </rPr>
          <t xml:space="preserve">
includes $1,237.65 in costs related to PAYS </t>
        </r>
      </text>
    </comment>
    <comment ref="BK6" authorId="0" shapeId="0" xr:uid="{CEFDAD3B-8BE8-4FCE-BB15-FD315E0B8AF2}">
      <text>
        <r>
          <rPr>
            <b/>
            <sz val="9"/>
            <color indexed="81"/>
            <rFont val="Tahoma"/>
            <family val="2"/>
          </rPr>
          <t>Filley, Kimberly S:</t>
        </r>
        <r>
          <rPr>
            <sz val="9"/>
            <color indexed="81"/>
            <rFont val="Tahoma"/>
            <family val="2"/>
          </rPr>
          <t xml:space="preserve">
includes $1,300.31 in costs related to PAYS </t>
        </r>
      </text>
    </comment>
    <comment ref="BL6" authorId="0" shapeId="0" xr:uid="{29A80032-2CA7-46F1-93B8-2ADD0437FFE5}">
      <text>
        <r>
          <rPr>
            <b/>
            <sz val="9"/>
            <color indexed="81"/>
            <rFont val="Tahoma"/>
            <family val="2"/>
          </rPr>
          <t>Filley, Kimberly S:</t>
        </r>
        <r>
          <rPr>
            <sz val="9"/>
            <color indexed="81"/>
            <rFont val="Tahoma"/>
            <family val="2"/>
          </rPr>
          <t xml:space="preserve">
includes $1,338.70 in costs related to PAYS </t>
        </r>
      </text>
    </comment>
    <comment ref="BM6" authorId="0" shapeId="0" xr:uid="{568BBE98-321B-46E8-AB3C-5E6AF5506DD7}">
      <text>
        <r>
          <rPr>
            <b/>
            <sz val="9"/>
            <color indexed="81"/>
            <rFont val="Tahoma"/>
            <family val="2"/>
          </rPr>
          <t>Filley, Kimberly S:</t>
        </r>
        <r>
          <rPr>
            <sz val="9"/>
            <color indexed="81"/>
            <rFont val="Tahoma"/>
            <family val="2"/>
          </rPr>
          <t xml:space="preserve">
includes $1,326.56 in costs related to PAYS </t>
        </r>
      </text>
    </comment>
    <comment ref="BN6" authorId="0" shapeId="0" xr:uid="{F9F0FEAA-9AB7-4DD4-B338-9B4C2A135E10}">
      <text>
        <r>
          <rPr>
            <b/>
            <sz val="9"/>
            <color indexed="81"/>
            <rFont val="Tahoma"/>
            <family val="2"/>
          </rPr>
          <t>Filley, Kimberly S:</t>
        </r>
        <r>
          <rPr>
            <sz val="9"/>
            <color indexed="81"/>
            <rFont val="Tahoma"/>
            <family val="2"/>
          </rPr>
          <t xml:space="preserve">
includes $1,314.08 in costs related to PAYS </t>
        </r>
      </text>
    </comment>
    <comment ref="BO6" authorId="0" shapeId="0" xr:uid="{5B255739-741C-423B-A4DF-34D031960970}">
      <text>
        <r>
          <rPr>
            <b/>
            <sz val="9"/>
            <color indexed="81"/>
            <rFont val="Tahoma"/>
            <family val="2"/>
          </rPr>
          <t>Filley, Kimberly S:</t>
        </r>
        <r>
          <rPr>
            <sz val="9"/>
            <color indexed="81"/>
            <rFont val="Tahoma"/>
            <family val="2"/>
          </rPr>
          <t xml:space="preserve">
includes $1,301.25 in costs related to PAYS &amp; an write-off to MEEIA of the deferred spend PAYS balance of $142.30</t>
        </r>
      </text>
    </comment>
    <comment ref="BP6" authorId="0" shapeId="0" xr:uid="{03EE7C51-12BD-49F2-AAC9-878E8C8715E9}">
      <text>
        <r>
          <rPr>
            <b/>
            <sz val="9"/>
            <color indexed="81"/>
            <rFont val="Tahoma"/>
            <family val="2"/>
          </rPr>
          <t>Filley, Kimberly S:</t>
        </r>
        <r>
          <rPr>
            <sz val="9"/>
            <color indexed="81"/>
            <rFont val="Tahoma"/>
            <family val="2"/>
          </rPr>
          <t xml:space="preserve">
includes $1,288.80 in costs related to PAYS</t>
        </r>
      </text>
    </comment>
    <comment ref="BQ6" authorId="0" shapeId="0" xr:uid="{526D6D0F-D231-4B59-A4DC-4E564C729D05}">
      <text>
        <r>
          <rPr>
            <b/>
            <sz val="9"/>
            <color indexed="81"/>
            <rFont val="Tahoma"/>
            <family val="2"/>
          </rPr>
          <t>Filley, Kimberly S:</t>
        </r>
        <r>
          <rPr>
            <sz val="9"/>
            <color indexed="81"/>
            <rFont val="Tahoma"/>
            <family val="2"/>
          </rPr>
          <t xml:space="preserve">
includes $1,453.68 in costs related to PAYS</t>
        </r>
      </text>
    </comment>
    <comment ref="BR6" authorId="0" shapeId="0" xr:uid="{A75A2BBC-C5D7-4E52-B56E-7341AB03FD71}">
      <text>
        <r>
          <rPr>
            <b/>
            <sz val="9"/>
            <color indexed="81"/>
            <rFont val="Tahoma"/>
            <family val="2"/>
          </rPr>
          <t>Filley, Kimberly S:</t>
        </r>
        <r>
          <rPr>
            <sz val="9"/>
            <color indexed="81"/>
            <rFont val="Tahoma"/>
            <family val="2"/>
          </rPr>
          <t xml:space="preserve">
includes $1,439.93 in costs related to PAYS</t>
        </r>
      </text>
    </comment>
    <comment ref="BS6" authorId="0" shapeId="0" xr:uid="{89B43407-F37B-4D48-83B5-4001F04E2421}">
      <text>
        <r>
          <rPr>
            <b/>
            <sz val="9"/>
            <color indexed="81"/>
            <rFont val="Tahoma"/>
            <family val="2"/>
          </rPr>
          <t>Filley, Kimberly S:</t>
        </r>
        <r>
          <rPr>
            <sz val="9"/>
            <color indexed="81"/>
            <rFont val="Tahoma"/>
            <family val="2"/>
          </rPr>
          <t xml:space="preserve">
includes $1,724.90 in costs related to PAYS</t>
        </r>
      </text>
    </comment>
    <comment ref="BT6" authorId="0" shapeId="0" xr:uid="{B6775A76-1188-4B09-8CAF-1C009AE52E36}">
      <text>
        <r>
          <rPr>
            <b/>
            <sz val="9"/>
            <color indexed="81"/>
            <rFont val="Tahoma"/>
            <family val="2"/>
          </rPr>
          <t>Filley, Kimberly S:</t>
        </r>
        <r>
          <rPr>
            <sz val="9"/>
            <color indexed="81"/>
            <rFont val="Tahoma"/>
            <family val="2"/>
          </rPr>
          <t xml:space="preserve">
includes $1,815.47 in costs related to PAYS</t>
        </r>
      </text>
    </comment>
    <comment ref="BU6" authorId="0" shapeId="0" xr:uid="{65FDDED3-689F-48AD-A5C4-E2BA81E5A664}">
      <text>
        <r>
          <rPr>
            <b/>
            <sz val="9"/>
            <color indexed="81"/>
            <rFont val="Tahoma"/>
            <family val="2"/>
          </rPr>
          <t>Filley, Kimberly S:</t>
        </r>
        <r>
          <rPr>
            <sz val="9"/>
            <color indexed="81"/>
            <rFont val="Tahoma"/>
            <family val="2"/>
          </rPr>
          <t xml:space="preserve">
includes $1,967.38 in costs related to PAYS</t>
        </r>
      </text>
    </comment>
    <comment ref="BV6" authorId="0" shapeId="0" xr:uid="{D5B09ACA-43C7-476C-A263-AE828C521678}">
      <text>
        <r>
          <rPr>
            <b/>
            <sz val="9"/>
            <color indexed="81"/>
            <rFont val="Tahoma"/>
            <family val="2"/>
          </rPr>
          <t>Filley, Kimberly S:</t>
        </r>
        <r>
          <rPr>
            <sz val="9"/>
            <color indexed="81"/>
            <rFont val="Tahoma"/>
            <family val="2"/>
          </rPr>
          <t xml:space="preserve">
includes $1,999.22 in costs related to PAYS</t>
        </r>
      </text>
    </comment>
    <comment ref="BW6" authorId="0" shapeId="0" xr:uid="{14BD7415-5C2C-4FCC-9202-1537E9D36953}">
      <text>
        <r>
          <rPr>
            <b/>
            <sz val="9"/>
            <color indexed="81"/>
            <rFont val="Tahoma"/>
            <family val="2"/>
          </rPr>
          <t>Filley, Kimberly S:</t>
        </r>
        <r>
          <rPr>
            <sz val="9"/>
            <color indexed="81"/>
            <rFont val="Tahoma"/>
            <family val="2"/>
          </rPr>
          <t xml:space="preserve">
includes $2,099.44 in costs related to PAYS</t>
        </r>
      </text>
    </comment>
    <comment ref="AN7" authorId="0" shapeId="0" xr:uid="{00000000-0006-0000-0000-000026000000}">
      <text>
        <r>
          <rPr>
            <b/>
            <sz val="9"/>
            <color indexed="81"/>
            <rFont val="Tahoma"/>
            <family val="2"/>
          </rPr>
          <t>Filley, Kimberly S:</t>
        </r>
        <r>
          <rPr>
            <sz val="9"/>
            <color indexed="81"/>
            <rFont val="Tahoma"/>
            <family val="2"/>
          </rPr>
          <t xml:space="preserve">
includes rev true-up related to Nov 21 of $11.21
</t>
        </r>
      </text>
    </comment>
    <comment ref="AS7" authorId="0" shapeId="0" xr:uid="{00000000-0006-0000-0000-000027000000}">
      <text>
        <r>
          <rPr>
            <b/>
            <sz val="9"/>
            <color indexed="81"/>
            <rFont val="Tahoma"/>
            <family val="2"/>
          </rPr>
          <t>Filley, Kimberly S:</t>
        </r>
        <r>
          <rPr>
            <sz val="9"/>
            <color indexed="81"/>
            <rFont val="Tahoma"/>
            <family val="2"/>
          </rPr>
          <t xml:space="preserve">
includes rev true-up related to Nov 21 of 
-$0.19
</t>
        </r>
      </text>
    </comment>
    <comment ref="N15" authorId="0" shapeId="0" xr:uid="{00000000-0006-0000-0000-00002B000000}">
      <text>
        <r>
          <rPr>
            <b/>
            <sz val="9"/>
            <color indexed="81"/>
            <rFont val="Tahoma"/>
            <family val="2"/>
          </rPr>
          <t>Filley, Kimberly S:</t>
        </r>
        <r>
          <rPr>
            <sz val="9"/>
            <color indexed="81"/>
            <rFont val="Tahoma"/>
            <family val="2"/>
          </rPr>
          <t xml:space="preserve">
Note, this total value is not  linked into the TD-Total formulas below because already included via the TD 1M-4M and 11M updates we made below</t>
        </r>
      </text>
    </comment>
    <comment ref="Z15" authorId="0" shapeId="0" xr:uid="{00000000-0006-0000-0000-00002C000000}">
      <text>
        <r>
          <rPr>
            <b/>
            <sz val="9"/>
            <color indexed="81"/>
            <rFont val="Tahoma"/>
            <family val="2"/>
          </rPr>
          <t>Filley, Kimberly S:</t>
        </r>
        <r>
          <rPr>
            <sz val="9"/>
            <color indexed="81"/>
            <rFont val="Tahoma"/>
            <family val="2"/>
          </rPr>
          <t xml:space="preserve">
interest correction needed in Nov 2020 as interest was incorrectly calculated Feb - Oct 20 as this amount is already in the TD totals for 1M - 11M below do not need to link to this particular row to this TD-TOTAL total section in gray</t>
        </r>
      </text>
    </comment>
    <comment ref="AZ15" authorId="0" shapeId="0" xr:uid="{00000000-0006-0000-0000-00002D000000}">
      <text>
        <r>
          <rPr>
            <b/>
            <sz val="9"/>
            <color indexed="81"/>
            <rFont val="Tahoma"/>
            <family val="2"/>
          </rPr>
          <t>Filley, Kimberly S:</t>
        </r>
        <r>
          <rPr>
            <sz val="9"/>
            <color indexed="81"/>
            <rFont val="Tahoma"/>
            <family val="2"/>
          </rPr>
          <t xml:space="preserve">
interest correction related to change in interest rate in Dec 2020 which resulted in change in interest amount Dec 2020 - Dec 2022 as this amount is already in the TD totals for 1M - 11M below do not need to link to this particular row to this TD-TOTAL total section in gray</t>
        </r>
      </text>
    </comment>
    <comment ref="BM15" authorId="0" shapeId="0" xr:uid="{D5EF9A85-CBC7-47B6-BE81-E817D1F241AB}">
      <text>
        <r>
          <rPr>
            <b/>
            <sz val="9"/>
            <color indexed="81"/>
            <rFont val="Tahoma"/>
            <family val="2"/>
          </rPr>
          <t>Filley, Kimberly S:</t>
        </r>
        <r>
          <rPr>
            <sz val="9"/>
            <color indexed="81"/>
            <rFont val="Tahoma"/>
            <family val="2"/>
          </rPr>
          <t xml:space="preserve">
M2TD balance being rolled into M3TD - rolled in at the individual rate class level</t>
        </r>
      </text>
    </comment>
    <comment ref="BM26" authorId="0" shapeId="0" xr:uid="{C19997C9-A3F4-4199-A7EF-D0CDDF786959}">
      <text>
        <r>
          <rPr>
            <b/>
            <sz val="9"/>
            <color indexed="81"/>
            <rFont val="Tahoma"/>
            <family val="2"/>
          </rPr>
          <t>Filley, Kimberly S:</t>
        </r>
        <r>
          <rPr>
            <sz val="9"/>
            <color indexed="81"/>
            <rFont val="Tahoma"/>
            <family val="2"/>
          </rPr>
          <t xml:space="preserve">
pulling M2TD balances into M3TD calc split by rate class related to 11/23 filing</t>
        </r>
      </text>
    </comment>
    <comment ref="F29" authorId="1" shapeId="0" xr:uid="{00000000-0006-0000-0000-000034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39" authorId="1" shapeId="0" xr:uid="{00000000-0006-0000-0000-000062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49" authorId="1" shapeId="0" xr:uid="{00000000-0006-0000-0000-000063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59" authorId="1" shapeId="0" xr:uid="{00000000-0006-0000-0000-000064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69" authorId="1" shapeId="0" xr:uid="{00000000-0006-0000-0000-000065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AC76" authorId="1" shapeId="0" xr:uid="{00000000-0006-0000-0000-000066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AK76" authorId="1" shapeId="0" xr:uid="{00000000-0006-0000-0000-000067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AL76" authorId="0" shapeId="0" xr:uid="{00000000-0006-0000-0000-000068000000}">
      <text>
        <r>
          <rPr>
            <b/>
            <sz val="9"/>
            <color indexed="81"/>
            <rFont val="Tahoma"/>
            <family val="2"/>
          </rPr>
          <t>Filley, Kimberly S:</t>
        </r>
        <r>
          <rPr>
            <sz val="9"/>
            <color indexed="81"/>
            <rFont val="Tahoma"/>
            <family val="2"/>
          </rPr>
          <t xml:space="preserve">
interest on the 50K OA that should w/h/been included in M3 had the OA been initially recorded in Nov 20 instead of Feb 21 - booked in GL in Novemember 2021</t>
        </r>
      </text>
    </comment>
    <comment ref="AO76" authorId="1" shapeId="0" xr:uid="{00000000-0006-0000-0000-000069000000}">
      <text>
        <r>
          <rPr>
            <b/>
            <sz val="9"/>
            <color indexed="81"/>
            <rFont val="Tahoma"/>
            <family val="2"/>
          </rPr>
          <t>Logan, Raysene:</t>
        </r>
        <r>
          <rPr>
            <sz val="9"/>
            <color indexed="81"/>
            <rFont val="Tahoma"/>
            <family val="2"/>
          </rPr>
          <t xml:space="preserve">
M2 Janaury 2022 ending balances rolled into M3 effective Feb 2022</t>
        </r>
      </text>
    </comment>
    <comment ref="AZ76" authorId="0" shapeId="0" xr:uid="{E8768271-FE9A-40CE-A032-2969F0B74DCF}">
      <text>
        <r>
          <rPr>
            <b/>
            <sz val="9"/>
            <color indexed="81"/>
            <rFont val="Tahoma"/>
            <family val="2"/>
          </rPr>
          <t>Filley, Kimberly S:</t>
        </r>
        <r>
          <rPr>
            <sz val="9"/>
            <color indexed="81"/>
            <rFont val="Tahoma"/>
            <family val="2"/>
          </rPr>
          <t xml:space="preserve">
interest correction related to change in interest rate in Dec 2020 for M2 which resulted in change in interest amount Dec 2020 - Jan 2022 for M2 which needs to now be picked up as part of M3 as M2 OA ended in Jan 2022 </t>
        </r>
      </text>
    </comment>
    <comment ref="AL78" authorId="0" shapeId="0" xr:uid="{00000000-0006-0000-0000-00006C000000}">
      <text>
        <r>
          <rPr>
            <b/>
            <sz val="9"/>
            <color indexed="81"/>
            <rFont val="Tahoma"/>
            <family val="2"/>
          </rPr>
          <t>Filley, Kimberly S:</t>
        </r>
        <r>
          <rPr>
            <sz val="9"/>
            <color indexed="81"/>
            <rFont val="Tahoma"/>
            <family val="2"/>
          </rPr>
          <t xml:space="preserve">
manually adjusted to split the total OA amount of  -$153K into an over/under amort amount and an interest amount herein</t>
        </r>
      </text>
    </comment>
    <comment ref="AL79" authorId="0" shapeId="0" xr:uid="{00000000-0006-0000-0000-00006E000000}">
      <text>
        <r>
          <rPr>
            <b/>
            <sz val="9"/>
            <color indexed="81"/>
            <rFont val="Tahoma"/>
            <family val="2"/>
          </rPr>
          <t>Filley, Kimberly S:</t>
        </r>
        <r>
          <rPr>
            <sz val="9"/>
            <color indexed="81"/>
            <rFont val="Tahoma"/>
            <family val="2"/>
          </rPr>
          <t xml:space="preserve">
manually adjustment to pick up the -$1.8K in interest that I took out of the amortization portion of the calculation as it s/n/h gone there in Oct 21 only the base amount of the OA should have gone to the amort section of the over under and the interest should have gone to the interest row in Oct 21</t>
        </r>
      </text>
    </comment>
    <comment ref="Q84" authorId="0" shapeId="0" xr:uid="{00000000-0006-0000-0000-000070000000}">
      <text>
        <r>
          <rPr>
            <b/>
            <sz val="9"/>
            <color indexed="81"/>
            <rFont val="Tahoma"/>
            <family val="2"/>
          </rPr>
          <t>Filley, Kimberly S:</t>
        </r>
        <r>
          <rPr>
            <sz val="9"/>
            <color indexed="81"/>
            <rFont val="Tahoma"/>
            <family val="2"/>
          </rPr>
          <t xml:space="preserve">
each time new EO rates go into effect have to update this cell - no M3 EO rate in effect currently so no value to put herein at this time - see comment box in same section of the MEEIA 2 calcs tab herein for how to handle when M3 EO rates do go into effect</t>
        </r>
      </text>
    </comment>
    <comment ref="W84" authorId="1" shapeId="0" xr:uid="{00000000-0006-0000-0000-000071000000}">
      <text>
        <r>
          <rPr>
            <b/>
            <sz val="9"/>
            <color indexed="81"/>
            <rFont val="Tahoma"/>
            <family val="2"/>
          </rPr>
          <t>Logan, Raysene:</t>
        </r>
        <r>
          <rPr>
            <sz val="9"/>
            <color indexed="81"/>
            <rFont val="Tahoma"/>
            <family val="2"/>
          </rPr>
          <t xml:space="preserve">
2019 EO for M3 of $6.6M booked in August 20 and includes a TD True-up -$344K</t>
        </r>
      </text>
    </comment>
    <comment ref="AJ84" authorId="1" shapeId="0" xr:uid="{00000000-0006-0000-0000-000072000000}">
      <text>
        <r>
          <rPr>
            <b/>
            <sz val="9"/>
            <color indexed="81"/>
            <rFont val="Tahoma"/>
            <family val="2"/>
          </rPr>
          <t>Filley, Kim:</t>
        </r>
        <r>
          <rPr>
            <sz val="9"/>
            <color indexed="81"/>
            <rFont val="Tahoma"/>
            <family val="2"/>
          </rPr>
          <t xml:space="preserve">
-$613,446.59: TD True-up for inclusion in EO booked to GL in September 21
-$100,000: stipulated Black Box amount for inclusion in EO booked to GL in September 21
+$10,195,155.19: M3 PY2020 EO booked to GL in September 21</t>
        </r>
      </text>
    </comment>
    <comment ref="AO84" authorId="1" shapeId="0" xr:uid="{00000000-0006-0000-0000-000073000000}">
      <text>
        <r>
          <rPr>
            <b/>
            <sz val="9"/>
            <color indexed="81"/>
            <rFont val="Tahoma"/>
            <family val="2"/>
          </rPr>
          <t>Logan, Raysene:</t>
        </r>
        <r>
          <rPr>
            <sz val="9"/>
            <color indexed="81"/>
            <rFont val="Tahoma"/>
            <family val="2"/>
          </rPr>
          <t xml:space="preserve">
M2 Janaury 2022 ending balances rolled into M3 effective Feb 2022</t>
        </r>
      </text>
    </comment>
    <comment ref="AU84" authorId="1" shapeId="0" xr:uid="{00000000-0006-0000-0000-000074000000}">
      <text>
        <r>
          <rPr>
            <b/>
            <sz val="9"/>
            <color indexed="81"/>
            <rFont val="Tahoma"/>
            <family val="2"/>
          </rPr>
          <t>Filley, Kim:</t>
        </r>
        <r>
          <rPr>
            <sz val="9"/>
            <color indexed="81"/>
            <rFont val="Tahoma"/>
            <family val="2"/>
          </rPr>
          <t xml:space="preserve">
-$1,019,499.30: TD True-up for inclusion in EO booked to GL in August 2022
+$12,767,185.73: M3 PY2021 EO booked to GL in August 2022</t>
        </r>
      </text>
    </comment>
    <comment ref="AW84" authorId="1" shapeId="0" xr:uid="{00000000-0006-0000-0000-000075000000}">
      <text>
        <r>
          <rPr>
            <b/>
            <sz val="9"/>
            <color indexed="81"/>
            <rFont val="Tahoma"/>
            <family val="2"/>
          </rPr>
          <t>Filley, Kim:</t>
        </r>
        <r>
          <rPr>
            <sz val="9"/>
            <color indexed="81"/>
            <rFont val="Tahoma"/>
            <family val="2"/>
          </rPr>
          <t xml:space="preserve">
-$197.32: True-up of TD True-up for inclusion in EO booked to GL in October 2022
</t>
        </r>
      </text>
    </comment>
    <comment ref="AY84" authorId="1" shapeId="0" xr:uid="{00000000-0006-0000-0000-000076000000}">
      <text>
        <r>
          <rPr>
            <b/>
            <sz val="9"/>
            <color indexed="81"/>
            <rFont val="Tahoma"/>
            <family val="2"/>
          </rPr>
          <t xml:space="preserve">Filley, Kim:
</t>
        </r>
        <r>
          <rPr>
            <sz val="9"/>
            <color indexed="81"/>
            <rFont val="Tahoma"/>
            <family val="2"/>
          </rPr>
          <t>+$10,734,309.90: M3 PY2022 EO booked to GL in December 2022</t>
        </r>
      </text>
    </comment>
    <comment ref="AZ84" authorId="0" shapeId="0" xr:uid="{D3691903-94EA-44A1-A352-FC1E0068ED73}">
      <text>
        <r>
          <rPr>
            <b/>
            <sz val="9"/>
            <color indexed="81"/>
            <rFont val="Tahoma"/>
            <family val="2"/>
          </rPr>
          <t>Filley, Kimberly S:</t>
        </r>
        <r>
          <rPr>
            <sz val="9"/>
            <color indexed="81"/>
            <rFont val="Tahoma"/>
            <family val="2"/>
          </rPr>
          <t xml:space="preserve">
interest correction related to change in interest rate in Dec 2020 for M2 which resulted in change in interest amount Dec 2020 - Jan 2022 for M2 which needs to now be picked up as part of M3 as M2 EO ended in Jan 2022 </t>
        </r>
      </text>
    </comment>
    <comment ref="BB84" authorId="1" shapeId="0" xr:uid="{00000000-0006-0000-0000-000078000000}">
      <text>
        <r>
          <rPr>
            <b/>
            <sz val="9"/>
            <color indexed="81"/>
            <rFont val="Tahoma"/>
            <family val="2"/>
          </rPr>
          <t xml:space="preserve">Filley, Kim:
</t>
        </r>
        <r>
          <rPr>
            <sz val="9"/>
            <color indexed="81"/>
            <rFont val="Tahoma"/>
            <family val="2"/>
          </rPr>
          <t xml:space="preserve">M3 PY2022 EO booked to GL in March 2023
</t>
        </r>
      </text>
    </comment>
    <comment ref="BE84" authorId="1" shapeId="0" xr:uid="{00000000-0006-0000-0000-000079000000}">
      <text>
        <r>
          <rPr>
            <b/>
            <sz val="9"/>
            <color indexed="81"/>
            <rFont val="Tahoma"/>
            <family val="2"/>
          </rPr>
          <t xml:space="preserve">Filley, Kim:
</t>
        </r>
        <r>
          <rPr>
            <sz val="9"/>
            <color indexed="81"/>
            <rFont val="Tahoma"/>
            <family val="2"/>
          </rPr>
          <t xml:space="preserve">M3 PY2022 EO booked to GL in June 2023
</t>
        </r>
      </text>
    </comment>
    <comment ref="BF84" authorId="1" shapeId="0" xr:uid="{00000000-0006-0000-0000-00007A000000}">
      <text>
        <r>
          <rPr>
            <b/>
            <sz val="9"/>
            <color indexed="81"/>
            <rFont val="Tahoma"/>
            <family val="2"/>
          </rPr>
          <t xml:space="preserve">Filley, Kim:
</t>
        </r>
        <r>
          <rPr>
            <sz val="9"/>
            <color indexed="81"/>
            <rFont val="Tahoma"/>
            <family val="2"/>
          </rPr>
          <t xml:space="preserve">M3 PY2022 EO TD trueup booked to GL in July 2023
</t>
        </r>
      </text>
    </comment>
    <comment ref="BH84" authorId="1" shapeId="0" xr:uid="{00000000-0006-0000-0000-00007B000000}">
      <text>
        <r>
          <rPr>
            <b/>
            <sz val="9"/>
            <color indexed="81"/>
            <rFont val="Tahoma"/>
            <family val="2"/>
          </rPr>
          <t xml:space="preserve">Filley, Kim:
</t>
        </r>
        <r>
          <rPr>
            <sz val="9"/>
            <color indexed="81"/>
            <rFont val="Tahoma"/>
            <family val="2"/>
          </rPr>
          <t>M3 PY2022 EO TD trueup booked to GL in September 2023
M3 PY2022 EO booked to GL in September 2023</t>
        </r>
      </text>
    </comment>
    <comment ref="BK84" authorId="0" shapeId="0" xr:uid="{DC4F7F77-A205-4914-9E63-2CF6169CDA78}">
      <text>
        <r>
          <rPr>
            <b/>
            <sz val="9"/>
            <color indexed="81"/>
            <rFont val="Tahoma"/>
            <family val="2"/>
          </rPr>
          <t>Filley, Kimberly S:</t>
        </r>
        <r>
          <rPr>
            <sz val="9"/>
            <color indexed="81"/>
            <rFont val="Tahoma"/>
            <family val="2"/>
          </rPr>
          <t xml:space="preserve">
true up of PY22 EO recog = +$10,301.60 and recog of PY23 EO = +11,930,863.46 both booked to GL Dec 2023</t>
        </r>
      </text>
    </comment>
    <comment ref="BN84" authorId="0" shapeId="0" xr:uid="{DB6B6B40-46E2-4A5D-B652-F3E9F40FCEBB}">
      <text>
        <r>
          <rPr>
            <b/>
            <sz val="9"/>
            <color indexed="81"/>
            <rFont val="Tahoma"/>
            <family val="2"/>
          </rPr>
          <t>Filley, Kimberly S:</t>
        </r>
        <r>
          <rPr>
            <sz val="9"/>
            <color indexed="81"/>
            <rFont val="Tahoma"/>
            <family val="2"/>
          </rPr>
          <t xml:space="preserve">
true up of PY22 EO recog = -$6,228.48 and recog of PY23 EO = -$115,055.33 both booked to GL Mar 2024</t>
        </r>
      </text>
    </comment>
    <comment ref="BQ84" authorId="0" shapeId="0" xr:uid="{42C3F43B-F004-4E3B-BC34-75D02FDF269A}">
      <text>
        <r>
          <rPr>
            <b/>
            <sz val="9"/>
            <color indexed="81"/>
            <rFont val="Tahoma"/>
            <family val="2"/>
          </rPr>
          <t>Filley, Kimberly S:</t>
        </r>
        <r>
          <rPr>
            <sz val="9"/>
            <color indexed="81"/>
            <rFont val="Tahoma"/>
            <family val="2"/>
          </rPr>
          <t xml:space="preserve">
All booked Jun 24 close
1. M3 TD Tru-up for plan year 2023 -$463,892.83
2. M3 EO recog for plan year 2023 +$59,150.91
3. M3 EO recog for plan year 2022 +$0 amount did not change from LTD amount at 3/31/3024</t>
        </r>
      </text>
    </comment>
    <comment ref="BT84" authorId="0" shapeId="0" xr:uid="{98FD1CCB-5D3C-414F-901D-85DD54479C0D}">
      <text>
        <r>
          <rPr>
            <b/>
            <sz val="9"/>
            <color indexed="81"/>
            <rFont val="Tahoma"/>
            <family val="2"/>
          </rPr>
          <t>Filley, Kimberly S:</t>
        </r>
        <r>
          <rPr>
            <sz val="9"/>
            <color indexed="81"/>
            <rFont val="Tahoma"/>
            <family val="2"/>
          </rPr>
          <t xml:space="preserve">
booked Sep 24 close
1. M3 EO recog for plan year 2023 -$112,664.72
2. M3 EO recog for plan year 2022 +$0 amount did not change from LTD amount at 3/31/3024</t>
        </r>
      </text>
    </comment>
    <comment ref="BW84" authorId="0" shapeId="0" xr:uid="{BF618391-C945-4E2A-9A83-8BD890FE0640}">
      <text>
        <r>
          <rPr>
            <b/>
            <sz val="9"/>
            <color indexed="81"/>
            <rFont val="Tahoma"/>
            <family val="2"/>
          </rPr>
          <t>Filley, Kimberly S:</t>
        </r>
        <r>
          <rPr>
            <sz val="9"/>
            <color indexed="81"/>
            <rFont val="Tahoma"/>
            <family val="2"/>
          </rPr>
          <t xml:space="preserve">
booked Dec 24 close
1. M3 EO recog for plan year 2024 +$12,574,553.87
2. M3 EO recog for plan year 2023 +1,353.25
3. M3 EO recog for plan year 2022 +$0 amount did not change from LTD amount at 3/31/3024</t>
        </r>
      </text>
    </comment>
    <comment ref="BZ84" authorId="0" shapeId="0" xr:uid="{1366A7E9-9DC5-4F75-80F7-DB29A00E0986}">
      <text>
        <r>
          <rPr>
            <b/>
            <sz val="9"/>
            <color indexed="81"/>
            <rFont val="Tahoma"/>
            <family val="2"/>
          </rPr>
          <t>Filley, Kimberly S:</t>
        </r>
        <r>
          <rPr>
            <sz val="9"/>
            <color indexed="81"/>
            <rFont val="Tahoma"/>
            <family val="2"/>
          </rPr>
          <t xml:space="preserve">
booked Mar 25 close
1. M3 EO recog for plan year 2024 +$105,980.27
2. M3 EO recog for plan year 2023 +$0 amount did not change from LTD amount at 12/31/24
3. M3 EO recog for plan year 2022 +$0 amount did not change from LTD amount at 3/31/3024</t>
        </r>
      </text>
    </comment>
    <comment ref="CC84" authorId="0" shapeId="0" xr:uid="{55276DFE-74E6-4C23-BB15-3D5BCB6DB655}">
      <text>
        <r>
          <rPr>
            <b/>
            <sz val="9"/>
            <color indexed="81"/>
            <rFont val="Tahoma"/>
            <family val="2"/>
          </rPr>
          <t>Filley, Kimberly S:</t>
        </r>
        <r>
          <rPr>
            <sz val="9"/>
            <color indexed="81"/>
            <rFont val="Tahoma"/>
            <family val="2"/>
          </rPr>
          <t xml:space="preserve">
booked Jun 25 close
1. M3 EO recog for plan year 2024 +$54,546.19
2. M3 EO recog for plan year 2023 +$0 amount did not change from LTD amount at 12/31/24
3. M3 EO recog for plan year 2022 +$0 amount did not change from LTD amount at 3/31/3024</t>
        </r>
      </text>
    </comment>
    <comment ref="CD84" authorId="0" shapeId="0" xr:uid="{9F3135F8-6C20-4BE0-8BA7-13D813897FC7}">
      <text>
        <r>
          <rPr>
            <b/>
            <sz val="9"/>
            <color indexed="81"/>
            <rFont val="Tahoma"/>
            <family val="2"/>
          </rPr>
          <t>Filley, Kimberly S:</t>
        </r>
        <r>
          <rPr>
            <sz val="9"/>
            <color indexed="81"/>
            <rFont val="Tahoma"/>
            <family val="2"/>
          </rPr>
          <t xml:space="preserve">
Booked Jul 24 close
- M3 TD Tru-up for plan year 2024 -$66,419.05</t>
        </r>
      </text>
    </comment>
    <comment ref="CF84" authorId="0" shapeId="0" xr:uid="{38B228FD-2DEA-4A34-82D5-19415D8C0830}">
      <text>
        <r>
          <rPr>
            <b/>
            <sz val="9"/>
            <color indexed="81"/>
            <rFont val="Tahoma"/>
            <family val="2"/>
          </rPr>
          <t>Filley, Kimberly S:</t>
        </r>
        <r>
          <rPr>
            <sz val="9"/>
            <color indexed="81"/>
            <rFont val="Tahoma"/>
            <family val="2"/>
          </rPr>
          <t xml:space="preserve">
booked Sep 25 close
1. M3 EO recog for plan year 2024 -$54,611.63
2. M3 EO recog for plan year 2023 +$0 amount did not change from LTD amount at 12/31/24
3. M3 EO recog for plan year 2022 +$0 amount did not change from LTD amount at 3/31/3024</t>
        </r>
      </text>
    </comment>
    <comment ref="AS86" authorId="0" shapeId="0" xr:uid="{00000000-0006-0000-0000-00007D000000}">
      <text>
        <r>
          <rPr>
            <b/>
            <sz val="9"/>
            <color indexed="81"/>
            <rFont val="Tahoma"/>
            <family val="2"/>
          </rPr>
          <t>Filley, Kimberly S:</t>
        </r>
        <r>
          <rPr>
            <sz val="9"/>
            <color indexed="81"/>
            <rFont val="Tahoma"/>
            <family val="2"/>
          </rPr>
          <t xml:space="preserve">
includes rev true-up related to Nov 21 of 
$3.25
</t>
        </r>
      </text>
    </comment>
    <comment ref="AO89" authorId="0" shapeId="0" xr:uid="{C342394C-25F6-4C1E-8410-6180CE617304}">
      <text>
        <r>
          <rPr>
            <b/>
            <sz val="9"/>
            <color indexed="81"/>
            <rFont val="Tahoma"/>
            <family val="2"/>
          </rPr>
          <t>Filley, Kimberly S:</t>
        </r>
        <r>
          <rPr>
            <sz val="9"/>
            <color indexed="81"/>
            <rFont val="Tahoma"/>
            <family val="2"/>
          </rPr>
          <t xml:space="preserve">
M2 EO ended in Jan 2022 with its balance being rolled into M3 EO in February 2022 thus in order to arrive at the correct Interest (Expense)/Revenue $ balance here in this calculation includes the M2 EO Total EO (Over)/Under Recovery Cummulative balance of  -$152,105.77  </t>
        </r>
      </text>
    </comment>
    <comment ref="AO92" authorId="0" shapeId="0" xr:uid="{DA2F4B73-7FDD-4DA8-9F20-053BD57B3E28}">
      <text>
        <r>
          <rPr>
            <b/>
            <sz val="9"/>
            <color indexed="81"/>
            <rFont val="Tahoma"/>
            <family val="2"/>
          </rPr>
          <t>Filley, Kimberly S:</t>
        </r>
        <r>
          <rPr>
            <sz val="9"/>
            <color indexed="81"/>
            <rFont val="Tahoma"/>
            <family val="2"/>
          </rPr>
          <t xml:space="preserve">
M2 EO ended in Jan 2022 with its balance being rolled into M3 EO in February 2022 thus in order to arrive at the correct Total EO (Over)/Under Recovery - Cummulative balance here in this calculation includes the M2 EO Total EO (Over)/Under Recovery Cummulative balance of   -$152,105.77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DC5" authorId="0" shapeId="0" xr:uid="{00000000-0006-0000-0100-000001000000}">
      <text>
        <r>
          <rPr>
            <b/>
            <sz val="9"/>
            <color indexed="81"/>
            <rFont val="Tahoma"/>
            <family val="2"/>
          </rPr>
          <t>Filley, Kimberly S:</t>
        </r>
        <r>
          <rPr>
            <sz val="9"/>
            <color indexed="81"/>
            <rFont val="Tahoma"/>
            <family val="2"/>
          </rPr>
          <t xml:space="preserve">
includes cost and associated interest correction related to prud review to back out $21,490.44 in costs from March 19 - Sep 20 for RT = 34 as these are not recoverable through MEEIA and $491.96 in associated interest</t>
        </r>
      </text>
    </comment>
    <comment ref="DK5" authorId="0" shapeId="0" xr:uid="{00000000-0006-0000-0100-000002000000}">
      <text>
        <r>
          <rPr>
            <b/>
            <sz val="9"/>
            <color indexed="81"/>
            <rFont val="Tahoma"/>
            <family val="2"/>
          </rPr>
          <t>Filley, Kimberly S:</t>
        </r>
        <r>
          <rPr>
            <sz val="9"/>
            <color indexed="81"/>
            <rFont val="Tahoma"/>
            <family val="2"/>
          </rPr>
          <t xml:space="preserve">
PC and assoc. interest adj related to PAYS labor that was incorrectly included in M3 PC booked in GL in November 21</t>
        </r>
      </text>
    </comment>
    <comment ref="DN5" authorId="1" shapeId="0" xr:uid="{00000000-0006-0000-0100-000003000000}">
      <text>
        <r>
          <rPr>
            <b/>
            <sz val="9"/>
            <color indexed="81"/>
            <rFont val="Tahoma"/>
            <family val="2"/>
          </rPr>
          <t>Logan, Raysene:</t>
        </r>
        <r>
          <rPr>
            <sz val="9"/>
            <color indexed="81"/>
            <rFont val="Tahoma"/>
            <family val="2"/>
          </rPr>
          <t xml:space="preserve">
M2 Janaury 2022 ending balances rolled into M3 effective Feb 2022</t>
        </r>
      </text>
    </comment>
    <comment ref="DD6" authorId="0" shapeId="0" xr:uid="{00000000-0006-0000-0100-000004000000}">
      <text>
        <r>
          <rPr>
            <b/>
            <sz val="9"/>
            <color indexed="81"/>
            <rFont val="Tahoma"/>
            <family val="2"/>
          </rPr>
          <t>Filley, Kimberly S:</t>
        </r>
        <r>
          <rPr>
            <sz val="9"/>
            <color indexed="81"/>
            <rFont val="Tahoma"/>
            <family val="2"/>
          </rPr>
          <t xml:space="preserve">
includes $70.13 in costs related to PAYS program</t>
        </r>
      </text>
    </comment>
    <comment ref="DE6" authorId="0" shapeId="0" xr:uid="{00000000-0006-0000-0100-000005000000}">
      <text>
        <r>
          <rPr>
            <b/>
            <sz val="9"/>
            <color indexed="81"/>
            <rFont val="Tahoma"/>
            <family val="2"/>
          </rPr>
          <t>Filley, Kimberly S:</t>
        </r>
        <r>
          <rPr>
            <sz val="9"/>
            <color indexed="81"/>
            <rFont val="Tahoma"/>
            <family val="2"/>
          </rPr>
          <t xml:space="preserve">
includes $169.53 in costs related to PAYS program</t>
        </r>
      </text>
    </comment>
    <comment ref="DF6" authorId="0" shapeId="0" xr:uid="{00000000-0006-0000-0100-000006000000}">
      <text>
        <r>
          <rPr>
            <b/>
            <sz val="9"/>
            <color indexed="81"/>
            <rFont val="Tahoma"/>
            <family val="2"/>
          </rPr>
          <t>Filley, Kimberly S:</t>
        </r>
        <r>
          <rPr>
            <sz val="9"/>
            <color indexed="81"/>
            <rFont val="Tahoma"/>
            <family val="2"/>
          </rPr>
          <t xml:space="preserve">
includes $175.17 in costs related to PAYS program</t>
        </r>
      </text>
    </comment>
    <comment ref="DG6" authorId="0" shapeId="0" xr:uid="{00000000-0006-0000-0100-000007000000}">
      <text>
        <r>
          <rPr>
            <b/>
            <sz val="9"/>
            <color indexed="81"/>
            <rFont val="Tahoma"/>
            <family val="2"/>
          </rPr>
          <t>Filley, Kimberly S:</t>
        </r>
        <r>
          <rPr>
            <sz val="9"/>
            <color indexed="81"/>
            <rFont val="Tahoma"/>
            <family val="2"/>
          </rPr>
          <t xml:space="preserve">
includes $220.92 in costs related to PAYS program</t>
        </r>
      </text>
    </comment>
    <comment ref="DH6" authorId="0" shapeId="0" xr:uid="{00000000-0006-0000-0100-000008000000}">
      <text>
        <r>
          <rPr>
            <b/>
            <sz val="9"/>
            <color indexed="81"/>
            <rFont val="Tahoma"/>
            <family val="2"/>
          </rPr>
          <t>Filley, Kimberly S:</t>
        </r>
        <r>
          <rPr>
            <sz val="9"/>
            <color indexed="81"/>
            <rFont val="Tahoma"/>
            <family val="2"/>
          </rPr>
          <t xml:space="preserve">
includes $379 in costs related to PAYS program</t>
        </r>
      </text>
    </comment>
    <comment ref="DI6" authorId="0" shapeId="0" xr:uid="{00000000-0006-0000-0100-000009000000}">
      <text>
        <r>
          <rPr>
            <b/>
            <sz val="9"/>
            <color indexed="81"/>
            <rFont val="Tahoma"/>
            <family val="2"/>
          </rPr>
          <t>Filley, Kimberly S:</t>
        </r>
        <r>
          <rPr>
            <sz val="9"/>
            <color indexed="81"/>
            <rFont val="Tahoma"/>
            <family val="2"/>
          </rPr>
          <t xml:space="preserve">
includes $592.10 in costs related to PAYS program</t>
        </r>
      </text>
    </comment>
    <comment ref="DJ6" authorId="0" shapeId="0" xr:uid="{00000000-0006-0000-0100-00000A000000}">
      <text>
        <r>
          <rPr>
            <b/>
            <sz val="9"/>
            <color indexed="81"/>
            <rFont val="Tahoma"/>
            <family val="2"/>
          </rPr>
          <t>Filley, Kimberly S:</t>
        </r>
        <r>
          <rPr>
            <sz val="9"/>
            <color indexed="81"/>
            <rFont val="Tahoma"/>
            <family val="2"/>
          </rPr>
          <t xml:space="preserve">
includes $850.16 in costs related to PAYS program</t>
        </r>
      </text>
    </comment>
    <comment ref="DK6" authorId="0" shapeId="0" xr:uid="{00000000-0006-0000-0100-00000B000000}">
      <text>
        <r>
          <rPr>
            <b/>
            <sz val="9"/>
            <color indexed="81"/>
            <rFont val="Tahoma"/>
            <family val="2"/>
          </rPr>
          <t>Filley, Kimberly S:</t>
        </r>
        <r>
          <rPr>
            <sz val="9"/>
            <color indexed="81"/>
            <rFont val="Tahoma"/>
            <family val="2"/>
          </rPr>
          <t xml:space="preserve">
includes $1,213.81 in costs related to PAYS program</t>
        </r>
      </text>
    </comment>
    <comment ref="DL6" authorId="0" shapeId="0" xr:uid="{00000000-0006-0000-0100-00000C000000}">
      <text>
        <r>
          <rPr>
            <b/>
            <sz val="9"/>
            <color indexed="81"/>
            <rFont val="Tahoma"/>
            <family val="2"/>
          </rPr>
          <t>Filley, Kimberly S:</t>
        </r>
        <r>
          <rPr>
            <sz val="9"/>
            <color indexed="81"/>
            <rFont val="Tahoma"/>
            <family val="2"/>
          </rPr>
          <t xml:space="preserve">
includes $1,272.44 in costs related to PAYS program</t>
        </r>
      </text>
    </comment>
    <comment ref="DM6" authorId="0" shapeId="0" xr:uid="{00000000-0006-0000-0100-00000D000000}">
      <text>
        <r>
          <rPr>
            <b/>
            <sz val="9"/>
            <color indexed="81"/>
            <rFont val="Tahoma"/>
            <family val="2"/>
          </rPr>
          <t>Filley, Kimberly S:</t>
        </r>
        <r>
          <rPr>
            <sz val="9"/>
            <color indexed="81"/>
            <rFont val="Tahoma"/>
            <family val="2"/>
          </rPr>
          <t xml:space="preserve">
includes $1,419.25 in costs related to PAYS program</t>
        </r>
      </text>
    </comment>
    <comment ref="DN6" authorId="0" shapeId="0" xr:uid="{00000000-0006-0000-0100-00000E000000}">
      <text>
        <r>
          <rPr>
            <b/>
            <sz val="9"/>
            <color indexed="81"/>
            <rFont val="Tahoma"/>
            <family val="2"/>
          </rPr>
          <t>Filley, Kimberly S:</t>
        </r>
        <r>
          <rPr>
            <sz val="9"/>
            <color indexed="81"/>
            <rFont val="Tahoma"/>
            <family val="2"/>
          </rPr>
          <t xml:space="preserve">
includes $703.04 in costs related to PAYS program</t>
        </r>
      </text>
    </comment>
    <comment ref="DO6" authorId="0" shapeId="0" xr:uid="{00000000-0006-0000-0100-00000F000000}">
      <text>
        <r>
          <rPr>
            <b/>
            <sz val="9"/>
            <color indexed="81"/>
            <rFont val="Tahoma"/>
            <family val="2"/>
          </rPr>
          <t>Filley, Kimberly S:</t>
        </r>
        <r>
          <rPr>
            <sz val="9"/>
            <color indexed="81"/>
            <rFont val="Tahoma"/>
            <family val="2"/>
          </rPr>
          <t xml:space="preserve">
includes $725.21 in costs related to PAYS program and $8,404.86 resulting from the write-off of a PAYS customer account balance in the deferred spend PAYS account 182PAY</t>
        </r>
      </text>
    </comment>
    <comment ref="DP6" authorId="0" shapeId="0" xr:uid="{00000000-0006-0000-0100-000010000000}">
      <text>
        <r>
          <rPr>
            <b/>
            <sz val="9"/>
            <color indexed="81"/>
            <rFont val="Tahoma"/>
            <family val="2"/>
          </rPr>
          <t>Filley, Kimberly S:</t>
        </r>
        <r>
          <rPr>
            <sz val="9"/>
            <color indexed="81"/>
            <rFont val="Tahoma"/>
            <family val="2"/>
          </rPr>
          <t xml:space="preserve">
includes $1078.71 in costs related to PAYS program </t>
        </r>
      </text>
    </comment>
    <comment ref="DQ6" authorId="0" shapeId="0" xr:uid="{00000000-0006-0000-0100-000011000000}">
      <text>
        <r>
          <rPr>
            <b/>
            <sz val="9"/>
            <color indexed="81"/>
            <rFont val="Tahoma"/>
            <family val="2"/>
          </rPr>
          <t>Filley, Kimberly S:</t>
        </r>
        <r>
          <rPr>
            <sz val="9"/>
            <color indexed="81"/>
            <rFont val="Tahoma"/>
            <family val="2"/>
          </rPr>
          <t xml:space="preserve">
includes $1284.55 in costs related to PAYS program </t>
        </r>
      </text>
    </comment>
    <comment ref="DR6" authorId="0" shapeId="0" xr:uid="{00000000-0006-0000-0100-000012000000}">
      <text>
        <r>
          <rPr>
            <b/>
            <sz val="9"/>
            <color indexed="81"/>
            <rFont val="Tahoma"/>
            <family val="2"/>
          </rPr>
          <t>Filley, Kimberly S:</t>
        </r>
        <r>
          <rPr>
            <sz val="9"/>
            <color indexed="81"/>
            <rFont val="Tahoma"/>
            <family val="2"/>
          </rPr>
          <t xml:space="preserve">
includes $1386.29 in costs related to PAYS program </t>
        </r>
      </text>
    </comment>
    <comment ref="DS6" authorId="0" shapeId="0" xr:uid="{00000000-0006-0000-0100-000013000000}">
      <text>
        <r>
          <rPr>
            <b/>
            <sz val="9"/>
            <color indexed="81"/>
            <rFont val="Tahoma"/>
            <family val="2"/>
          </rPr>
          <t>Filley, Kimberly S:</t>
        </r>
        <r>
          <rPr>
            <sz val="9"/>
            <color indexed="81"/>
            <rFont val="Tahoma"/>
            <family val="2"/>
          </rPr>
          <t xml:space="preserve">
includes $1513.94 in costs related to PAYS program </t>
        </r>
      </text>
    </comment>
    <comment ref="DT6" authorId="0" shapeId="0" xr:uid="{00000000-0006-0000-0100-000014000000}">
      <text>
        <r>
          <rPr>
            <b/>
            <sz val="9"/>
            <color indexed="81"/>
            <rFont val="Tahoma"/>
            <family val="2"/>
          </rPr>
          <t>Filley, Kimberly S:</t>
        </r>
        <r>
          <rPr>
            <sz val="9"/>
            <color indexed="81"/>
            <rFont val="Tahoma"/>
            <family val="2"/>
          </rPr>
          <t xml:space="preserve">
includes $1616.65 in costs related to PAYS program </t>
        </r>
      </text>
    </comment>
    <comment ref="DU6" authorId="0" shapeId="0" xr:uid="{00000000-0006-0000-0100-000015000000}">
      <text>
        <r>
          <rPr>
            <b/>
            <sz val="9"/>
            <color indexed="81"/>
            <rFont val="Tahoma"/>
            <family val="2"/>
          </rPr>
          <t>Filley, Kimberly S:</t>
        </r>
        <r>
          <rPr>
            <sz val="9"/>
            <color indexed="81"/>
            <rFont val="Tahoma"/>
            <family val="2"/>
          </rPr>
          <t xml:space="preserve">
includes $1821.21 in costs related to PAYS program </t>
        </r>
      </text>
    </comment>
    <comment ref="DV6" authorId="0" shapeId="0" xr:uid="{00000000-0006-0000-0100-000016000000}">
      <text>
        <r>
          <rPr>
            <b/>
            <sz val="9"/>
            <color indexed="81"/>
            <rFont val="Tahoma"/>
            <family val="2"/>
          </rPr>
          <t>Filley, Kimberly S:</t>
        </r>
        <r>
          <rPr>
            <sz val="9"/>
            <color indexed="81"/>
            <rFont val="Tahoma"/>
            <family val="2"/>
          </rPr>
          <t xml:space="preserve">
includes $1889.83 in costs related to PAYS program </t>
        </r>
      </text>
    </comment>
    <comment ref="DW6" authorId="0" shapeId="0" xr:uid="{00000000-0006-0000-0100-000017000000}">
      <text>
        <r>
          <rPr>
            <b/>
            <sz val="9"/>
            <color indexed="81"/>
            <rFont val="Tahoma"/>
            <family val="2"/>
          </rPr>
          <t>Filley, Kimberly S:</t>
        </r>
        <r>
          <rPr>
            <sz val="9"/>
            <color indexed="81"/>
            <rFont val="Tahoma"/>
            <family val="2"/>
          </rPr>
          <t xml:space="preserve">
includes $2070.59 in costs related to PAYS program </t>
        </r>
      </text>
    </comment>
    <comment ref="DX6" authorId="0" shapeId="0" xr:uid="{00000000-0006-0000-0100-000018000000}">
      <text>
        <r>
          <rPr>
            <b/>
            <sz val="9"/>
            <color indexed="81"/>
            <rFont val="Tahoma"/>
            <family val="2"/>
          </rPr>
          <t>Filley, Kimberly S:</t>
        </r>
        <r>
          <rPr>
            <sz val="9"/>
            <color indexed="81"/>
            <rFont val="Tahoma"/>
            <family val="2"/>
          </rPr>
          <t xml:space="preserve">
includes $2,306.05 in costs related to PAYS program and $692.55 associated with the write-off of an unpaid PAYS balance.</t>
        </r>
      </text>
    </comment>
    <comment ref="ED6" authorId="0" shapeId="0" xr:uid="{00000000-0006-0000-0100-000019000000}">
      <text>
        <r>
          <rPr>
            <b/>
            <sz val="9"/>
            <color indexed="81"/>
            <rFont val="Tahoma"/>
            <family val="2"/>
          </rPr>
          <t>Filley, Kimberly S:</t>
        </r>
        <r>
          <rPr>
            <sz val="9"/>
            <color indexed="81"/>
            <rFont val="Tahoma"/>
            <family val="2"/>
          </rPr>
          <t xml:space="preserve">
properly excludes $600 related to thermostat costs that had originally been improperly included in the Nov 20 costs</t>
        </r>
      </text>
    </comment>
    <comment ref="EE6" authorId="0" shapeId="0" xr:uid="{00000000-0006-0000-0100-00001A000000}">
      <text>
        <r>
          <rPr>
            <b/>
            <sz val="9"/>
            <color indexed="81"/>
            <rFont val="Tahoma"/>
            <family val="2"/>
          </rPr>
          <t>Filley, Kimberly S:</t>
        </r>
        <r>
          <rPr>
            <sz val="9"/>
            <color indexed="81"/>
            <rFont val="Tahoma"/>
            <family val="2"/>
          </rPr>
          <t xml:space="preserve">
properly excludes $700 related to thermostat costs that had originally been improperly included in the Dec 20 costs</t>
        </r>
      </text>
    </comment>
    <comment ref="EF6" authorId="0" shapeId="0" xr:uid="{00000000-0006-0000-0100-00001B000000}">
      <text>
        <r>
          <rPr>
            <b/>
            <sz val="9"/>
            <color indexed="81"/>
            <rFont val="Tahoma"/>
            <family val="2"/>
          </rPr>
          <t>Filley, Kimberly S:</t>
        </r>
        <r>
          <rPr>
            <sz val="9"/>
            <color indexed="81"/>
            <rFont val="Tahoma"/>
            <family val="2"/>
          </rPr>
          <t xml:space="preserve">
properly excludes $200 related to thermostat costs that had originally been improperly included in the Jan 21 costs</t>
        </r>
      </text>
    </comment>
    <comment ref="EK6" authorId="0" shapeId="0" xr:uid="{00000000-0006-0000-0100-00001C000000}">
      <text>
        <r>
          <rPr>
            <b/>
            <sz val="9"/>
            <color indexed="81"/>
            <rFont val="Tahoma"/>
            <family val="2"/>
          </rPr>
          <t>Filley, Kimberly S:</t>
        </r>
        <r>
          <rPr>
            <sz val="9"/>
            <color indexed="81"/>
            <rFont val="Tahoma"/>
            <family val="2"/>
          </rPr>
          <t xml:space="preserve">
properly excludes $50 related to thermostat costs that had originally been improperly included in the Jun 21 costs</t>
        </r>
      </text>
    </comment>
    <comment ref="EP6" authorId="0" shapeId="0" xr:uid="{00000000-0006-0000-0100-00001D000000}">
      <text>
        <r>
          <rPr>
            <b/>
            <sz val="9"/>
            <color indexed="81"/>
            <rFont val="Tahoma"/>
            <family val="2"/>
          </rPr>
          <t>Filley, Kimberly S:</t>
        </r>
        <r>
          <rPr>
            <sz val="9"/>
            <color indexed="81"/>
            <rFont val="Tahoma"/>
            <family val="2"/>
          </rPr>
          <t xml:space="preserve">
properly excludes $534,998.70 related to Co-delivery costs that had originally been improperly included in the Nov 21 costs</t>
        </r>
      </text>
    </comment>
    <comment ref="ER6" authorId="0" shapeId="0" xr:uid="{00000000-0006-0000-0100-00001E000000}">
      <text>
        <r>
          <rPr>
            <b/>
            <sz val="9"/>
            <color indexed="81"/>
            <rFont val="Tahoma"/>
            <family val="2"/>
          </rPr>
          <t>Filley, Kimberly S:</t>
        </r>
        <r>
          <rPr>
            <sz val="9"/>
            <color indexed="81"/>
            <rFont val="Tahoma"/>
            <family val="2"/>
          </rPr>
          <t xml:space="preserve">
properly excludes $50 related to thermostat costs and properly includes $562.24 related to EEKITS Co-delivelry costs that had originally been improperly included/excluded in the Jan 22 costs</t>
        </r>
      </text>
    </comment>
    <comment ref="EZ6" authorId="0" shapeId="0" xr:uid="{00000000-0006-0000-0100-00001F000000}">
      <text>
        <r>
          <rPr>
            <b/>
            <sz val="9"/>
            <color indexed="81"/>
            <rFont val="Tahoma"/>
            <family val="2"/>
          </rPr>
          <t>Filley, Kimberly S:</t>
        </r>
        <r>
          <rPr>
            <sz val="9"/>
            <color indexed="81"/>
            <rFont val="Tahoma"/>
            <family val="2"/>
          </rPr>
          <t xml:space="preserve">
properly excludes $50 related to thermostat costs that had originally been improperly included in the Sep 22 costs</t>
        </r>
      </text>
    </comment>
    <comment ref="FE6" authorId="0" shapeId="0" xr:uid="{00000000-0006-0000-0100-000020000000}">
      <text>
        <r>
          <rPr>
            <b/>
            <sz val="9"/>
            <color indexed="81"/>
            <rFont val="Tahoma"/>
            <family val="2"/>
          </rPr>
          <t>Filley, Kimberly S:</t>
        </r>
        <r>
          <rPr>
            <sz val="9"/>
            <color indexed="81"/>
            <rFont val="Tahoma"/>
            <family val="2"/>
          </rPr>
          <t xml:space="preserve">
backs out cost corrections booked in Feb 2023 related to prud review associated with yellow highlighted periods to the left</t>
        </r>
      </text>
    </comment>
    <comment ref="FK6" authorId="0" shapeId="0" xr:uid="{00000000-0006-0000-0100-000021000000}">
      <text>
        <r>
          <rPr>
            <b/>
            <sz val="9"/>
            <color indexed="81"/>
            <rFont val="Tahoma"/>
            <family val="2"/>
          </rPr>
          <t>Filley, Kimberly S:</t>
        </r>
        <r>
          <rPr>
            <sz val="9"/>
            <color indexed="81"/>
            <rFont val="Tahoma"/>
            <family val="2"/>
          </rPr>
          <t xml:space="preserve">
includes $2,692.03 in costs related to PAYS </t>
        </r>
      </text>
    </comment>
    <comment ref="FL6" authorId="0" shapeId="0" xr:uid="{00000000-0006-0000-0100-000022000000}">
      <text>
        <r>
          <rPr>
            <b/>
            <sz val="9"/>
            <color indexed="81"/>
            <rFont val="Tahoma"/>
            <family val="2"/>
          </rPr>
          <t>Filley, Kimberly S:</t>
        </r>
        <r>
          <rPr>
            <sz val="9"/>
            <color indexed="81"/>
            <rFont val="Tahoma"/>
            <family val="2"/>
          </rPr>
          <t xml:space="preserve">
includes $2,737.36 in costs related to PAYS </t>
        </r>
      </text>
    </comment>
    <comment ref="FM6" authorId="0" shapeId="0" xr:uid="{00000000-0006-0000-0100-000023000000}">
      <text>
        <r>
          <rPr>
            <b/>
            <sz val="9"/>
            <color indexed="81"/>
            <rFont val="Tahoma"/>
            <family val="2"/>
          </rPr>
          <t>Filley, Kimberly S:</t>
        </r>
        <r>
          <rPr>
            <sz val="9"/>
            <color indexed="81"/>
            <rFont val="Tahoma"/>
            <family val="2"/>
          </rPr>
          <t xml:space="preserve">
includes $2,781.49 in costs related to PAYS </t>
        </r>
      </text>
    </comment>
    <comment ref="FN6" authorId="0" shapeId="0" xr:uid="{00000000-0006-0000-0100-000024000000}">
      <text>
        <r>
          <rPr>
            <b/>
            <sz val="9"/>
            <color indexed="81"/>
            <rFont val="Tahoma"/>
            <family val="2"/>
          </rPr>
          <t>Filley, Kimberly S:</t>
        </r>
        <r>
          <rPr>
            <sz val="9"/>
            <color indexed="81"/>
            <rFont val="Tahoma"/>
            <family val="2"/>
          </rPr>
          <t xml:space="preserve">
includes $571.88 in costs related to PAYS </t>
        </r>
      </text>
    </comment>
    <comment ref="FO6" authorId="0" shapeId="0" xr:uid="{00000000-0006-0000-0100-000025000000}">
      <text>
        <r>
          <rPr>
            <b/>
            <sz val="9"/>
            <color indexed="81"/>
            <rFont val="Tahoma"/>
            <family val="2"/>
          </rPr>
          <t>Filley, Kimberly S:</t>
        </r>
        <r>
          <rPr>
            <sz val="9"/>
            <color indexed="81"/>
            <rFont val="Tahoma"/>
            <family val="2"/>
          </rPr>
          <t xml:space="preserve">
includes $743.10 in costs related to PAYS </t>
        </r>
      </text>
    </comment>
    <comment ref="FP6" authorId="0" shapeId="0" xr:uid="{00000000-0006-0000-0100-000026000000}">
      <text>
        <r>
          <rPr>
            <b/>
            <sz val="9"/>
            <color indexed="81"/>
            <rFont val="Tahoma"/>
            <family val="2"/>
          </rPr>
          <t>Filley, Kimberly S:</t>
        </r>
        <r>
          <rPr>
            <sz val="9"/>
            <color indexed="81"/>
            <rFont val="Tahoma"/>
            <family val="2"/>
          </rPr>
          <t xml:space="preserve">
includes $848.98 in costs related to PAYS </t>
        </r>
      </text>
    </comment>
    <comment ref="DM7" authorId="0" shapeId="0" xr:uid="{00000000-0006-0000-0100-000027000000}">
      <text>
        <r>
          <rPr>
            <b/>
            <sz val="9"/>
            <color indexed="81"/>
            <rFont val="Tahoma"/>
            <family val="2"/>
          </rPr>
          <t>Filley, Kimberly S:</t>
        </r>
        <r>
          <rPr>
            <sz val="9"/>
            <color indexed="81"/>
            <rFont val="Tahoma"/>
            <family val="2"/>
          </rPr>
          <t xml:space="preserve">
includes rev true-up related to Nov 21 of $11.21
</t>
        </r>
      </text>
    </comment>
    <comment ref="DR7" authorId="0" shapeId="0" xr:uid="{00000000-0006-0000-0100-000028000000}">
      <text>
        <r>
          <rPr>
            <b/>
            <sz val="9"/>
            <color indexed="81"/>
            <rFont val="Tahoma"/>
            <family val="2"/>
          </rPr>
          <t>Filley, Kimberly S:</t>
        </r>
        <r>
          <rPr>
            <sz val="9"/>
            <color indexed="81"/>
            <rFont val="Tahoma"/>
            <family val="2"/>
          </rPr>
          <t xml:space="preserve">
includes rev true-up related to Nov 21 of 
-$0.19
</t>
        </r>
      </text>
    </comment>
    <comment ref="C9" authorId="1" shapeId="0" xr:uid="{00000000-0006-0000-0100-000029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DA21" authorId="0" shapeId="0" xr:uid="{00000000-0006-0000-0100-000030000000}">
      <text>
        <r>
          <rPr>
            <b/>
            <sz val="9"/>
            <color indexed="81"/>
            <rFont val="Tahoma"/>
            <family val="2"/>
          </rPr>
          <t>Filley, Kimberly S:</t>
        </r>
        <r>
          <rPr>
            <sz val="9"/>
            <color indexed="81"/>
            <rFont val="Tahoma"/>
            <family val="2"/>
          </rPr>
          <t xml:space="preserve">
when interest changes sign direction have to change the account in je template jul - sep 20 cumulative interest dropping so need to record interest rev for each of these months instead of interest expense like we have been</t>
        </r>
      </text>
    </comment>
    <comment ref="BJ32" authorId="1" shapeId="0" xr:uid="{00000000-0006-0000-0100-00004B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BU32" authorId="1" shapeId="0" xr:uid="{00000000-0006-0000-0100-00004C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DB76" authorId="1" shapeId="0" xr:uid="{00000000-0006-0000-0100-000057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DJ76" authorId="1" shapeId="0" xr:uid="{00000000-0006-0000-0100-000058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DK76" authorId="0" shapeId="0" xr:uid="{00000000-0006-0000-0100-000059000000}">
      <text>
        <r>
          <rPr>
            <b/>
            <sz val="9"/>
            <color indexed="81"/>
            <rFont val="Tahoma"/>
            <family val="2"/>
          </rPr>
          <t>Filley, Kimberly S:</t>
        </r>
        <r>
          <rPr>
            <sz val="9"/>
            <color indexed="81"/>
            <rFont val="Tahoma"/>
            <family val="2"/>
          </rPr>
          <t xml:space="preserve">
interest on the 50K OA that should w/h/been included in M3 had the OA been initially recorded in Nov 20 instead of Feb 21 - booked in GL in Novemember 2021</t>
        </r>
      </text>
    </comment>
    <comment ref="DN76" authorId="1" shapeId="0" xr:uid="{00000000-0006-0000-0100-00005A000000}">
      <text>
        <r>
          <rPr>
            <b/>
            <sz val="9"/>
            <color indexed="81"/>
            <rFont val="Tahoma"/>
            <family val="2"/>
          </rPr>
          <t>Logan, Raysene:</t>
        </r>
        <r>
          <rPr>
            <sz val="9"/>
            <color indexed="81"/>
            <rFont val="Tahoma"/>
            <family val="2"/>
          </rPr>
          <t xml:space="preserve">
M2 Janaury 2022 ending balances rolled into M3 effective Feb 2022</t>
        </r>
      </text>
    </comment>
    <comment ref="DK78" authorId="0" shapeId="0" xr:uid="{00000000-0006-0000-0100-00005C000000}">
      <text>
        <r>
          <rPr>
            <b/>
            <sz val="9"/>
            <color indexed="81"/>
            <rFont val="Tahoma"/>
            <family val="2"/>
          </rPr>
          <t>Filley, Kimberly S:</t>
        </r>
        <r>
          <rPr>
            <sz val="9"/>
            <color indexed="81"/>
            <rFont val="Tahoma"/>
            <family val="2"/>
          </rPr>
          <t xml:space="preserve">
manually adjusted to split the total OA amount of  -$153K into an over/under amort amount and an interest amount herein</t>
        </r>
      </text>
    </comment>
    <comment ref="DK79" authorId="0" shapeId="0" xr:uid="{00000000-0006-0000-0100-00005E000000}">
      <text>
        <r>
          <rPr>
            <b/>
            <sz val="9"/>
            <color indexed="81"/>
            <rFont val="Tahoma"/>
            <family val="2"/>
          </rPr>
          <t>Filley, Kimberly S:</t>
        </r>
        <r>
          <rPr>
            <sz val="9"/>
            <color indexed="81"/>
            <rFont val="Tahoma"/>
            <family val="2"/>
          </rPr>
          <t xml:space="preserve">
manually adjustment to pick up the -$1.8K in interest that I took out of the amortization portion of the calculation as it s/n/h gone there in Oct 21 only the base amount of the OA should have gone to the amort section of the over under and the interest should have gone to the interest row in Oct 21</t>
        </r>
      </text>
    </comment>
    <comment ref="DI84" authorId="1" shapeId="0" xr:uid="{00000000-0006-0000-0100-000060000000}">
      <text>
        <r>
          <rPr>
            <b/>
            <sz val="9"/>
            <color indexed="81"/>
            <rFont val="Tahoma"/>
            <family val="2"/>
          </rPr>
          <t>Filley, Kim:</t>
        </r>
        <r>
          <rPr>
            <sz val="9"/>
            <color indexed="81"/>
            <rFont val="Tahoma"/>
            <family val="2"/>
          </rPr>
          <t xml:space="preserve">
-$613,446.59: TD True-up for inclusion in EO booked to GL in September 21
-$100,000: stipulated Black Box amount for inclusion in EO booked to GL in September 21
+$10,195,155.19: M3 PY2020 EO booked to GL in September 21</t>
        </r>
      </text>
    </comment>
    <comment ref="DN84" authorId="1" shapeId="0" xr:uid="{00000000-0006-0000-0100-000061000000}">
      <text>
        <r>
          <rPr>
            <b/>
            <sz val="9"/>
            <color indexed="81"/>
            <rFont val="Tahoma"/>
            <family val="2"/>
          </rPr>
          <t>Logan, Raysene:</t>
        </r>
        <r>
          <rPr>
            <sz val="9"/>
            <color indexed="81"/>
            <rFont val="Tahoma"/>
            <family val="2"/>
          </rPr>
          <t xml:space="preserve">
M2 Janaury 2022 ending balances rolled into M3 effective Feb 2022</t>
        </r>
      </text>
    </comment>
    <comment ref="DT84" authorId="1" shapeId="0" xr:uid="{00000000-0006-0000-0100-000062000000}">
      <text>
        <r>
          <rPr>
            <b/>
            <sz val="9"/>
            <color indexed="81"/>
            <rFont val="Tahoma"/>
            <family val="2"/>
          </rPr>
          <t>Filley, Kim:</t>
        </r>
        <r>
          <rPr>
            <sz val="9"/>
            <color indexed="81"/>
            <rFont val="Tahoma"/>
            <family val="2"/>
          </rPr>
          <t xml:space="preserve">
-$1,019,499.30: TD True-up for inclusion in EO booked to GL in August 2022
+$12,767,185.73: M3 PY2021 EO booked to GL in August 2022</t>
        </r>
      </text>
    </comment>
    <comment ref="DV84" authorId="1" shapeId="0" xr:uid="{00000000-0006-0000-0100-000063000000}">
      <text>
        <r>
          <rPr>
            <b/>
            <sz val="9"/>
            <color indexed="81"/>
            <rFont val="Tahoma"/>
            <family val="2"/>
          </rPr>
          <t>Filley, Kim:</t>
        </r>
        <r>
          <rPr>
            <sz val="9"/>
            <color indexed="81"/>
            <rFont val="Tahoma"/>
            <family val="2"/>
          </rPr>
          <t xml:space="preserve">
-$197.32: True-up of TD True-up for inclusion in EO booked to GL in October 2022
</t>
        </r>
      </text>
    </comment>
    <comment ref="DX84" authorId="1" shapeId="0" xr:uid="{00000000-0006-0000-0100-000064000000}">
      <text>
        <r>
          <rPr>
            <b/>
            <sz val="9"/>
            <color indexed="81"/>
            <rFont val="Tahoma"/>
            <family val="2"/>
          </rPr>
          <t xml:space="preserve">Filley, Kim:
</t>
        </r>
        <r>
          <rPr>
            <sz val="9"/>
            <color indexed="81"/>
            <rFont val="Tahoma"/>
            <family val="2"/>
          </rPr>
          <t>+$10,734,309.90: M3 PY2022 EO booked to GL in December 2022</t>
        </r>
      </text>
    </comment>
    <comment ref="DR86" authorId="0" shapeId="0" xr:uid="{00000000-0006-0000-0100-000066000000}">
      <text>
        <r>
          <rPr>
            <b/>
            <sz val="9"/>
            <color indexed="81"/>
            <rFont val="Tahoma"/>
            <family val="2"/>
          </rPr>
          <t>Filley, Kimberly S:</t>
        </r>
        <r>
          <rPr>
            <sz val="9"/>
            <color indexed="81"/>
            <rFont val="Tahoma"/>
            <family val="2"/>
          </rPr>
          <t xml:space="preserve">
includes rev true-up related to Nov 21 of 
$3.25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C4" authorId="0" shapeId="0" xr:uid="{00000000-0006-0000-0300-000001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4" authorId="0" shapeId="0" xr:uid="{00000000-0006-0000-0300-000002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4" authorId="0" shapeId="0" xr:uid="{00000000-0006-0000-0300-000003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4" authorId="0" shapeId="0" xr:uid="{00000000-0006-0000-0300-000004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11" authorId="0" shapeId="0" xr:uid="{00000000-0006-0000-0300-000005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11" authorId="0" shapeId="0" xr:uid="{00000000-0006-0000-0300-000006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11" authorId="0" shapeId="0" xr:uid="{00000000-0006-0000-0300-000007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11" authorId="0" shapeId="0" xr:uid="{00000000-0006-0000-0300-000008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18" authorId="0" shapeId="0" xr:uid="{00000000-0006-0000-0300-000009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18" authorId="0" shapeId="0" xr:uid="{00000000-0006-0000-0300-00000A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18" authorId="0" shapeId="0" xr:uid="{00000000-0006-0000-0300-00000B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18" authorId="0" shapeId="0" xr:uid="{00000000-0006-0000-0300-00000C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25" authorId="0" shapeId="0" xr:uid="{00000000-0006-0000-0300-00000D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25" authorId="0" shapeId="0" xr:uid="{00000000-0006-0000-0300-00000E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25" authorId="0" shapeId="0" xr:uid="{00000000-0006-0000-0300-00000F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25" authorId="0" shapeId="0" xr:uid="{00000000-0006-0000-0300-000010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32" authorId="0" shapeId="0" xr:uid="{00000000-0006-0000-0300-000011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32" authorId="0" shapeId="0" xr:uid="{00000000-0006-0000-0300-000012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32" authorId="0" shapeId="0" xr:uid="{00000000-0006-0000-0300-000013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32" authorId="0" shapeId="0" xr:uid="{00000000-0006-0000-0300-000014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List>
</comments>
</file>

<file path=xl/sharedStrings.xml><?xml version="1.0" encoding="utf-8"?>
<sst xmlns="http://schemas.openxmlformats.org/spreadsheetml/2006/main" count="964" uniqueCount="152">
  <si>
    <t>Program Cost</t>
  </si>
  <si>
    <t>Cumulative Balance - TD Regulatory Asset/(Liability)</t>
  </si>
  <si>
    <t>Cumulative Balance - PC Regulatory Asset/(Liability)</t>
  </si>
  <si>
    <t xml:space="preserve">   Interest Rate (ST Borrowing rate)</t>
  </si>
  <si>
    <t xml:space="preserve">   Interest $</t>
  </si>
  <si>
    <t>Cumulative Interest</t>
  </si>
  <si>
    <t>Over/Under Calculations</t>
  </si>
  <si>
    <t>Interest $ - ST rate</t>
  </si>
  <si>
    <t>Program Cost Expense</t>
  </si>
  <si>
    <t>Program Cost Revenue</t>
  </si>
  <si>
    <t>PC (Over)/Under Recovery</t>
  </si>
  <si>
    <t>Total PC (Over)/Under Recovery</t>
  </si>
  <si>
    <t>TD (Over)/Under Recovery</t>
  </si>
  <si>
    <t>Total TD (Over)/Under Recovery</t>
  </si>
  <si>
    <t>Cumulative Balance - TD Regulatory Asset/(Liability) 1M</t>
  </si>
  <si>
    <t>Cumulative Balance - TD Regulatory Asset/(Liability) 2M</t>
  </si>
  <si>
    <t>Cumulative Balance - TD Regulatory Asset/(Liability) 3M</t>
  </si>
  <si>
    <t>Cumulative Balance - TD Regulatory Asset/(Liability) 4M</t>
  </si>
  <si>
    <t>Cumulative Balance - TD Regulatory Asset/(Liability) 11M</t>
  </si>
  <si>
    <t>TD - 1M RES</t>
  </si>
  <si>
    <t>TD - 2M SGS</t>
  </si>
  <si>
    <t>TD - 3M LGS</t>
  </si>
  <si>
    <t>TD - 4M SPS</t>
  </si>
  <si>
    <t>TD - 11M LPS</t>
  </si>
  <si>
    <t>TD - TOTAL</t>
  </si>
  <si>
    <t>Throughput Disincentive Revenue</t>
  </si>
  <si>
    <t>Cumulative interest</t>
  </si>
  <si>
    <t>Throughput Disincentive - Current Month</t>
  </si>
  <si>
    <t>Low Income</t>
  </si>
  <si>
    <t>Allocate TD Low Income</t>
  </si>
  <si>
    <t>Total</t>
  </si>
  <si>
    <t>kwh from CDW (adjusted for opt out)</t>
  </si>
  <si>
    <t>1M - RES</t>
  </si>
  <si>
    <t>2M - SGS</t>
  </si>
  <si>
    <t>3M - LGS</t>
  </si>
  <si>
    <t>4M - SPS</t>
  </si>
  <si>
    <t>11M - LPS</t>
  </si>
  <si>
    <t>TD $ from TD calculation file - Cumulative</t>
  </si>
  <si>
    <t>TD $ - Monthly</t>
  </si>
  <si>
    <t>TD Allocated - Monthly</t>
  </si>
  <si>
    <t>RES</t>
  </si>
  <si>
    <t>A</t>
  </si>
  <si>
    <t>Row Labels</t>
  </si>
  <si>
    <t>Grand Total</t>
  </si>
  <si>
    <t xml:space="preserve">   Interest (Expense)/Revenue $</t>
  </si>
  <si>
    <t>Amortization of previous year balance</t>
  </si>
  <si>
    <t>Net TD Revenue</t>
  </si>
  <si>
    <t>TD Billed Rev</t>
  </si>
  <si>
    <t>TDR Rate (o/u)</t>
  </si>
  <si>
    <t>PTD rate (projected)</t>
  </si>
  <si>
    <t>TDR % of rate</t>
  </si>
  <si>
    <t>TDR Billed Revenue $ Amort</t>
  </si>
  <si>
    <t>Allocate TD Low Income Exemption Bill Credits</t>
  </si>
  <si>
    <t>TD Billed Revenue $ - GL query</t>
  </si>
  <si>
    <t>Low Income Exemption (RES) - CDW</t>
  </si>
  <si>
    <t>TD Billed Revenue Allocated</t>
  </si>
  <si>
    <t>Total TD Rate</t>
  </si>
  <si>
    <t>Over/Under Calculation Adjs</t>
  </si>
  <si>
    <t>Ordered Adjustments</t>
  </si>
  <si>
    <t>Ordered Adjustment Revenue</t>
  </si>
  <si>
    <t>OA (Over)/Under Recovery</t>
  </si>
  <si>
    <t>Total OA (Over)/Under Recovery</t>
  </si>
  <si>
    <t>Cumulative Balance - OA Regulatory Asset/(Liability)</t>
  </si>
  <si>
    <t>TDR Rate ((over)/under)</t>
  </si>
  <si>
    <t>MEEIA EO Amortization per Rider EEIC tariff</t>
  </si>
  <si>
    <t>MEEIA Earnings Opportunity Revenue (Current $)</t>
  </si>
  <si>
    <t>EO (Over)/Under Recovery</t>
  </si>
  <si>
    <t>Total EO (Over)/Under Recovery</t>
  </si>
  <si>
    <t>Total EO (Over)/Under Recovery - Cumulative</t>
  </si>
  <si>
    <t>Cumulative Balance - EO Regulatory Asset/(Liability)</t>
  </si>
  <si>
    <t>MEEIA Cycle 3</t>
  </si>
  <si>
    <t>M3 Earnings Opportunity</t>
  </si>
  <si>
    <t>original calc</t>
  </si>
  <si>
    <t>adj needed - all RES</t>
  </si>
  <si>
    <t xml:space="preserve">adj needed  </t>
  </si>
  <si>
    <t>adj needed</t>
  </si>
  <si>
    <t>TD interest adjs to book as result of the air compressor margin rate being applied to all measures  - booked to GL in Nov 2019</t>
  </si>
  <si>
    <t>adj</t>
  </si>
  <si>
    <t>orginal interest</t>
  </si>
  <si>
    <t>revised costs to exclude RT = 34</t>
  </si>
  <si>
    <t>original costs</t>
  </si>
  <si>
    <t>revised interest calculated to right</t>
  </si>
  <si>
    <t>revised costs cumulative calculated to right as result of prud review</t>
  </si>
  <si>
    <t>Rate of Return</t>
  </si>
  <si>
    <t>Interest to flow through MEEIA</t>
  </si>
  <si>
    <t>PM EB</t>
  </si>
  <si>
    <t xml:space="preserve">CM Deferred Spend </t>
  </si>
  <si>
    <t>Less:  Amortization</t>
  </si>
  <si>
    <t>Cumulative Unamortized Balance</t>
  </si>
  <si>
    <t>Less:  Deferred Taxes</t>
  </si>
  <si>
    <t>Net Rate Base</t>
  </si>
  <si>
    <t>PISA Rate:</t>
  </si>
  <si>
    <t>Customer Financing Rate</t>
  </si>
  <si>
    <t>Sum of Amount</t>
  </si>
  <si>
    <t>Column Labels</t>
  </si>
  <si>
    <t>J0QW4</t>
  </si>
  <si>
    <t>Input #s</t>
  </si>
  <si>
    <t>cost correction allocation</t>
  </si>
  <si>
    <t>% of total</t>
  </si>
  <si>
    <t>interest correction allocation</t>
  </si>
  <si>
    <t xml:space="preserve">In October 2021, Ameren identified some labor charges that were incorrectly included in MEEIA  3 PC related to the PAYS program for the months of November 19 and February 21 totaling $60,467.71.  </t>
  </si>
  <si>
    <t>to calculate interest adjustment associated with PC amounts that need to be removed from M3PC</t>
  </si>
  <si>
    <r>
      <t xml:space="preserve">M3 Ordered Adjustments </t>
    </r>
    <r>
      <rPr>
        <b/>
        <i/>
        <sz val="11"/>
        <color rgb="FFFF0000"/>
        <rFont val="Calibri"/>
        <family val="2"/>
        <scheme val="minor"/>
      </rPr>
      <t>(part of November 2021 CPA3 and CPA4 MEEIA Rider Calc Files)</t>
    </r>
  </si>
  <si>
    <t>M3 OA of $50K should have been booked November 2020 close not booked until Feb 2021.  Thus need to calculate an interest adjustment (starting November 2020 and compounded through October 2021)</t>
  </si>
  <si>
    <t>Original</t>
  </si>
  <si>
    <t>new</t>
  </si>
  <si>
    <t xml:space="preserve">old </t>
  </si>
  <si>
    <t>diff</t>
  </si>
  <si>
    <t>Revised</t>
  </si>
  <si>
    <t>change in kwh adjusted for opt out related to Nov 21-May 22 so adjustment made in Oct 22 to reallocate the TD over/under amounts by rate class, overall impact to TD o/u net $0</t>
  </si>
  <si>
    <t>From November 2021 filing (wp CPA3 MEEIA 3 adjs tab):</t>
  </si>
  <si>
    <t>M3 TD interest correction calculation - booked November 2020 close - see workpaper CPA3.A - M3 over under TD interst error support for calculation details</t>
  </si>
  <si>
    <t>MEEIA 3 Expense - PC  Adjustment</t>
  </si>
  <si>
    <t>Less: Reclass to Rate Base</t>
  </si>
  <si>
    <t xml:space="preserve">Less: Write-off to MEEIA </t>
  </si>
  <si>
    <t>Plus: Amortization Reversed</t>
  </si>
  <si>
    <t/>
  </si>
  <si>
    <t>original</t>
  </si>
  <si>
    <t>revised December 2020 interest rate as result of a prudency review</t>
  </si>
  <si>
    <t>represents the values that should have changed had the corrections been booked in the periods they actually related to</t>
  </si>
  <si>
    <t>thermostat incentive correcting entry recorded Feb 2023 relates to periods Nov 20-Jan 21; Jun 21; Jan 22; Sep 22</t>
  </si>
  <si>
    <t>gas co-delivery correcting entry recorded Feb 2023 relates to Nov 21 period</t>
  </si>
  <si>
    <t>EEKITS co-delivery correcting entry recorded Feb 2023 relates to Jan 22 period</t>
  </si>
  <si>
    <t>cost</t>
  </si>
  <si>
    <t>interest</t>
  </si>
  <si>
    <t>pisa rate revised Sep 2023</t>
  </si>
  <si>
    <t xml:space="preserve">diff </t>
  </si>
  <si>
    <t>change in amt that s/h flowed thru MEEIA</t>
  </si>
  <si>
    <t>PAYS calculator</t>
  </si>
  <si>
    <t>MEEIA Cycle 4</t>
  </si>
  <si>
    <t>M3PC</t>
  </si>
  <si>
    <t>M4PC</t>
  </si>
  <si>
    <t>Feb 25 - Jan 26</t>
  </si>
  <si>
    <t>TKM A:</t>
  </si>
  <si>
    <t>TKM B:</t>
  </si>
  <si>
    <t>See TKM A above for explanation of change in amortization calculation methodolgy and why it needed to be changed</t>
  </si>
  <si>
    <t>Less: Early payoff balance already in base rates</t>
  </si>
  <si>
    <r>
      <rPr>
        <b/>
        <sz val="11"/>
        <color rgb="FFFF0000"/>
        <rFont val="Calibri"/>
        <family val="2"/>
        <scheme val="minor"/>
      </rPr>
      <t xml:space="preserve">From November 2023 filing (shown in wp </t>
    </r>
    <r>
      <rPr>
        <b/>
        <i/>
        <sz val="11"/>
        <color rgb="FFFF0000"/>
        <rFont val="Calibri"/>
        <family val="2"/>
        <scheme val="minor"/>
      </rPr>
      <t>JNG3</t>
    </r>
    <r>
      <rPr>
        <b/>
        <sz val="11"/>
        <color rgb="FFFF0000"/>
        <rFont val="Calibri"/>
        <family val="2"/>
        <scheme val="minor"/>
      </rPr>
      <t xml:space="preserve"> on the </t>
    </r>
    <r>
      <rPr>
        <b/>
        <i/>
        <sz val="11"/>
        <color rgb="FFFF0000"/>
        <rFont val="Calibri"/>
        <family val="2"/>
        <scheme val="minor"/>
      </rPr>
      <t>MEEIA 3 adjs</t>
    </r>
    <r>
      <rPr>
        <b/>
        <sz val="11"/>
        <color rgb="FFFF0000"/>
        <rFont val="Calibri"/>
        <family val="2"/>
        <scheme val="minor"/>
      </rPr>
      <t xml:space="preserve"> tab and calculated in wp</t>
    </r>
    <r>
      <rPr>
        <b/>
        <i/>
        <sz val="11"/>
        <color rgb="FFFF0000"/>
        <rFont val="Calibri"/>
        <family val="2"/>
        <scheme val="minor"/>
      </rPr>
      <t xml:space="preserve"> JNG3.D - M3 over under PAYS cost &amp; intrst crrtn support) for calculation details</t>
    </r>
  </si>
  <si>
    <t>revised costs related to below periods highlighted in yellow resulting from a revised PISA rate which impacts the PAYS costs that need to flow through MEEIA - resulting cost and interest calculation revision shown to the right below; interest adjument booked in GL in October 2023</t>
  </si>
  <si>
    <r>
      <t xml:space="preserve">From November 2023 filing (shown in wp </t>
    </r>
    <r>
      <rPr>
        <b/>
        <i/>
        <sz val="11"/>
        <color rgb="FFFF0000"/>
        <rFont val="Calibri"/>
        <family val="2"/>
        <scheme val="minor"/>
      </rPr>
      <t>JNG3</t>
    </r>
    <r>
      <rPr>
        <b/>
        <sz val="11"/>
        <color rgb="FFFF0000"/>
        <rFont val="Calibri"/>
        <family val="2"/>
        <scheme val="minor"/>
      </rPr>
      <t xml:space="preserve"> on the </t>
    </r>
    <r>
      <rPr>
        <b/>
        <i/>
        <sz val="11"/>
        <color rgb="FFFF0000"/>
        <rFont val="Calibri"/>
        <family val="2"/>
        <scheme val="minor"/>
      </rPr>
      <t>MEEIA 3 adjs</t>
    </r>
    <r>
      <rPr>
        <b/>
        <sz val="11"/>
        <color rgb="FFFF0000"/>
        <rFont val="Calibri"/>
        <family val="2"/>
        <scheme val="minor"/>
      </rPr>
      <t xml:space="preserve"> tab and calculated in wp </t>
    </r>
    <r>
      <rPr>
        <b/>
        <i/>
        <sz val="11"/>
        <color rgb="FFFF0000"/>
        <rFont val="Calibri"/>
        <family val="2"/>
        <scheme val="minor"/>
      </rPr>
      <t xml:space="preserve"> JNG3.C - M3 over under PC - prud review intrst crrtn support)</t>
    </r>
  </si>
  <si>
    <t>revised costs related to below periods highlighted in yellow resulting from prudence review - resulting interest calculation revision shown to the right below; interest adjument booked in GL in March 2023</t>
  </si>
  <si>
    <r>
      <t xml:space="preserve">From November 2023 filing (shown in </t>
    </r>
    <r>
      <rPr>
        <b/>
        <i/>
        <sz val="11"/>
        <color rgb="FFFF0000"/>
        <rFont val="Calibri"/>
        <family val="2"/>
        <scheme val="minor"/>
      </rPr>
      <t>wp JNG3</t>
    </r>
    <r>
      <rPr>
        <b/>
        <sz val="11"/>
        <color rgb="FFFF0000"/>
        <rFont val="Calibri"/>
        <family val="2"/>
        <scheme val="minor"/>
      </rPr>
      <t xml:space="preserve"> on the </t>
    </r>
    <r>
      <rPr>
        <b/>
        <i/>
        <sz val="11"/>
        <color rgb="FFFF0000"/>
        <rFont val="Calibri"/>
        <family val="2"/>
        <scheme val="minor"/>
      </rPr>
      <t>MEEIA 3 adjs</t>
    </r>
    <r>
      <rPr>
        <b/>
        <sz val="11"/>
        <color rgb="FFFF0000"/>
        <rFont val="Calibri"/>
        <family val="2"/>
        <scheme val="minor"/>
      </rPr>
      <t xml:space="preserve"> tab and calculated in </t>
    </r>
    <r>
      <rPr>
        <b/>
        <i/>
        <sz val="11"/>
        <color rgb="FFFF0000"/>
        <rFont val="Calibri"/>
        <family val="2"/>
        <scheme val="minor"/>
      </rPr>
      <t>wp JNG3.B - MEEIA over under calculations - Dec 2020 intrst rate crrtn support</t>
    </r>
    <r>
      <rPr>
        <b/>
        <sz val="11"/>
        <color rgb="FFFF0000"/>
        <rFont val="Calibri"/>
        <family val="2"/>
        <scheme val="minor"/>
      </rPr>
      <t>)</t>
    </r>
  </si>
  <si>
    <t>forecast from TD calculator file</t>
  </si>
  <si>
    <t>forecast from PPC.1 tab</t>
  </si>
  <si>
    <t>TDR.1</t>
  </si>
  <si>
    <t>TDR.1F</t>
  </si>
  <si>
    <t>PTD.1</t>
  </si>
  <si>
    <t>Rate filing TDR tab, lines 22 - 26</t>
  </si>
  <si>
    <t>Rate filing TDR tab, line 36</t>
  </si>
  <si>
    <r>
      <t xml:space="preserve">As a result of the extremely small rates being charged for TDR and PTD for the period of Feb 25 - Jan 26, the formula's historically used herein to split TD between prior year amortization and current year over under is resulting in significantly inflated 1M &amp; M3 amortization amounts (i.e. resulting in too high of an amortization amount for both rate classes in comparison to what was filed as the amount we needed to refund/charge customers per the Nov 2024 MEEIA rate filing) which in turn is going to cause the current year over/under monthly TD amounts to be significantly inflated for these two rate classes.  As such, and becasue this is the last year of M3 TD, we determined that a more reasonable approach to calculating the amount of the TDR that we are collecting from/refunding to customers Feb 25 - Jan 26 would be to take the total TDR per each rate class as was filed in the Nov 2024 rate filing (in  </t>
    </r>
    <r>
      <rPr>
        <b/>
        <sz val="11"/>
        <color rgb="FFFF0000"/>
        <rFont val="Calibri"/>
        <family val="2"/>
        <scheme val="minor"/>
      </rPr>
      <t>wp JNG2 - MEEIA Rider Calcs November 2024- rates on the "tariff tables (M3)" tab</t>
    </r>
    <r>
      <rPr>
        <sz val="11"/>
        <color rgb="FFFF0000"/>
        <rFont val="Calibri"/>
        <family val="2"/>
        <scheme val="minor"/>
      </rPr>
      <t xml:space="preserve">) divided by 12. </t>
    </r>
  </si>
  <si>
    <r>
      <rPr>
        <b/>
        <u/>
        <sz val="11"/>
        <color rgb="FFFF0000"/>
        <rFont val="Calibri"/>
        <family val="2"/>
        <scheme val="minor"/>
      </rPr>
      <t>TKM A below:</t>
    </r>
    <r>
      <rPr>
        <b/>
        <sz val="11"/>
        <color rgb="FFFF0000"/>
        <rFont val="Calibri"/>
        <family val="2"/>
        <scheme val="minor"/>
      </rPr>
      <t xml:space="preserve">
Cannot use this methodology</t>
    </r>
  </si>
  <si>
    <r>
      <rPr>
        <b/>
        <u/>
        <sz val="11"/>
        <color theme="1"/>
        <rFont val="Calibri"/>
        <family val="2"/>
        <scheme val="minor"/>
      </rPr>
      <t xml:space="preserve">TKM B below: </t>
    </r>
    <r>
      <rPr>
        <b/>
        <sz val="11"/>
        <color theme="1"/>
        <rFont val="Calibri"/>
        <family val="2"/>
        <scheme val="minor"/>
      </rPr>
      <t xml:space="preserve">
Methodology to use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</si>
</sst>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quot;$&quot;#,##0.00"/>
    <numFmt numFmtId="165" formatCode="0.000000%"/>
    <numFmt numFmtId="166" formatCode="_(* #,##0_);_(* \(#,##0\);_(* &quot;-&quot;??_);_(@_)"/>
    <numFmt numFmtId="167" formatCode="&quot;$&quot;#,##0.000000_);[Red]\(&quot;$&quot;#,##0.000000\)"/>
    <numFmt numFmtId="168" formatCode="&quot;$&quot;#,##0.000000_);\(&quot;$&quot;#,##0.000000\)"/>
    <numFmt numFmtId="169" formatCode="&quot;$&quot;#,##0.000000"/>
    <numFmt numFmtId="170" formatCode="mmm\-yyyy"/>
  </numFmts>
  <fonts count="84"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theme="0"/>
      <name val="Calibri"/>
      <family val="2"/>
      <scheme val="minor"/>
    </font>
    <font>
      <b/>
      <sz val="9"/>
      <color indexed="81"/>
      <name val="Tahoma"/>
      <family val="2"/>
    </font>
    <font>
      <sz val="9"/>
      <color indexed="81"/>
      <name val="Tahoma"/>
      <family val="2"/>
    </font>
    <font>
      <sz val="11"/>
      <color theme="3" tint="-0.499984740745262"/>
      <name val="Calibri"/>
      <family val="2"/>
      <scheme val="minor"/>
    </font>
    <font>
      <sz val="11"/>
      <color theme="5" tint="-0.499984740745262"/>
      <name val="Calibri"/>
      <family val="2"/>
      <scheme val="minor"/>
    </font>
    <font>
      <sz val="10"/>
      <name val="Arial"/>
      <family val="2"/>
    </font>
    <font>
      <sz val="11"/>
      <color indexed="8"/>
      <name val="Calibri"/>
      <family val="2"/>
    </font>
    <font>
      <u/>
      <sz val="6"/>
      <color indexed="12"/>
      <name val="Arial"/>
      <family val="2"/>
    </font>
    <font>
      <u/>
      <sz val="8.5"/>
      <color indexed="12"/>
      <name val="Arial"/>
      <family val="2"/>
    </font>
    <font>
      <sz val="10"/>
      <name val="MS Sans Serif"/>
      <family val="2"/>
    </font>
    <font>
      <sz val="10"/>
      <color indexed="0"/>
      <name val="Arial"/>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u/>
      <sz val="8"/>
      <color rgb="FF0000FF"/>
      <name val="Calibri"/>
      <family val="2"/>
      <scheme val="minor"/>
    </font>
    <font>
      <u/>
      <sz val="8"/>
      <color rgb="FF800080"/>
      <name val="Calibri"/>
      <family val="2"/>
      <scheme val="minor"/>
    </font>
    <font>
      <u/>
      <sz val="11"/>
      <color theme="10"/>
      <name val="Calibri"/>
      <family val="2"/>
      <scheme val="minor"/>
    </font>
    <font>
      <b/>
      <i/>
      <u/>
      <sz val="11"/>
      <color theme="1"/>
      <name val="Calibri"/>
      <family val="2"/>
      <scheme val="minor"/>
    </font>
    <font>
      <i/>
      <sz val="11"/>
      <color rgb="FFFF0000"/>
      <name val="Calibri"/>
      <family val="2"/>
      <scheme val="minor"/>
    </font>
    <font>
      <sz val="11"/>
      <color theme="1"/>
      <name val="Book Antiqua"/>
      <family val="2"/>
    </font>
    <font>
      <sz val="10"/>
      <color theme="1"/>
      <name val="Arial"/>
      <family val="2"/>
    </font>
    <font>
      <sz val="10"/>
      <color theme="1"/>
      <name val="Calibri"/>
      <family val="2"/>
    </font>
    <font>
      <b/>
      <sz val="15"/>
      <color theme="3"/>
      <name val="Calibri"/>
      <family val="2"/>
    </font>
    <font>
      <b/>
      <sz val="13"/>
      <color theme="3"/>
      <name val="Calibri"/>
      <family val="2"/>
    </font>
    <font>
      <b/>
      <sz val="11"/>
      <color theme="3"/>
      <name val="Calibri"/>
      <family val="2"/>
    </font>
    <font>
      <sz val="10"/>
      <color rgb="FF006100"/>
      <name val="Calibri"/>
      <family val="2"/>
    </font>
    <font>
      <sz val="10"/>
      <color rgb="FF9C0006"/>
      <name val="Calibri"/>
      <family val="2"/>
    </font>
    <font>
      <sz val="10"/>
      <color rgb="FF9C6500"/>
      <name val="Calibri"/>
      <family val="2"/>
    </font>
    <font>
      <sz val="10"/>
      <color rgb="FF3F3F76"/>
      <name val="Calibri"/>
      <family val="2"/>
    </font>
    <font>
      <b/>
      <sz val="10"/>
      <color rgb="FF3F3F3F"/>
      <name val="Calibri"/>
      <family val="2"/>
    </font>
    <font>
      <b/>
      <sz val="10"/>
      <color rgb="FFFA7D00"/>
      <name val="Calibri"/>
      <family val="2"/>
    </font>
    <font>
      <sz val="10"/>
      <color rgb="FFFA7D00"/>
      <name val="Calibri"/>
      <family val="2"/>
    </font>
    <font>
      <b/>
      <sz val="10"/>
      <color theme="0"/>
      <name val="Calibri"/>
      <family val="2"/>
    </font>
    <font>
      <sz val="10"/>
      <color rgb="FFFF0000"/>
      <name val="Calibri"/>
      <family val="2"/>
    </font>
    <font>
      <i/>
      <sz val="10"/>
      <color rgb="FF7F7F7F"/>
      <name val="Calibri"/>
      <family val="2"/>
    </font>
    <font>
      <b/>
      <sz val="10"/>
      <color theme="1"/>
      <name val="Calibri"/>
      <family val="2"/>
    </font>
    <font>
      <sz val="10"/>
      <color theme="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Times New Roman"/>
      <family val="1"/>
    </font>
    <font>
      <b/>
      <sz val="12"/>
      <name val="Calibri"/>
      <family val="2"/>
      <scheme val="minor"/>
    </font>
    <font>
      <b/>
      <u/>
      <sz val="11"/>
      <color theme="1"/>
      <name val="Calibri"/>
      <family val="2"/>
      <scheme val="minor"/>
    </font>
    <font>
      <b/>
      <i/>
      <sz val="11"/>
      <color theme="1"/>
      <name val="Calibri"/>
      <family val="2"/>
      <scheme val="minor"/>
    </font>
    <font>
      <b/>
      <sz val="11"/>
      <color rgb="FFFF0000"/>
      <name val="Calibri"/>
      <family val="2"/>
      <scheme val="minor"/>
    </font>
    <font>
      <sz val="10"/>
      <name val="Arial"/>
      <family val="2"/>
    </font>
    <font>
      <sz val="11"/>
      <color rgb="FF0000FF"/>
      <name val="Calibri"/>
      <family val="2"/>
      <scheme val="minor"/>
    </font>
    <font>
      <b/>
      <sz val="12"/>
      <color theme="1"/>
      <name val="Calibri"/>
      <family val="2"/>
      <scheme val="minor"/>
    </font>
    <font>
      <b/>
      <sz val="11"/>
      <color theme="3" tint="-0.499984740745262"/>
      <name val="Calibri"/>
      <family val="2"/>
      <scheme val="minor"/>
    </font>
    <font>
      <sz val="9"/>
      <color rgb="FF000000"/>
      <name val="Tahoma"/>
      <family val="2"/>
    </font>
    <font>
      <b/>
      <i/>
      <sz val="11"/>
      <color rgb="FFFF0000"/>
      <name val="Calibri"/>
      <family val="2"/>
      <scheme val="minor"/>
    </font>
    <font>
      <b/>
      <sz val="11"/>
      <color rgb="FFFF0000"/>
      <name val="Book Antiqua"/>
      <family val="1"/>
    </font>
    <font>
      <b/>
      <sz val="11"/>
      <color theme="5" tint="-0.499984740745262"/>
      <name val="Calibri"/>
      <family val="2"/>
      <scheme val="minor"/>
    </font>
    <font>
      <b/>
      <u/>
      <sz val="11"/>
      <color rgb="FFFF0000"/>
      <name val="Calibri"/>
      <family val="2"/>
      <scheme val="minor"/>
    </font>
  </fonts>
  <fills count="83">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1"/>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indexed="44"/>
        <bgColor indexed="64"/>
      </patternFill>
    </fill>
    <fill>
      <patternFill patternType="solid">
        <fgColor indexed="47"/>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499984740745262"/>
        <bgColor indexed="64"/>
      </patternFill>
    </fill>
    <fill>
      <patternFill patternType="solid">
        <fgColor rgb="FFF7C5BB"/>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rgb="FFFFC000"/>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5" tint="0.59999389629810485"/>
        <bgColor indexed="64"/>
      </patternFill>
    </fill>
  </fills>
  <borders count="5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rgb="FFC9C9CB"/>
      </left>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thin">
        <color theme="0" tint="-0.499984740745262"/>
      </left>
      <right style="thin">
        <color theme="0" tint="-0.499984740745262"/>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37699">
    <xf numFmtId="0" fontId="0" fillId="0" borderId="0"/>
    <xf numFmtId="0" fontId="2" fillId="2" borderId="1" applyNumberFormat="0" applyAlignment="0" applyProtection="0"/>
    <xf numFmtId="0" fontId="3" fillId="3" borderId="1" applyNumberFormat="0" applyAlignment="0" applyProtection="0"/>
    <xf numFmtId="0" fontId="1" fillId="4" borderId="2"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2" fillId="0" borderId="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2"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 fillId="10" borderId="0" applyNumberFormat="0" applyAlignment="0">
      <alignment horizontal="right"/>
    </xf>
    <xf numFmtId="0" fontId="12" fillId="11" borderId="0" applyNumberFormat="0" applyAlignment="0"/>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0" fontId="17" fillId="0" borderId="0"/>
    <xf numFmtId="0" fontId="19" fillId="0" borderId="0" applyNumberFormat="0" applyFill="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8" borderId="0" applyNumberFormat="0" applyBorder="0" applyAlignment="0" applyProtection="0"/>
    <xf numFmtId="0" fontId="26" fillId="3" borderId="8" applyNumberFormat="0" applyAlignment="0" applyProtection="0"/>
    <xf numFmtId="0" fontId="27" fillId="0" borderId="9" applyNumberFormat="0" applyFill="0" applyAlignment="0" applyProtection="0"/>
    <xf numFmtId="0" fontId="28" fillId="19" borderId="10" applyNumberFormat="0" applyAlignment="0" applyProtection="0"/>
    <xf numFmtId="0" fontId="5" fillId="0" borderId="0" applyNumberFormat="0" applyFill="0" applyBorder="0" applyAlignment="0" applyProtection="0"/>
    <xf numFmtId="0" fontId="29" fillId="0" borderId="0" applyNumberFormat="0" applyFill="0" applyBorder="0" applyAlignment="0" applyProtection="0"/>
    <xf numFmtId="0" fontId="4" fillId="0" borderId="11" applyNumberFormat="0" applyFill="0" applyAlignment="0" applyProtection="0"/>
    <xf numFmtId="0" fontId="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7" fillId="43" borderId="0" applyNumberFormat="0" applyBorder="0" applyAlignment="0" applyProtection="0"/>
    <xf numFmtId="43" fontId="12" fillId="0" borderId="0" applyFont="0" applyFill="0" applyBorder="0" applyAlignment="0" applyProtection="0"/>
    <xf numFmtId="44" fontId="1" fillId="0" borderId="0" applyFont="0" applyFill="0" applyBorder="0" applyAlignment="0" applyProtection="0"/>
    <xf numFmtId="0" fontId="1" fillId="0" borderId="0"/>
    <xf numFmtId="43" fontId="12" fillId="0" borderId="0" applyFont="0" applyFill="0" applyBorder="0" applyAlignment="0" applyProtection="0"/>
    <xf numFmtId="0" fontId="1" fillId="0" borderId="0"/>
    <xf numFmtId="0" fontId="12" fillId="0" borderId="0"/>
    <xf numFmtId="9" fontId="12" fillId="0" borderId="0" applyFont="0" applyFill="0" applyBorder="0" applyAlignment="0" applyProtection="0"/>
    <xf numFmtId="44" fontId="12" fillId="0" borderId="0" applyFont="0" applyFill="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7"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10" borderId="0" applyNumberFormat="0" applyAlignment="0">
      <alignment horizontal="right"/>
    </xf>
    <xf numFmtId="0" fontId="12" fillId="11" borderId="0" applyNumberFormat="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2"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2" fillId="0" borderId="0" applyNumberFormat="0" applyFill="0" applyBorder="0" applyAlignment="0" applyProtection="0"/>
    <xf numFmtId="0" fontId="1" fillId="0" borderId="0"/>
    <xf numFmtId="0" fontId="30" fillId="0" borderId="0" applyNumberFormat="0" applyFill="0" applyBorder="0" applyAlignment="0" applyProtection="0"/>
    <xf numFmtId="0" fontId="1"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0" borderId="0"/>
    <xf numFmtId="0" fontId="1" fillId="0" borderId="0"/>
    <xf numFmtId="43" fontId="12" fillId="0" borderId="0" applyFont="0" applyFill="0" applyBorder="0" applyAlignment="0" applyProtection="0"/>
    <xf numFmtId="0" fontId="35" fillId="0" borderId="0"/>
    <xf numFmtId="9" fontId="35" fillId="0" borderId="0" applyFont="0" applyFill="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0" borderId="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2" fillId="0" borderId="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16" borderId="0" applyNumberFormat="0" applyBorder="0" applyAlignment="0" applyProtection="0"/>
    <xf numFmtId="0" fontId="42" fillId="17" borderId="0" applyNumberFormat="0" applyBorder="0" applyAlignment="0" applyProtection="0"/>
    <xf numFmtId="0" fontId="43" fillId="18" borderId="0" applyNumberFormat="0" applyBorder="0" applyAlignment="0" applyProtection="0"/>
    <xf numFmtId="0" fontId="44" fillId="2" borderId="1" applyNumberFormat="0" applyAlignment="0" applyProtection="0"/>
    <xf numFmtId="0" fontId="45" fillId="3" borderId="8" applyNumberFormat="0" applyAlignment="0" applyProtection="0"/>
    <xf numFmtId="0" fontId="46" fillId="3" borderId="1" applyNumberFormat="0" applyAlignment="0" applyProtection="0"/>
    <xf numFmtId="0" fontId="47" fillId="0" borderId="9" applyNumberFormat="0" applyFill="0" applyAlignment="0" applyProtection="0"/>
    <xf numFmtId="0" fontId="48" fillId="19" borderId="10" applyNumberFormat="0" applyAlignment="0" applyProtection="0"/>
    <xf numFmtId="0" fontId="49" fillId="0" borderId="0" applyNumberFormat="0" applyFill="0" applyBorder="0" applyAlignment="0" applyProtection="0"/>
    <xf numFmtId="0" fontId="37" fillId="4" borderId="2" applyNumberFormat="0" applyFont="0" applyAlignment="0" applyProtection="0"/>
    <xf numFmtId="0" fontId="50" fillId="0" borderId="0" applyNumberFormat="0" applyFill="0" applyBorder="0" applyAlignment="0" applyProtection="0"/>
    <xf numFmtId="0" fontId="51" fillId="0" borderId="11" applyNumberFormat="0" applyFill="0" applyAlignment="0" applyProtection="0"/>
    <xf numFmtId="0" fontId="52"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52" fillId="43" borderId="0" applyNumberFormat="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36" fillId="0" borderId="0"/>
    <xf numFmtId="0" fontId="12" fillId="0" borderId="0"/>
    <xf numFmtId="0" fontId="12" fillId="0" borderId="0"/>
    <xf numFmtId="0" fontId="12" fillId="0" borderId="0"/>
    <xf numFmtId="0" fontId="1" fillId="21" borderId="0" applyNumberFormat="0" applyBorder="0" applyAlignment="0" applyProtection="0"/>
    <xf numFmtId="0" fontId="1" fillId="22" borderId="0" applyNumberFormat="0" applyBorder="0" applyAlignment="0" applyProtection="0"/>
    <xf numFmtId="0" fontId="7" fillId="28" borderId="0" applyNumberFormat="0" applyBorder="0" applyAlignment="0" applyProtection="0"/>
    <xf numFmtId="0" fontId="22" fillId="0" borderId="7" applyNumberFormat="0" applyFill="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43" fontId="12"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2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2" fillId="0" borderId="0"/>
    <xf numFmtId="0" fontId="1" fillId="41" borderId="0" applyNumberFormat="0" applyBorder="0" applyAlignment="0" applyProtection="0"/>
    <xf numFmtId="0" fontId="1" fillId="42" borderId="0" applyNumberFormat="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7" fillId="43" borderId="0" applyNumberFormat="0" applyBorder="0" applyAlignment="0" applyProtection="0"/>
    <xf numFmtId="0" fontId="7" fillId="35" borderId="0" applyNumberFormat="0" applyBorder="0" applyAlignment="0" applyProtection="0"/>
    <xf numFmtId="0" fontId="12" fillId="0" borderId="0"/>
    <xf numFmtId="0" fontId="26" fillId="3" borderId="8" applyNumberFormat="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7" fillId="20" borderId="0" applyNumberFormat="0" applyBorder="0" applyAlignment="0" applyProtection="0"/>
    <xf numFmtId="0" fontId="20" fillId="0" borderId="5" applyNumberFormat="0" applyFill="0" applyAlignment="0" applyProtection="0"/>
    <xf numFmtId="0" fontId="27" fillId="0" borderId="9" applyNumberFormat="0" applyFill="0" applyAlignment="0" applyProtection="0"/>
    <xf numFmtId="0" fontId="5" fillId="0" borderId="0" applyNumberFormat="0" applyFill="0" applyBorder="0" applyAlignment="0" applyProtection="0"/>
    <xf numFmtId="0" fontId="21" fillId="0" borderId="6" applyNumberFormat="0" applyFill="0" applyAlignment="0" applyProtection="0"/>
    <xf numFmtId="0" fontId="12" fillId="0" borderId="0"/>
    <xf numFmtId="0" fontId="13" fillId="0" borderId="0"/>
    <xf numFmtId="0" fontId="12" fillId="0" borderId="0"/>
    <xf numFmtId="9" fontId="37" fillId="0" borderId="0" applyFont="0" applyFill="0" applyBorder="0" applyAlignment="0" applyProtection="0"/>
    <xf numFmtId="0" fontId="12" fillId="0" borderId="0"/>
    <xf numFmtId="0" fontId="7" fillId="36" borderId="0" applyNumberFormat="0" applyBorder="0" applyAlignment="0" applyProtection="0"/>
    <xf numFmtId="0" fontId="7" fillId="40" borderId="0" applyNumberFormat="0" applyBorder="0" applyAlignment="0" applyProtection="0"/>
    <xf numFmtId="44" fontId="1" fillId="0" borderId="0" applyFont="0" applyFill="0" applyBorder="0" applyAlignment="0" applyProtection="0"/>
    <xf numFmtId="0" fontId="7" fillId="23" borderId="0" applyNumberFormat="0" applyBorder="0" applyAlignment="0" applyProtection="0"/>
    <xf numFmtId="0" fontId="7" fillId="39" borderId="0" applyNumberFormat="0" applyBorder="0" applyAlignment="0" applyProtection="0"/>
    <xf numFmtId="0" fontId="12" fillId="0" borderId="0"/>
    <xf numFmtId="0" fontId="7" fillId="24" borderId="0" applyNumberFormat="0" applyBorder="0" applyAlignment="0" applyProtection="0"/>
    <xf numFmtId="0" fontId="12" fillId="0" borderId="0"/>
    <xf numFmtId="0" fontId="12" fillId="0" borderId="0"/>
    <xf numFmtId="0" fontId="7" fillId="32" borderId="0" applyNumberFormat="0" applyBorder="0" applyAlignment="0" applyProtection="0"/>
    <xf numFmtId="0" fontId="4" fillId="0" borderId="11" applyNumberFormat="0" applyFill="0" applyAlignment="0" applyProtection="0"/>
    <xf numFmtId="0" fontId="37" fillId="0" borderId="0"/>
    <xf numFmtId="0" fontId="7" fillId="31" borderId="0" applyNumberFormat="0" applyBorder="0" applyAlignment="0" applyProtection="0"/>
    <xf numFmtId="0" fontId="12" fillId="0" borderId="0"/>
    <xf numFmtId="0" fontId="23" fillId="16" borderId="0" applyNumberFormat="0" applyBorder="0" applyAlignment="0" applyProtection="0"/>
    <xf numFmtId="0" fontId="12" fillId="0" borderId="0"/>
    <xf numFmtId="0" fontId="25" fillId="18" borderId="0" applyNumberFormat="0" applyBorder="0" applyAlignment="0" applyProtection="0"/>
    <xf numFmtId="0" fontId="1" fillId="0" borderId="0"/>
    <xf numFmtId="0" fontId="1" fillId="0" borderId="0"/>
    <xf numFmtId="0" fontId="1" fillId="0" borderId="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2" fillId="0" borderId="0"/>
    <xf numFmtId="0" fontId="24" fillId="17" borderId="0" applyNumberFormat="0" applyBorder="0" applyAlignment="0" applyProtection="0"/>
    <xf numFmtId="0" fontId="12" fillId="0" borderId="0"/>
    <xf numFmtId="0" fontId="28" fillId="19" borderId="10" applyNumberFormat="0" applyAlignment="0" applyProtection="0"/>
    <xf numFmtId="0" fontId="12" fillId="0" borderId="0"/>
    <xf numFmtId="0" fontId="1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3" fillId="3" borderId="1" applyNumberFormat="0" applyAlignment="0" applyProtection="0"/>
    <xf numFmtId="0" fontId="2" fillId="2" borderId="1" applyNumberFormat="0" applyAlignment="0" applyProtection="0"/>
    <xf numFmtId="0" fontId="12" fillId="0" borderId="0"/>
    <xf numFmtId="43" fontId="13" fillId="0" borderId="0" applyFont="0" applyFill="0" applyBorder="0" applyAlignment="0" applyProtection="0"/>
    <xf numFmtId="0" fontId="29" fillId="0" borderId="0" applyNumberFormat="0" applyFill="0" applyBorder="0" applyAlignment="0" applyProtection="0"/>
    <xf numFmtId="0" fontId="22" fillId="0" borderId="0" applyNumberFormat="0" applyFill="0" applyBorder="0" applyAlignment="0" applyProtection="0"/>
    <xf numFmtId="43" fontId="1" fillId="0" borderId="0" applyFont="0" applyFill="0" applyBorder="0" applyAlignment="0" applyProtection="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24" fillId="17" borderId="0" applyNumberFormat="0" applyBorder="0" applyAlignment="0" applyProtection="0"/>
    <xf numFmtId="0" fontId="3" fillId="3" borderId="1" applyNumberFormat="0" applyAlignment="0" applyProtection="0"/>
    <xf numFmtId="0" fontId="28" fillId="19" borderId="10" applyNumberFormat="0" applyAlignment="0" applyProtection="0"/>
    <xf numFmtId="43" fontId="35" fillId="0" borderId="0" applyFont="0" applyFill="0" applyBorder="0" applyAlignment="0" applyProtection="0"/>
    <xf numFmtId="0" fontId="29" fillId="0" borderId="0" applyNumberFormat="0" applyFill="0" applyBorder="0" applyAlignment="0" applyProtection="0"/>
    <xf numFmtId="0" fontId="31" fillId="0" borderId="0" applyNumberFormat="0" applyFill="0" applyBorder="0" applyAlignment="0" applyProtection="0"/>
    <xf numFmtId="0" fontId="23" fillId="16"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30" fillId="0" borderId="0" applyNumberFormat="0" applyFill="0" applyBorder="0" applyAlignment="0" applyProtection="0"/>
    <xf numFmtId="0" fontId="2" fillId="2" borderId="1" applyNumberFormat="0" applyAlignment="0" applyProtection="0"/>
    <xf numFmtId="0" fontId="27" fillId="0" borderId="9" applyNumberFormat="0" applyFill="0" applyAlignment="0" applyProtection="0"/>
    <xf numFmtId="0" fontId="25" fillId="18" borderId="0" applyNumberFormat="0" applyBorder="0" applyAlignment="0" applyProtection="0"/>
    <xf numFmtId="0" fontId="26" fillId="3" borderId="8" applyNumberFormat="0" applyAlignment="0" applyProtection="0"/>
    <xf numFmtId="9" fontId="35" fillId="0" borderId="0" applyFont="0" applyFill="0" applyBorder="0" applyAlignment="0" applyProtection="0"/>
    <xf numFmtId="0" fontId="4" fillId="0" borderId="11" applyNumberFormat="0" applyFill="0" applyAlignment="0" applyProtection="0"/>
    <xf numFmtId="0" fontId="5"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37"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37"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37"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37"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37"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37"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37"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37"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37"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37"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37"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37"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37" fontId="1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6" fontId="16"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6" fillId="0" borderId="0"/>
    <xf numFmtId="0" fontId="16" fillId="0" borderId="0"/>
    <xf numFmtId="0" fontId="16"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 fillId="4" borderId="2"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 fillId="4" borderId="2"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9" fontId="12" fillId="0" borderId="0" applyFont="0" applyFill="0" applyBorder="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4"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7" fillId="0" borderId="0"/>
    <xf numFmtId="43" fontId="13"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44" fontId="1" fillId="0" borderId="0" applyFont="0" applyFill="0" applyBorder="0" applyAlignment="0" applyProtection="0"/>
    <xf numFmtId="44"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70" fillId="0" borderId="0"/>
    <xf numFmtId="4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4" borderId="2" applyNumberFormat="0" applyFont="0" applyAlignment="0" applyProtection="0"/>
    <xf numFmtId="0" fontId="1" fillId="4" borderId="2" applyNumberFormat="0" applyFont="0" applyAlignment="0" applyProtection="0"/>
    <xf numFmtId="9"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5" fillId="0" borderId="0"/>
  </cellStyleXfs>
  <cellXfs count="306">
    <xf numFmtId="0" fontId="0" fillId="0" borderId="0" xfId="0"/>
    <xf numFmtId="0" fontId="7" fillId="0" borderId="0" xfId="0" applyFont="1"/>
    <xf numFmtId="0" fontId="6" fillId="0" borderId="0" xfId="0" applyFont="1"/>
    <xf numFmtId="0" fontId="10" fillId="0" borderId="0" xfId="0" applyFont="1"/>
    <xf numFmtId="0" fontId="11" fillId="0" borderId="0" xfId="0" applyFont="1"/>
    <xf numFmtId="0" fontId="6" fillId="8" borderId="0" xfId="0" applyFont="1" applyFill="1" applyProtection="1">
      <protection locked="0"/>
    </xf>
    <xf numFmtId="0" fontId="6" fillId="8" borderId="0" xfId="0" applyFont="1" applyFill="1" applyAlignment="1" applyProtection="1">
      <alignment horizontal="left" indent="1"/>
      <protection locked="0"/>
    </xf>
    <xf numFmtId="164" fontId="6" fillId="0" borderId="3" xfId="2" applyNumberFormat="1" applyFont="1" applyFill="1" applyBorder="1" applyProtection="1"/>
    <xf numFmtId="164" fontId="6" fillId="5" borderId="3" xfId="2" applyNumberFormat="1" applyFont="1" applyFill="1" applyBorder="1" applyProtection="1"/>
    <xf numFmtId="0" fontId="18" fillId="8" borderId="0" xfId="0" applyFont="1" applyFill="1" applyProtection="1">
      <protection locked="0"/>
    </xf>
    <xf numFmtId="17" fontId="4" fillId="12" borderId="4" xfId="0" applyNumberFormat="1" applyFont="1" applyFill="1" applyBorder="1" applyAlignment="1">
      <alignment horizontal="center"/>
    </xf>
    <xf numFmtId="0" fontId="18" fillId="6" borderId="0" xfId="0" applyFont="1" applyFill="1" applyProtection="1">
      <protection locked="0"/>
    </xf>
    <xf numFmtId="164" fontId="6" fillId="6" borderId="3" xfId="2" applyNumberFormat="1" applyFont="1" applyFill="1" applyBorder="1" applyProtection="1"/>
    <xf numFmtId="164" fontId="6" fillId="12" borderId="3" xfId="2" applyNumberFormat="1" applyFont="1" applyFill="1" applyBorder="1" applyProtection="1"/>
    <xf numFmtId="0" fontId="6" fillId="9" borderId="0" xfId="0" applyFont="1" applyFill="1"/>
    <xf numFmtId="0" fontId="6" fillId="9" borderId="0" xfId="0" applyFont="1" applyFill="1" applyProtection="1">
      <protection locked="0"/>
    </xf>
    <xf numFmtId="0" fontId="6" fillId="9" borderId="0" xfId="0" applyFont="1" applyFill="1" applyAlignment="1" applyProtection="1">
      <alignment horizontal="left" indent="1"/>
      <protection locked="0"/>
    </xf>
    <xf numFmtId="0" fontId="18" fillId="9" borderId="0" xfId="0" applyFont="1" applyFill="1" applyProtection="1">
      <protection locked="0"/>
    </xf>
    <xf numFmtId="164" fontId="6" fillId="12" borderId="3" xfId="1" applyNumberFormat="1" applyFont="1" applyFill="1" applyBorder="1" applyProtection="1"/>
    <xf numFmtId="164" fontId="6" fillId="14" borderId="3" xfId="2" applyNumberFormat="1" applyFont="1" applyFill="1" applyBorder="1" applyProtection="1"/>
    <xf numFmtId="164" fontId="6" fillId="15" borderId="3" xfId="1" applyNumberFormat="1" applyFont="1" applyFill="1" applyBorder="1" applyProtection="1"/>
    <xf numFmtId="164" fontId="6" fillId="15" borderId="3" xfId="2" applyNumberFormat="1" applyFont="1" applyFill="1" applyBorder="1" applyProtection="1"/>
    <xf numFmtId="165" fontId="6" fillId="15" borderId="3" xfId="6" applyNumberFormat="1" applyFont="1" applyFill="1" applyBorder="1" applyProtection="1">
      <protection locked="0"/>
    </xf>
    <xf numFmtId="0" fontId="34" fillId="0" borderId="0" xfId="0" applyFont="1"/>
    <xf numFmtId="0" fontId="33" fillId="0" borderId="0" xfId="0" applyFont="1"/>
    <xf numFmtId="17" fontId="4" fillId="0" borderId="0" xfId="0" applyNumberFormat="1" applyFont="1" applyAlignment="1">
      <alignment horizontal="center"/>
    </xf>
    <xf numFmtId="0" fontId="4" fillId="44" borderId="0" xfId="0" applyFont="1" applyFill="1"/>
    <xf numFmtId="17" fontId="4" fillId="44" borderId="0" xfId="0" applyNumberFormat="1" applyFont="1" applyFill="1" applyAlignment="1">
      <alignment horizontal="center"/>
    </xf>
    <xf numFmtId="0" fontId="4" fillId="0" borderId="0" xfId="0" applyFont="1"/>
    <xf numFmtId="166" fontId="4" fillId="0" borderId="12" xfId="4" applyNumberFormat="1" applyFont="1" applyBorder="1"/>
    <xf numFmtId="0" fontId="4" fillId="0" borderId="0" xfId="21150" applyFont="1"/>
    <xf numFmtId="0" fontId="33" fillId="0" borderId="0" xfId="21150" applyFont="1"/>
    <xf numFmtId="0" fontId="0" fillId="44" borderId="0" xfId="0" applyFill="1"/>
    <xf numFmtId="0" fontId="0" fillId="0" borderId="0" xfId="21150" applyFont="1"/>
    <xf numFmtId="164" fontId="0" fillId="0" borderId="0" xfId="0" applyNumberFormat="1"/>
    <xf numFmtId="0" fontId="7" fillId="6" borderId="0" xfId="0" applyFont="1" applyFill="1" applyAlignment="1">
      <alignment horizontal="center" vertical="center" textRotation="90"/>
    </xf>
    <xf numFmtId="44" fontId="0" fillId="15" borderId="0" xfId="644" applyNumberFormat="1" applyFont="1" applyFill="1"/>
    <xf numFmtId="43" fontId="0" fillId="15" borderId="0" xfId="4" applyFont="1" applyFill="1"/>
    <xf numFmtId="166" fontId="0" fillId="15" borderId="0" xfId="4" applyNumberFormat="1" applyFont="1" applyFill="1"/>
    <xf numFmtId="44" fontId="4" fillId="0" borderId="12" xfId="37697" applyFont="1" applyBorder="1"/>
    <xf numFmtId="44" fontId="0" fillId="0" borderId="0" xfId="37697" applyFont="1"/>
    <xf numFmtId="0" fontId="71" fillId="0" borderId="0" xfId="0" applyFont="1"/>
    <xf numFmtId="0" fontId="5" fillId="0" borderId="0" xfId="0" applyFont="1"/>
    <xf numFmtId="0" fontId="74" fillId="0" borderId="0" xfId="0" applyFont="1" applyAlignment="1">
      <alignment horizontal="center"/>
    </xf>
    <xf numFmtId="43" fontId="0" fillId="0" borderId="0" xfId="4" applyFont="1"/>
    <xf numFmtId="0" fontId="6" fillId="71" borderId="0" xfId="0" applyFont="1" applyFill="1" applyProtection="1">
      <protection locked="0"/>
    </xf>
    <xf numFmtId="0" fontId="6" fillId="71" borderId="0" xfId="0" applyFont="1" applyFill="1" applyAlignment="1" applyProtection="1">
      <alignment horizontal="left" indent="1"/>
      <protection locked="0"/>
    </xf>
    <xf numFmtId="0" fontId="18" fillId="71" borderId="0" xfId="0" applyFont="1" applyFill="1" applyProtection="1">
      <protection locked="0"/>
    </xf>
    <xf numFmtId="0" fontId="74" fillId="0" borderId="0" xfId="0" applyFont="1"/>
    <xf numFmtId="44" fontId="0" fillId="0" borderId="0" xfId="0" applyNumberFormat="1"/>
    <xf numFmtId="0" fontId="72" fillId="0" borderId="0" xfId="0" applyFont="1" applyAlignment="1">
      <alignment horizontal="left"/>
    </xf>
    <xf numFmtId="0" fontId="0" fillId="0" borderId="0" xfId="0" applyAlignment="1">
      <alignment horizontal="right"/>
    </xf>
    <xf numFmtId="10" fontId="0" fillId="0" borderId="0" xfId="0" applyNumberFormat="1"/>
    <xf numFmtId="164" fontId="6" fillId="0" borderId="3" xfId="1" applyNumberFormat="1" applyFont="1" applyFill="1" applyBorder="1" applyProtection="1"/>
    <xf numFmtId="165" fontId="6" fillId="0" borderId="3" xfId="6" applyNumberFormat="1" applyFont="1" applyFill="1" applyBorder="1" applyProtection="1">
      <protection locked="0"/>
    </xf>
    <xf numFmtId="167" fontId="0" fillId="72" borderId="0" xfId="0" applyNumberFormat="1" applyFill="1"/>
    <xf numFmtId="43" fontId="1" fillId="14" borderId="0" xfId="4" applyFont="1" applyFill="1"/>
    <xf numFmtId="43" fontId="73" fillId="0" borderId="0" xfId="4" applyFont="1"/>
    <xf numFmtId="43" fontId="73" fillId="6" borderId="0" xfId="4" applyFont="1" applyFill="1"/>
    <xf numFmtId="9" fontId="0" fillId="0" borderId="0" xfId="6" applyFont="1"/>
    <xf numFmtId="164" fontId="6" fillId="73" borderId="3" xfId="2" applyNumberFormat="1" applyFont="1" applyFill="1" applyBorder="1" applyProtection="1"/>
    <xf numFmtId="0" fontId="6" fillId="71" borderId="0" xfId="0" applyFont="1" applyFill="1" applyAlignment="1" applyProtection="1">
      <alignment horizontal="left"/>
      <protection locked="0"/>
    </xf>
    <xf numFmtId="167" fontId="76" fillId="0" borderId="0" xfId="0" applyNumberFormat="1" applyFont="1"/>
    <xf numFmtId="0" fontId="0" fillId="0" borderId="23" xfId="0" applyBorder="1"/>
    <xf numFmtId="0" fontId="0" fillId="0" borderId="24" xfId="0" applyBorder="1"/>
    <xf numFmtId="0" fontId="73" fillId="0" borderId="24" xfId="0" applyFont="1" applyBorder="1"/>
    <xf numFmtId="0" fontId="73" fillId="6" borderId="24" xfId="0" applyFont="1" applyFill="1" applyBorder="1"/>
    <xf numFmtId="0" fontId="73" fillId="6" borderId="25" xfId="0" applyFont="1" applyFill="1" applyBorder="1"/>
    <xf numFmtId="0" fontId="4" fillId="6" borderId="27" xfId="0" applyFont="1" applyFill="1" applyBorder="1" applyAlignment="1">
      <alignment horizontal="center" vertical="center" textRotation="90"/>
    </xf>
    <xf numFmtId="0" fontId="4" fillId="6" borderId="28" xfId="0" applyFont="1" applyFill="1" applyBorder="1" applyAlignment="1">
      <alignment horizontal="center" vertical="center" textRotation="90"/>
    </xf>
    <xf numFmtId="0" fontId="77" fillId="0" borderId="0" xfId="0" applyFont="1"/>
    <xf numFmtId="44" fontId="4" fillId="0" borderId="0" xfId="37697" applyFont="1" applyBorder="1"/>
    <xf numFmtId="166" fontId="76" fillId="0" borderId="0" xfId="4" applyNumberFormat="1" applyFont="1" applyFill="1"/>
    <xf numFmtId="0" fontId="0" fillId="0" borderId="22" xfId="0" applyBorder="1"/>
    <xf numFmtId="43" fontId="0" fillId="0" borderId="0" xfId="0" applyNumberFormat="1"/>
    <xf numFmtId="0" fontId="6" fillId="73" borderId="0" xfId="0" applyFont="1" applyFill="1" applyProtection="1">
      <protection locked="0"/>
    </xf>
    <xf numFmtId="0" fontId="6" fillId="73" borderId="0" xfId="0" applyFont="1" applyFill="1" applyAlignment="1" applyProtection="1">
      <alignment horizontal="left" indent="1"/>
      <protection locked="0"/>
    </xf>
    <xf numFmtId="0" fontId="18" fillId="73" borderId="0" xfId="0" applyFont="1" applyFill="1" applyProtection="1">
      <protection locked="0"/>
    </xf>
    <xf numFmtId="44" fontId="6" fillId="0" borderId="0" xfId="37697" applyFont="1"/>
    <xf numFmtId="168" fontId="76" fillId="0" borderId="0" xfId="0" applyNumberFormat="1" applyFont="1"/>
    <xf numFmtId="0" fontId="18" fillId="0" borderId="0" xfId="0" applyFont="1" applyProtection="1">
      <protection locked="0"/>
    </xf>
    <xf numFmtId="164" fontId="6" fillId="44" borderId="3" xfId="2" applyNumberFormat="1" applyFont="1" applyFill="1" applyBorder="1" applyProtection="1"/>
    <xf numFmtId="164" fontId="6" fillId="44" borderId="3" xfId="1" applyNumberFormat="1" applyFont="1" applyFill="1" applyBorder="1" applyProtection="1"/>
    <xf numFmtId="165" fontId="6" fillId="44" borderId="3" xfId="6" applyNumberFormat="1" applyFont="1" applyFill="1" applyBorder="1" applyProtection="1">
      <protection locked="0"/>
    </xf>
    <xf numFmtId="164" fontId="6" fillId="6" borderId="29" xfId="2" applyNumberFormat="1" applyFont="1" applyFill="1" applyBorder="1" applyProtection="1"/>
    <xf numFmtId="164" fontId="6" fillId="44" borderId="30" xfId="2" applyNumberFormat="1" applyFont="1" applyFill="1" applyBorder="1" applyProtection="1"/>
    <xf numFmtId="164" fontId="6" fillId="6" borderId="0" xfId="2" applyNumberFormat="1" applyFont="1" applyFill="1" applyBorder="1" applyProtection="1"/>
    <xf numFmtId="164" fontId="6" fillId="5" borderId="30" xfId="2" applyNumberFormat="1" applyFont="1" applyFill="1" applyBorder="1" applyProtection="1"/>
    <xf numFmtId="164" fontId="6" fillId="44" borderId="31" xfId="2" applyNumberFormat="1" applyFont="1" applyFill="1" applyBorder="1" applyProtection="1"/>
    <xf numFmtId="0" fontId="78" fillId="68" borderId="0" xfId="0" applyFont="1" applyFill="1"/>
    <xf numFmtId="43" fontId="78" fillId="68" borderId="0" xfId="4" applyFont="1" applyFill="1"/>
    <xf numFmtId="43" fontId="4" fillId="0" borderId="0" xfId="4" applyFont="1" applyFill="1"/>
    <xf numFmtId="164" fontId="4" fillId="0" borderId="0" xfId="0" applyNumberFormat="1" applyFont="1" applyAlignment="1">
      <alignment horizontal="center"/>
    </xf>
    <xf numFmtId="164" fontId="6" fillId="0" borderId="3" xfId="6" applyNumberFormat="1" applyFont="1" applyFill="1" applyBorder="1" applyProtection="1">
      <protection locked="0"/>
    </xf>
    <xf numFmtId="38" fontId="0" fillId="15" borderId="0" xfId="4" applyNumberFormat="1" applyFont="1" applyFill="1"/>
    <xf numFmtId="43" fontId="0" fillId="15" borderId="0" xfId="644" applyFont="1" applyFill="1"/>
    <xf numFmtId="164" fontId="78" fillId="68" borderId="0" xfId="0" applyNumberFormat="1" applyFont="1" applyFill="1"/>
    <xf numFmtId="164" fontId="6" fillId="74" borderId="3" xfId="2" applyNumberFormat="1" applyFont="1" applyFill="1" applyBorder="1" applyProtection="1"/>
    <xf numFmtId="0" fontId="6" fillId="0" borderId="3" xfId="2" applyNumberFormat="1" applyFont="1" applyFill="1" applyBorder="1" applyProtection="1"/>
    <xf numFmtId="169" fontId="6" fillId="0" borderId="3" xfId="2" applyNumberFormat="1" applyFont="1" applyFill="1" applyBorder="1" applyProtection="1"/>
    <xf numFmtId="164" fontId="6" fillId="68" borderId="3" xfId="2" applyNumberFormat="1" applyFont="1" applyFill="1" applyBorder="1" applyProtection="1"/>
    <xf numFmtId="164" fontId="6" fillId="76" borderId="3" xfId="1" applyNumberFormat="1" applyFont="1" applyFill="1" applyBorder="1" applyProtection="1"/>
    <xf numFmtId="167" fontId="76" fillId="15" borderId="0" xfId="0" applyNumberFormat="1" applyFont="1" applyFill="1"/>
    <xf numFmtId="168" fontId="76" fillId="15" borderId="0" xfId="0" applyNumberFormat="1" applyFont="1" applyFill="1"/>
    <xf numFmtId="170" fontId="0" fillId="0" borderId="0" xfId="0" applyNumberFormat="1"/>
    <xf numFmtId="0" fontId="7" fillId="70" borderId="0" xfId="0" applyFont="1" applyFill="1" applyAlignment="1">
      <alignment horizontal="center" vertical="center" textRotation="90"/>
    </xf>
    <xf numFmtId="164" fontId="6" fillId="0" borderId="0" xfId="2" applyNumberFormat="1" applyFont="1" applyFill="1" applyBorder="1" applyProtection="1"/>
    <xf numFmtId="164" fontId="6" fillId="0" borderId="29" xfId="2" applyNumberFormat="1" applyFont="1" applyFill="1" applyBorder="1" applyProtection="1"/>
    <xf numFmtId="164" fontId="6" fillId="76" borderId="3" xfId="2" applyNumberFormat="1" applyFont="1" applyFill="1" applyBorder="1" applyProtection="1"/>
    <xf numFmtId="44" fontId="79" fillId="73" borderId="36" xfId="0" applyNumberFormat="1" applyFont="1" applyFill="1" applyBorder="1" applyProtection="1">
      <protection locked="0"/>
    </xf>
    <xf numFmtId="164" fontId="6" fillId="6" borderId="37" xfId="2" applyNumberFormat="1" applyFont="1" applyFill="1" applyBorder="1" applyProtection="1"/>
    <xf numFmtId="164" fontId="6" fillId="0" borderId="37" xfId="2" applyNumberFormat="1" applyFont="1" applyFill="1" applyBorder="1" applyProtection="1"/>
    <xf numFmtId="164" fontId="6" fillId="12" borderId="37" xfId="1" applyNumberFormat="1" applyFont="1" applyFill="1" applyBorder="1" applyProtection="1"/>
    <xf numFmtId="164" fontId="6" fillId="12" borderId="37" xfId="2" applyNumberFormat="1" applyFont="1" applyFill="1" applyBorder="1" applyProtection="1"/>
    <xf numFmtId="164" fontId="6" fillId="14" borderId="37" xfId="2" applyNumberFormat="1" applyFont="1" applyFill="1" applyBorder="1" applyProtection="1"/>
    <xf numFmtId="164" fontId="6" fillId="0" borderId="0" xfId="1" applyNumberFormat="1" applyFont="1" applyFill="1" applyBorder="1" applyProtection="1"/>
    <xf numFmtId="165" fontId="6" fillId="0" borderId="0" xfId="6" applyNumberFormat="1" applyFont="1" applyFill="1" applyBorder="1" applyProtection="1">
      <protection locked="0"/>
    </xf>
    <xf numFmtId="0" fontId="78" fillId="0" borderId="0" xfId="0" applyFont="1"/>
    <xf numFmtId="43" fontId="78" fillId="0" borderId="0" xfId="4" applyFont="1" applyFill="1" applyBorder="1"/>
    <xf numFmtId="44" fontId="79" fillId="0" borderId="0" xfId="0" applyNumberFormat="1" applyFont="1" applyProtection="1">
      <protection locked="0"/>
    </xf>
    <xf numFmtId="0" fontId="6" fillId="0" borderId="0" xfId="0" applyFont="1" applyProtection="1">
      <protection locked="0"/>
    </xf>
    <xf numFmtId="0" fontId="6" fillId="0" borderId="0" xfId="0" applyFont="1" applyAlignment="1" applyProtection="1">
      <alignment horizontal="left" indent="1"/>
      <protection locked="0"/>
    </xf>
    <xf numFmtId="17" fontId="4" fillId="12" borderId="26" xfId="0" applyNumberFormat="1" applyFont="1" applyFill="1" applyBorder="1" applyAlignment="1">
      <alignment horizontal="center"/>
    </xf>
    <xf numFmtId="17" fontId="4" fillId="12" borderId="38" xfId="0" applyNumberFormat="1" applyFont="1" applyFill="1" applyBorder="1" applyAlignment="1">
      <alignment horizontal="center"/>
    </xf>
    <xf numFmtId="164" fontId="6" fillId="6" borderId="39" xfId="2" applyNumberFormat="1" applyFont="1" applyFill="1" applyBorder="1" applyProtection="1"/>
    <xf numFmtId="164" fontId="6" fillId="6" borderId="31" xfId="2" applyNumberFormat="1" applyFont="1" applyFill="1" applyBorder="1" applyProtection="1"/>
    <xf numFmtId="164" fontId="6" fillId="6" borderId="40" xfId="2" applyNumberFormat="1" applyFont="1" applyFill="1" applyBorder="1" applyProtection="1"/>
    <xf numFmtId="0" fontId="7" fillId="0" borderId="0" xfId="0" applyFont="1" applyAlignment="1">
      <alignment vertical="center" textRotation="90"/>
    </xf>
    <xf numFmtId="164" fontId="6" fillId="6" borderId="30" xfId="2" applyNumberFormat="1" applyFont="1" applyFill="1" applyBorder="1" applyProtection="1"/>
    <xf numFmtId="0" fontId="7" fillId="0" borderId="0" xfId="0" applyFont="1" applyAlignment="1">
      <alignment horizontal="center" vertical="center" textRotation="90"/>
    </xf>
    <xf numFmtId="164" fontId="6" fillId="0" borderId="0" xfId="6" applyNumberFormat="1" applyFont="1" applyFill="1" applyBorder="1" applyProtection="1">
      <protection locked="0"/>
    </xf>
    <xf numFmtId="0" fontId="0" fillId="67" borderId="0" xfId="0" applyFill="1"/>
    <xf numFmtId="0" fontId="11" fillId="67" borderId="0" xfId="0" applyFont="1" applyFill="1"/>
    <xf numFmtId="0" fontId="6" fillId="67" borderId="0" xfId="0" applyFont="1" applyFill="1"/>
    <xf numFmtId="44" fontId="1" fillId="74" borderId="0" xfId="37697" applyFont="1" applyFill="1" applyBorder="1" applyAlignment="1" applyProtection="1">
      <alignment horizontal="center"/>
    </xf>
    <xf numFmtId="44" fontId="1" fillId="0" borderId="0" xfId="37697" applyFont="1" applyFill="1" applyBorder="1" applyAlignment="1" applyProtection="1">
      <alignment horizontal="center"/>
    </xf>
    <xf numFmtId="44" fontId="6" fillId="0" borderId="0" xfId="37697" applyFont="1" applyFill="1" applyBorder="1" applyProtection="1">
      <protection locked="0"/>
    </xf>
    <xf numFmtId="164" fontId="0" fillId="0" borderId="0" xfId="4" applyNumberFormat="1" applyFont="1"/>
    <xf numFmtId="0" fontId="5" fillId="12" borderId="0" xfId="0" applyFont="1" applyFill="1"/>
    <xf numFmtId="17" fontId="74" fillId="12" borderId="0" xfId="0" applyNumberFormat="1" applyFont="1" applyFill="1" applyAlignment="1">
      <alignment horizontal="center"/>
    </xf>
    <xf numFmtId="164" fontId="5" fillId="12" borderId="0" xfId="1" applyNumberFormat="1" applyFont="1" applyFill="1" applyBorder="1" applyProtection="1"/>
    <xf numFmtId="164" fontId="5" fillId="12" borderId="0" xfId="2" applyNumberFormat="1" applyFont="1" applyFill="1" applyBorder="1" applyProtection="1"/>
    <xf numFmtId="165" fontId="5" fillId="12" borderId="0" xfId="6" applyNumberFormat="1" applyFont="1" applyFill="1" applyBorder="1" applyProtection="1">
      <protection locked="0"/>
    </xf>
    <xf numFmtId="164" fontId="0" fillId="68" borderId="41" xfId="0" applyNumberFormat="1" applyFill="1" applyBorder="1"/>
    <xf numFmtId="44" fontId="10" fillId="0" borderId="0" xfId="37697" applyFont="1" applyFill="1"/>
    <xf numFmtId="164" fontId="10" fillId="68" borderId="0" xfId="0" applyNumberFormat="1" applyFont="1" applyFill="1"/>
    <xf numFmtId="0" fontId="4" fillId="68" borderId="0" xfId="0" applyFont="1" applyFill="1"/>
    <xf numFmtId="164" fontId="6" fillId="77" borderId="3" xfId="1" applyNumberFormat="1" applyFont="1" applyFill="1" applyBorder="1" applyProtection="1"/>
    <xf numFmtId="44" fontId="0" fillId="0" borderId="41" xfId="0" applyNumberFormat="1" applyBorder="1"/>
    <xf numFmtId="44" fontId="0" fillId="0" borderId="0" xfId="37697" applyFont="1" applyBorder="1"/>
    <xf numFmtId="44" fontId="0" fillId="0" borderId="41" xfId="37697" applyFont="1" applyBorder="1"/>
    <xf numFmtId="10" fontId="0" fillId="0" borderId="41" xfId="0" applyNumberFormat="1" applyBorder="1"/>
    <xf numFmtId="10" fontId="0" fillId="0" borderId="42" xfId="0" applyNumberFormat="1" applyBorder="1"/>
    <xf numFmtId="44" fontId="4" fillId="0" borderId="0" xfId="37697" applyFont="1" applyFill="1" applyBorder="1" applyAlignment="1" applyProtection="1">
      <alignment horizontal="center"/>
    </xf>
    <xf numFmtId="44" fontId="0" fillId="0" borderId="0" xfId="37697" applyFont="1" applyFill="1"/>
    <xf numFmtId="44" fontId="0" fillId="0" borderId="41" xfId="37697" applyFont="1" applyFill="1" applyBorder="1"/>
    <xf numFmtId="44" fontId="0" fillId="0" borderId="0" xfId="37697" applyFont="1" applyFill="1" applyBorder="1"/>
    <xf numFmtId="10" fontId="0" fillId="0" borderId="0" xfId="6" applyNumberFormat="1" applyFont="1" applyFill="1"/>
    <xf numFmtId="164" fontId="6" fillId="78" borderId="3" xfId="1" applyNumberFormat="1" applyFont="1" applyFill="1" applyBorder="1" applyProtection="1"/>
    <xf numFmtId="44" fontId="18" fillId="0" borderId="0" xfId="37697" applyFont="1" applyFill="1" applyBorder="1" applyProtection="1">
      <protection locked="0"/>
    </xf>
    <xf numFmtId="165" fontId="18" fillId="0" borderId="0" xfId="6" applyNumberFormat="1" applyFont="1" applyFill="1" applyBorder="1" applyProtection="1">
      <protection locked="0"/>
    </xf>
    <xf numFmtId="0" fontId="7" fillId="67" borderId="0" xfId="0" applyFont="1" applyFill="1"/>
    <xf numFmtId="0" fontId="0" fillId="76" borderId="0" xfId="0" applyFill="1" applyAlignment="1">
      <alignment horizontal="left"/>
    </xf>
    <xf numFmtId="0" fontId="4" fillId="0" borderId="43" xfId="7" applyFont="1" applyBorder="1"/>
    <xf numFmtId="0" fontId="0" fillId="0" borderId="44" xfId="0" applyBorder="1" applyAlignment="1">
      <alignment horizontal="center"/>
    </xf>
    <xf numFmtId="0" fontId="0" fillId="0" borderId="45" xfId="0" applyBorder="1" applyAlignment="1">
      <alignment horizontal="center"/>
    </xf>
    <xf numFmtId="0" fontId="1" fillId="76" borderId="46" xfId="7" applyFont="1" applyFill="1" applyBorder="1"/>
    <xf numFmtId="44" fontId="0" fillId="0" borderId="22" xfId="0" applyNumberFormat="1" applyBorder="1"/>
    <xf numFmtId="9" fontId="0" fillId="0" borderId="22" xfId="6" applyFont="1" applyBorder="1" applyAlignment="1">
      <alignment horizontal="center"/>
    </xf>
    <xf numFmtId="44" fontId="0" fillId="0" borderId="35" xfId="0" applyNumberFormat="1" applyBorder="1"/>
    <xf numFmtId="0" fontId="1" fillId="0" borderId="0" xfId="7" applyFont="1"/>
    <xf numFmtId="9" fontId="0" fillId="0" borderId="0" xfId="6" applyFont="1" applyBorder="1" applyAlignment="1">
      <alignment horizontal="center"/>
    </xf>
    <xf numFmtId="0" fontId="0" fillId="69" borderId="0" xfId="0" applyFill="1" applyAlignment="1">
      <alignment horizontal="left"/>
    </xf>
    <xf numFmtId="44" fontId="0" fillId="69" borderId="0" xfId="0" applyNumberFormat="1" applyFill="1"/>
    <xf numFmtId="0" fontId="6" fillId="69" borderId="0" xfId="0" applyFont="1" applyFill="1"/>
    <xf numFmtId="0" fontId="0" fillId="0" borderId="0" xfId="0" applyAlignment="1">
      <alignment vertical="top" wrapText="1"/>
    </xf>
    <xf numFmtId="0" fontId="74" fillId="0" borderId="0" xfId="0" applyFont="1" applyAlignment="1">
      <alignment vertical="top"/>
    </xf>
    <xf numFmtId="44" fontId="0" fillId="74" borderId="0" xfId="37697" applyFont="1" applyFill="1"/>
    <xf numFmtId="44" fontId="0" fillId="15" borderId="4" xfId="37697" applyFont="1" applyFill="1" applyBorder="1"/>
    <xf numFmtId="44" fontId="0" fillId="76" borderId="4" xfId="37697" applyFont="1" applyFill="1" applyBorder="1"/>
    <xf numFmtId="44" fontId="0" fillId="0" borderId="4" xfId="37697" applyFont="1" applyBorder="1"/>
    <xf numFmtId="164" fontId="6" fillId="5" borderId="4" xfId="2" applyNumberFormat="1" applyFont="1" applyFill="1" applyBorder="1" applyProtection="1"/>
    <xf numFmtId="165" fontId="6" fillId="15" borderId="49" xfId="6" applyNumberFormat="1" applyFont="1" applyFill="1" applyBorder="1" applyProtection="1">
      <protection locked="0"/>
    </xf>
    <xf numFmtId="165" fontId="6" fillId="15" borderId="31" xfId="6" applyNumberFormat="1" applyFont="1" applyFill="1" applyBorder="1" applyProtection="1">
      <protection locked="0"/>
    </xf>
    <xf numFmtId="164" fontId="6" fillId="5" borderId="29" xfId="2" applyNumberFormat="1" applyFont="1" applyFill="1" applyBorder="1" applyProtection="1"/>
    <xf numFmtId="164" fontId="11" fillId="0" borderId="0" xfId="0" applyNumberFormat="1" applyFont="1"/>
    <xf numFmtId="44" fontId="0" fillId="74" borderId="0" xfId="0" applyNumberFormat="1" applyFill="1" applyAlignment="1">
      <alignment horizontal="center"/>
    </xf>
    <xf numFmtId="44" fontId="11" fillId="0" borderId="0" xfId="37697" applyFont="1" applyFill="1"/>
    <xf numFmtId="164" fontId="0" fillId="68" borderId="0" xfId="37697" applyNumberFormat="1" applyFont="1" applyFill="1"/>
    <xf numFmtId="44" fontId="0" fillId="76" borderId="0" xfId="37697" applyFont="1" applyFill="1" applyBorder="1" applyAlignment="1" applyProtection="1">
      <alignment horizontal="center"/>
    </xf>
    <xf numFmtId="10" fontId="6" fillId="0" borderId="0" xfId="6" applyNumberFormat="1" applyFont="1" applyFill="1"/>
    <xf numFmtId="44" fontId="6" fillId="67" borderId="0" xfId="37697" applyFont="1" applyFill="1"/>
    <xf numFmtId="44" fontId="6" fillId="14" borderId="0" xfId="37697" applyFont="1" applyFill="1"/>
    <xf numFmtId="44" fontId="11" fillId="0" borderId="0" xfId="0" applyNumberFormat="1" applyFont="1"/>
    <xf numFmtId="0" fontId="81" fillId="0" borderId="0" xfId="0" applyFont="1"/>
    <xf numFmtId="0" fontId="80" fillId="0" borderId="0" xfId="0" applyFont="1"/>
    <xf numFmtId="0" fontId="18" fillId="0" borderId="0" xfId="0" applyFont="1"/>
    <xf numFmtId="165" fontId="6" fillId="68" borderId="3" xfId="6" applyNumberFormat="1" applyFont="1" applyFill="1" applyBorder="1" applyProtection="1">
      <protection locked="0"/>
    </xf>
    <xf numFmtId="44" fontId="6" fillId="0" borderId="0" xfId="37697" applyFont="1" applyFill="1"/>
    <xf numFmtId="44" fontId="7" fillId="0" borderId="0" xfId="37697" applyFont="1"/>
    <xf numFmtId="164" fontId="11" fillId="0" borderId="0" xfId="37697" applyNumberFormat="1" applyFont="1" applyFill="1"/>
    <xf numFmtId="164" fontId="6" fillId="0" borderId="0" xfId="37697" applyNumberFormat="1" applyFont="1"/>
    <xf numFmtId="44" fontId="0" fillId="0" borderId="0" xfId="0" applyNumberFormat="1" applyAlignment="1">
      <alignment horizontal="center"/>
    </xf>
    <xf numFmtId="0" fontId="0" fillId="68" borderId="32" xfId="0" applyFill="1" applyBorder="1"/>
    <xf numFmtId="0" fontId="5" fillId="0" borderId="50" xfId="0" applyFont="1" applyBorder="1"/>
    <xf numFmtId="0" fontId="0" fillId="0" borderId="51" xfId="0" applyBorder="1"/>
    <xf numFmtId="0" fontId="0" fillId="0" borderId="33" xfId="0" applyBorder="1"/>
    <xf numFmtId="164" fontId="6" fillId="15" borderId="29" xfId="1" applyNumberFormat="1" applyFont="1" applyFill="1" applyBorder="1" applyProtection="1"/>
    <xf numFmtId="164" fontId="6" fillId="15" borderId="31" xfId="2" applyNumberFormat="1" applyFont="1" applyFill="1" applyBorder="1" applyProtection="1"/>
    <xf numFmtId="164" fontId="74" fillId="68" borderId="32" xfId="1" applyNumberFormat="1" applyFont="1" applyFill="1" applyBorder="1" applyProtection="1"/>
    <xf numFmtId="17" fontId="74" fillId="68" borderId="32" xfId="0" applyNumberFormat="1" applyFont="1" applyFill="1" applyBorder="1" applyAlignment="1">
      <alignment horizontal="center"/>
    </xf>
    <xf numFmtId="17" fontId="4" fillId="12" borderId="53" xfId="0" applyNumberFormat="1" applyFont="1" applyFill="1" applyBorder="1" applyAlignment="1">
      <alignment horizontal="center"/>
    </xf>
    <xf numFmtId="17" fontId="4" fillId="12" borderId="54" xfId="0" applyNumberFormat="1" applyFont="1" applyFill="1" applyBorder="1" applyAlignment="1">
      <alignment horizontal="center"/>
    </xf>
    <xf numFmtId="0" fontId="0" fillId="0" borderId="44" xfId="0" applyBorder="1"/>
    <xf numFmtId="17" fontId="74" fillId="68" borderId="33" xfId="0" applyNumberFormat="1" applyFont="1" applyFill="1" applyBorder="1" applyAlignment="1">
      <alignment horizontal="center"/>
    </xf>
    <xf numFmtId="164" fontId="6" fillId="77" borderId="37" xfId="1" applyNumberFormat="1" applyFont="1" applyFill="1" applyBorder="1" applyProtection="1"/>
    <xf numFmtId="164" fontId="6" fillId="78" borderId="29" xfId="1" applyNumberFormat="1" applyFont="1" applyFill="1" applyBorder="1" applyProtection="1"/>
    <xf numFmtId="164" fontId="6" fillId="78" borderId="37" xfId="1" applyNumberFormat="1" applyFont="1" applyFill="1" applyBorder="1" applyProtection="1"/>
    <xf numFmtId="164" fontId="6" fillId="77" borderId="29" xfId="1" applyNumberFormat="1" applyFont="1" applyFill="1" applyBorder="1" applyProtection="1"/>
    <xf numFmtId="164" fontId="6" fillId="77" borderId="52" xfId="1" applyNumberFormat="1" applyFont="1" applyFill="1" applyBorder="1" applyProtection="1"/>
    <xf numFmtId="17" fontId="4" fillId="12" borderId="42" xfId="0" applyNumberFormat="1" applyFont="1" applyFill="1" applyBorder="1" applyAlignment="1">
      <alignment horizontal="center"/>
    </xf>
    <xf numFmtId="17" fontId="4" fillId="68" borderId="54" xfId="0" applyNumberFormat="1" applyFont="1" applyFill="1" applyBorder="1" applyAlignment="1">
      <alignment horizontal="center"/>
    </xf>
    <xf numFmtId="17" fontId="4" fillId="68" borderId="4" xfId="0" applyNumberFormat="1" applyFont="1" applyFill="1" applyBorder="1" applyAlignment="1">
      <alignment horizontal="center"/>
    </xf>
    <xf numFmtId="164" fontId="6" fillId="68" borderId="3" xfId="1" applyNumberFormat="1" applyFont="1" applyFill="1" applyBorder="1" applyProtection="1"/>
    <xf numFmtId="0" fontId="82" fillId="0" borderId="0" xfId="0" applyFont="1"/>
    <xf numFmtId="170" fontId="0" fillId="0" borderId="43" xfId="0" applyNumberFormat="1" applyBorder="1"/>
    <xf numFmtId="170" fontId="0" fillId="0" borderId="44" xfId="0" applyNumberFormat="1" applyBorder="1"/>
    <xf numFmtId="0" fontId="6" fillId="0" borderId="44" xfId="0" applyFont="1" applyBorder="1"/>
    <xf numFmtId="0" fontId="6" fillId="0" borderId="45" xfId="0" applyFont="1" applyBorder="1"/>
    <xf numFmtId="44" fontId="0" fillId="0" borderId="47" xfId="37697" applyFont="1" applyFill="1" applyBorder="1"/>
    <xf numFmtId="0" fontId="11" fillId="0" borderId="48" xfId="0" applyFont="1" applyBorder="1"/>
    <xf numFmtId="44" fontId="0" fillId="0" borderId="47" xfId="0" applyNumberFormat="1" applyBorder="1"/>
    <xf numFmtId="10" fontId="6" fillId="0" borderId="47" xfId="6" applyNumberFormat="1" applyFont="1" applyFill="1" applyBorder="1"/>
    <xf numFmtId="10" fontId="6" fillId="0" borderId="0" xfId="6" applyNumberFormat="1" applyFont="1" applyFill="1" applyBorder="1"/>
    <xf numFmtId="10" fontId="5" fillId="0" borderId="0" xfId="6" applyNumberFormat="1" applyFont="1" applyFill="1" applyBorder="1"/>
    <xf numFmtId="44" fontId="5" fillId="0" borderId="0" xfId="37697" applyFont="1" applyFill="1" applyBorder="1"/>
    <xf numFmtId="0" fontId="6" fillId="0" borderId="48" xfId="0" applyFont="1" applyBorder="1"/>
    <xf numFmtId="0" fontId="0" fillId="0" borderId="47" xfId="0" applyBorder="1"/>
    <xf numFmtId="0" fontId="0" fillId="0" borderId="46" xfId="0" applyBorder="1"/>
    <xf numFmtId="0" fontId="0" fillId="0" borderId="22" xfId="0" applyBorder="1" applyAlignment="1">
      <alignment horizontal="right"/>
    </xf>
    <xf numFmtId="44" fontId="5" fillId="0" borderId="22" xfId="0" applyNumberFormat="1" applyFont="1" applyBorder="1"/>
    <xf numFmtId="0" fontId="5" fillId="0" borderId="22" xfId="0" applyFont="1" applyBorder="1"/>
    <xf numFmtId="0" fontId="11" fillId="0" borderId="22" xfId="0" applyFont="1" applyBorder="1"/>
    <xf numFmtId="0" fontId="11" fillId="0" borderId="35" xfId="0" applyFont="1" applyBorder="1"/>
    <xf numFmtId="10" fontId="0" fillId="0" borderId="47" xfId="0" applyNumberFormat="1" applyBorder="1"/>
    <xf numFmtId="0" fontId="4" fillId="0" borderId="50" xfId="0" applyFont="1" applyBorder="1" applyAlignment="1">
      <alignment horizontal="center"/>
    </xf>
    <xf numFmtId="0" fontId="4" fillId="0" borderId="51" xfId="0" applyFont="1" applyBorder="1" applyAlignment="1">
      <alignment horizontal="center"/>
    </xf>
    <xf numFmtId="0" fontId="4" fillId="0" borderId="33" xfId="0" applyFont="1" applyBorder="1" applyAlignment="1">
      <alignment horizontal="center"/>
    </xf>
    <xf numFmtId="9" fontId="0" fillId="0" borderId="0" xfId="6" applyFont="1" applyFill="1"/>
    <xf numFmtId="0" fontId="4" fillId="0" borderId="0" xfId="0" applyFont="1" applyAlignment="1">
      <alignment horizontal="center" wrapText="1"/>
    </xf>
    <xf numFmtId="0" fontId="74" fillId="0" borderId="0" xfId="0" applyFont="1" applyAlignment="1">
      <alignment horizontal="center" wrapText="1"/>
    </xf>
    <xf numFmtId="9" fontId="0" fillId="79" borderId="0" xfId="6" applyFont="1" applyFill="1"/>
    <xf numFmtId="43" fontId="73" fillId="79" borderId="0" xfId="4" applyFont="1" applyFill="1"/>
    <xf numFmtId="0" fontId="4" fillId="0" borderId="32" xfId="0" applyFont="1" applyBorder="1" applyAlignment="1">
      <alignment horizontal="right" vertical="top"/>
    </xf>
    <xf numFmtId="17" fontId="4" fillId="79" borderId="4" xfId="0" applyNumberFormat="1" applyFont="1" applyFill="1" applyBorder="1" applyAlignment="1">
      <alignment horizontal="center"/>
    </xf>
    <xf numFmtId="165" fontId="6" fillId="76" borderId="3" xfId="6" applyNumberFormat="1" applyFont="1" applyFill="1" applyBorder="1" applyProtection="1">
      <protection locked="0"/>
    </xf>
    <xf numFmtId="43" fontId="0" fillId="0" borderId="0" xfId="4" applyFont="1" applyFill="1"/>
    <xf numFmtId="0" fontId="80" fillId="15" borderId="0" xfId="21150" applyFont="1" applyFill="1"/>
    <xf numFmtId="44" fontId="0" fillId="15" borderId="0" xfId="37697" applyFont="1" applyFill="1"/>
    <xf numFmtId="0" fontId="80" fillId="80" borderId="0" xfId="21150" applyFont="1" applyFill="1"/>
    <xf numFmtId="0" fontId="0" fillId="80" borderId="0" xfId="0" applyFill="1"/>
    <xf numFmtId="166" fontId="0" fillId="80" borderId="0" xfId="4" applyNumberFormat="1" applyFont="1" applyFill="1"/>
    <xf numFmtId="44" fontId="0" fillId="68" borderId="0" xfId="37697" applyFont="1" applyFill="1"/>
    <xf numFmtId="44" fontId="0" fillId="81" borderId="0" xfId="37697" applyFont="1" applyFill="1"/>
    <xf numFmtId="44" fontId="1" fillId="76" borderId="0" xfId="37697" applyFont="1" applyFill="1" applyBorder="1"/>
    <xf numFmtId="44" fontId="1" fillId="68" borderId="0" xfId="37697" applyFont="1" applyFill="1" applyBorder="1"/>
    <xf numFmtId="44" fontId="1" fillId="81" borderId="0" xfId="37697" applyFont="1" applyFill="1" applyBorder="1"/>
    <xf numFmtId="0" fontId="80" fillId="82" borderId="0" xfId="21150" applyFont="1" applyFill="1"/>
    <xf numFmtId="17" fontId="4" fillId="82" borderId="0" xfId="0" applyNumberFormat="1" applyFont="1" applyFill="1" applyAlignment="1">
      <alignment horizontal="center"/>
    </xf>
    <xf numFmtId="43" fontId="0" fillId="82" borderId="0" xfId="4" applyFont="1" applyFill="1"/>
    <xf numFmtId="44" fontId="4" fillId="82" borderId="0" xfId="37697" applyFont="1" applyFill="1" applyBorder="1"/>
    <xf numFmtId="44" fontId="1" fillId="0" borderId="0" xfId="37697" applyFont="1" applyFill="1" applyBorder="1"/>
    <xf numFmtId="44" fontId="4" fillId="0" borderId="0" xfId="37697" applyFont="1" applyFill="1" applyBorder="1"/>
    <xf numFmtId="0" fontId="74" fillId="0" borderId="0" xfId="0" applyFont="1" applyAlignment="1">
      <alignment wrapText="1"/>
    </xf>
    <xf numFmtId="167" fontId="0" fillId="0" borderId="0" xfId="0" applyNumberFormat="1"/>
    <xf numFmtId="43" fontId="1" fillId="0" borderId="0" xfId="4" applyFont="1" applyFill="1"/>
    <xf numFmtId="0" fontId="7" fillId="13" borderId="0" xfId="0" applyFont="1" applyFill="1" applyAlignment="1">
      <alignment horizontal="center" vertical="center" textRotation="90"/>
    </xf>
    <xf numFmtId="0" fontId="7" fillId="75" borderId="0" xfId="0" applyFont="1" applyFill="1" applyAlignment="1">
      <alignment horizontal="center" vertical="center" textRotation="90"/>
    </xf>
    <xf numFmtId="0" fontId="7" fillId="70" borderId="0" xfId="0" applyFont="1" applyFill="1" applyAlignment="1">
      <alignment horizontal="center" vertical="center" textRotation="90"/>
    </xf>
    <xf numFmtId="0" fontId="7" fillId="7" borderId="0" xfId="0" applyFont="1" applyFill="1" applyAlignment="1">
      <alignment horizontal="center" vertical="center" textRotation="90"/>
    </xf>
    <xf numFmtId="0" fontId="4" fillId="69" borderId="26" xfId="0" applyFont="1" applyFill="1" applyBorder="1" applyAlignment="1">
      <alignment horizontal="center" vertical="center" textRotation="90"/>
    </xf>
    <xf numFmtId="0" fontId="4" fillId="69" borderId="27" xfId="0" applyFont="1" applyFill="1" applyBorder="1" applyAlignment="1">
      <alignment horizontal="center" vertical="center" textRotation="90"/>
    </xf>
    <xf numFmtId="0" fontId="0" fillId="0" borderId="44" xfId="0" applyBorder="1" applyAlignment="1">
      <alignment horizontal="left" vertical="top" wrapText="1"/>
    </xf>
    <xf numFmtId="0" fontId="0" fillId="0" borderId="45" xfId="0" applyBorder="1" applyAlignment="1">
      <alignment horizontal="left" vertical="top" wrapText="1"/>
    </xf>
    <xf numFmtId="0" fontId="0" fillId="0" borderId="0" xfId="0" applyAlignment="1">
      <alignment horizontal="left" vertical="top" wrapText="1"/>
    </xf>
    <xf numFmtId="0" fontId="0" fillId="0" borderId="48" xfId="0" applyBorder="1" applyAlignment="1">
      <alignment horizontal="left" vertical="top" wrapText="1"/>
    </xf>
    <xf numFmtId="0" fontId="0" fillId="0" borderId="22" xfId="0" applyBorder="1" applyAlignment="1">
      <alignment horizontal="left" vertical="top" wrapText="1"/>
    </xf>
    <xf numFmtId="0" fontId="0" fillId="0" borderId="35" xfId="0" applyBorder="1" applyAlignment="1">
      <alignment horizontal="left" vertical="top" wrapText="1"/>
    </xf>
    <xf numFmtId="0" fontId="74" fillId="0" borderId="43" xfId="0" applyFont="1" applyBorder="1" applyAlignment="1">
      <alignment horizontal="right" vertical="top"/>
    </xf>
    <xf numFmtId="0" fontId="74" fillId="0" borderId="47" xfId="0" applyFont="1" applyBorder="1" applyAlignment="1">
      <alignment horizontal="right" vertical="top"/>
    </xf>
    <xf numFmtId="0" fontId="74" fillId="0" borderId="46" xfId="0" applyFont="1" applyBorder="1" applyAlignment="1">
      <alignment horizontal="right" vertical="top"/>
    </xf>
    <xf numFmtId="0" fontId="5" fillId="0" borderId="43" xfId="0" applyFont="1" applyBorder="1" applyAlignment="1">
      <alignment horizontal="left" vertical="top" wrapText="1"/>
    </xf>
    <xf numFmtId="0" fontId="5" fillId="0" borderId="44" xfId="0" applyFont="1" applyBorder="1" applyAlignment="1">
      <alignment horizontal="left" vertical="top" wrapText="1"/>
    </xf>
    <xf numFmtId="0" fontId="5" fillId="0" borderId="45" xfId="0" applyFont="1" applyBorder="1" applyAlignment="1">
      <alignment horizontal="left" vertical="top" wrapText="1"/>
    </xf>
    <xf numFmtId="0" fontId="5" fillId="0" borderId="47" xfId="0" applyFont="1" applyBorder="1" applyAlignment="1">
      <alignment horizontal="left" vertical="top" wrapText="1"/>
    </xf>
    <xf numFmtId="0" fontId="5" fillId="0" borderId="0" xfId="0" applyFont="1" applyAlignment="1">
      <alignment horizontal="left" vertical="top" wrapText="1"/>
    </xf>
    <xf numFmtId="0" fontId="5" fillId="0" borderId="48" xfId="0" applyFont="1" applyBorder="1" applyAlignment="1">
      <alignment horizontal="left" vertical="top" wrapText="1"/>
    </xf>
    <xf numFmtId="0" fontId="5" fillId="0" borderId="46" xfId="0" applyFont="1" applyBorder="1" applyAlignment="1">
      <alignment horizontal="left" vertical="top" wrapText="1"/>
    </xf>
    <xf numFmtId="0" fontId="5" fillId="0" borderId="22" xfId="0" applyFont="1" applyBorder="1" applyAlignment="1">
      <alignment horizontal="left" vertical="top" wrapText="1"/>
    </xf>
    <xf numFmtId="0" fontId="5" fillId="0" borderId="35" xfId="0" applyFont="1" applyBorder="1" applyAlignment="1">
      <alignment horizontal="left" vertical="top" wrapText="1"/>
    </xf>
    <xf numFmtId="0" fontId="74" fillId="0" borderId="55" xfId="0" applyFont="1" applyBorder="1" applyAlignment="1">
      <alignment horizontal="right" vertical="top"/>
    </xf>
    <xf numFmtId="0" fontId="74" fillId="0" borderId="56" xfId="0" applyFont="1" applyBorder="1" applyAlignment="1">
      <alignment horizontal="right" vertical="top"/>
    </xf>
    <xf numFmtId="0" fontId="74" fillId="0" borderId="34" xfId="0" applyFont="1" applyBorder="1" applyAlignment="1">
      <alignment horizontal="right" vertical="top"/>
    </xf>
    <xf numFmtId="0" fontId="0" fillId="0" borderId="50" xfId="0" applyBorder="1" applyAlignment="1">
      <alignment horizontal="left" vertical="top" wrapText="1"/>
    </xf>
    <xf numFmtId="0" fontId="0" fillId="0" borderId="51" xfId="0" applyBorder="1" applyAlignment="1">
      <alignment horizontal="left" vertical="top" wrapText="1"/>
    </xf>
    <xf numFmtId="0" fontId="0" fillId="0" borderId="33" xfId="0" applyBorder="1" applyAlignment="1">
      <alignment horizontal="left" vertical="top" wrapText="1"/>
    </xf>
  </cellXfs>
  <cellStyles count="37699">
    <cellStyle name="20% - Accent1" xfId="152" builtinId="30" customBuiltin="1"/>
    <cellStyle name="20% - Accent1 10 2" xfId="674" xr:uid="{00000000-0005-0000-0000-000001000000}"/>
    <cellStyle name="20% - Accent1 10 3" xfId="675" xr:uid="{00000000-0005-0000-0000-000002000000}"/>
    <cellStyle name="20% - Accent1 11 2" xfId="676" xr:uid="{00000000-0005-0000-0000-000003000000}"/>
    <cellStyle name="20% - Accent1 11 3" xfId="677" xr:uid="{00000000-0005-0000-0000-000004000000}"/>
    <cellStyle name="20% - Accent1 12 2" xfId="678" xr:uid="{00000000-0005-0000-0000-000005000000}"/>
    <cellStyle name="20% - Accent1 12 3" xfId="679" xr:uid="{00000000-0005-0000-0000-000006000000}"/>
    <cellStyle name="20% - Accent1 13 2" xfId="680" xr:uid="{00000000-0005-0000-0000-000007000000}"/>
    <cellStyle name="20% - Accent1 13 3" xfId="681" xr:uid="{00000000-0005-0000-0000-000008000000}"/>
    <cellStyle name="20% - Accent1 14 2" xfId="682" xr:uid="{00000000-0005-0000-0000-000009000000}"/>
    <cellStyle name="20% - Accent1 14 3" xfId="683" xr:uid="{00000000-0005-0000-0000-00000A000000}"/>
    <cellStyle name="20% - Accent1 15" xfId="684" xr:uid="{00000000-0005-0000-0000-00000B000000}"/>
    <cellStyle name="20% - Accent1 15 2" xfId="685" xr:uid="{00000000-0005-0000-0000-00000C000000}"/>
    <cellStyle name="20% - Accent1 15 3" xfId="686" xr:uid="{00000000-0005-0000-0000-00000D000000}"/>
    <cellStyle name="20% - Accent1 15 4" xfId="687" xr:uid="{00000000-0005-0000-0000-00000E000000}"/>
    <cellStyle name="20% - Accent1 15 5" xfId="688" xr:uid="{00000000-0005-0000-0000-00000F000000}"/>
    <cellStyle name="20% - Accent1 15 6" xfId="689" xr:uid="{00000000-0005-0000-0000-000010000000}"/>
    <cellStyle name="20% - Accent1 15 7" xfId="690" xr:uid="{00000000-0005-0000-0000-000011000000}"/>
    <cellStyle name="20% - Accent1 16" xfId="691" xr:uid="{00000000-0005-0000-0000-000012000000}"/>
    <cellStyle name="20% - Accent1 17" xfId="692" xr:uid="{00000000-0005-0000-0000-000013000000}"/>
    <cellStyle name="20% - Accent1 18" xfId="693" xr:uid="{00000000-0005-0000-0000-000014000000}"/>
    <cellStyle name="20% - Accent1 19" xfId="694" xr:uid="{00000000-0005-0000-0000-000015000000}"/>
    <cellStyle name="20% - Accent1 2" xfId="186" xr:uid="{00000000-0005-0000-0000-000016000000}"/>
    <cellStyle name="20% - Accent1 2 2" xfId="368" xr:uid="{00000000-0005-0000-0000-000017000000}"/>
    <cellStyle name="20% - Accent1 2 2 2" xfId="560" xr:uid="{00000000-0005-0000-0000-000018000000}"/>
    <cellStyle name="20% - Accent1 2 2 3" xfId="696" xr:uid="{00000000-0005-0000-0000-000019000000}"/>
    <cellStyle name="20% - Accent1 2 3" xfId="471" xr:uid="{00000000-0005-0000-0000-00001A000000}"/>
    <cellStyle name="20% - Accent1 2 3 2" xfId="697" xr:uid="{00000000-0005-0000-0000-00001B000000}"/>
    <cellStyle name="20% - Accent1 2 4" xfId="695" xr:uid="{00000000-0005-0000-0000-00001C000000}"/>
    <cellStyle name="20% - Accent1 2 5" xfId="37607" xr:uid="{00000000-0005-0000-0000-00001D000000}"/>
    <cellStyle name="20% - Accent1 20" xfId="698" xr:uid="{00000000-0005-0000-0000-00001E000000}"/>
    <cellStyle name="20% - Accent1 21" xfId="699" xr:uid="{00000000-0005-0000-0000-00001F000000}"/>
    <cellStyle name="20% - Accent1 22" xfId="700" xr:uid="{00000000-0005-0000-0000-000020000000}"/>
    <cellStyle name="20% - Accent1 3" xfId="334" xr:uid="{00000000-0005-0000-0000-000021000000}"/>
    <cellStyle name="20% - Accent1 3 2" xfId="524" xr:uid="{00000000-0005-0000-0000-000022000000}"/>
    <cellStyle name="20% - Accent1 3 2 2" xfId="702" xr:uid="{00000000-0005-0000-0000-000023000000}"/>
    <cellStyle name="20% - Accent1 3 3" xfId="703" xr:uid="{00000000-0005-0000-0000-000024000000}"/>
    <cellStyle name="20% - Accent1 3 4" xfId="701" xr:uid="{00000000-0005-0000-0000-000025000000}"/>
    <cellStyle name="20% - Accent1 4" xfId="354" xr:uid="{00000000-0005-0000-0000-000026000000}"/>
    <cellStyle name="20% - Accent1 4 2" xfId="544" xr:uid="{00000000-0005-0000-0000-000027000000}"/>
    <cellStyle name="20% - Accent1 4 2 2" xfId="705" xr:uid="{00000000-0005-0000-0000-000028000000}"/>
    <cellStyle name="20% - Accent1 4 3" xfId="706" xr:uid="{00000000-0005-0000-0000-000029000000}"/>
    <cellStyle name="20% - Accent1 4 4" xfId="704" xr:uid="{00000000-0005-0000-0000-00002A000000}"/>
    <cellStyle name="20% - Accent1 4 5" xfId="37608" xr:uid="{00000000-0005-0000-0000-00002B000000}"/>
    <cellStyle name="20% - Accent1 5" xfId="407" xr:uid="{00000000-0005-0000-0000-00002C000000}"/>
    <cellStyle name="20% - Accent1 5 2" xfId="707" xr:uid="{00000000-0005-0000-0000-00002D000000}"/>
    <cellStyle name="20% - Accent1 5 3" xfId="708" xr:uid="{00000000-0005-0000-0000-00002E000000}"/>
    <cellStyle name="20% - Accent1 6" xfId="445" xr:uid="{00000000-0005-0000-0000-00002F000000}"/>
    <cellStyle name="20% - Accent1 6 2" xfId="709" xr:uid="{00000000-0005-0000-0000-000030000000}"/>
    <cellStyle name="20% - Accent1 6 3" xfId="710" xr:uid="{00000000-0005-0000-0000-000031000000}"/>
    <cellStyle name="20% - Accent1 7" xfId="617" xr:uid="{00000000-0005-0000-0000-000032000000}"/>
    <cellStyle name="20% - Accent1 7 2" xfId="711" xr:uid="{00000000-0005-0000-0000-000033000000}"/>
    <cellStyle name="20% - Accent1 7 3" xfId="712" xr:uid="{00000000-0005-0000-0000-000034000000}"/>
    <cellStyle name="20% - Accent1 8 2" xfId="713" xr:uid="{00000000-0005-0000-0000-000035000000}"/>
    <cellStyle name="20% - Accent1 8 3" xfId="714" xr:uid="{00000000-0005-0000-0000-000036000000}"/>
    <cellStyle name="20% - Accent1 9 2" xfId="715" xr:uid="{00000000-0005-0000-0000-000037000000}"/>
    <cellStyle name="20% - Accent1 9 3" xfId="716" xr:uid="{00000000-0005-0000-0000-000038000000}"/>
    <cellStyle name="20% - Accent2" xfId="156" builtinId="34" customBuiltin="1"/>
    <cellStyle name="20% - Accent2 10 2" xfId="717" xr:uid="{00000000-0005-0000-0000-00003A000000}"/>
    <cellStyle name="20% - Accent2 10 3" xfId="718" xr:uid="{00000000-0005-0000-0000-00003B000000}"/>
    <cellStyle name="20% - Accent2 11 2" xfId="719" xr:uid="{00000000-0005-0000-0000-00003C000000}"/>
    <cellStyle name="20% - Accent2 11 3" xfId="720" xr:uid="{00000000-0005-0000-0000-00003D000000}"/>
    <cellStyle name="20% - Accent2 12 2" xfId="721" xr:uid="{00000000-0005-0000-0000-00003E000000}"/>
    <cellStyle name="20% - Accent2 12 3" xfId="722" xr:uid="{00000000-0005-0000-0000-00003F000000}"/>
    <cellStyle name="20% - Accent2 13 2" xfId="723" xr:uid="{00000000-0005-0000-0000-000040000000}"/>
    <cellStyle name="20% - Accent2 13 3" xfId="724" xr:uid="{00000000-0005-0000-0000-000041000000}"/>
    <cellStyle name="20% - Accent2 14 2" xfId="725" xr:uid="{00000000-0005-0000-0000-000042000000}"/>
    <cellStyle name="20% - Accent2 14 3" xfId="726" xr:uid="{00000000-0005-0000-0000-000043000000}"/>
    <cellStyle name="20% - Accent2 15" xfId="727" xr:uid="{00000000-0005-0000-0000-000044000000}"/>
    <cellStyle name="20% - Accent2 15 2" xfId="728" xr:uid="{00000000-0005-0000-0000-000045000000}"/>
    <cellStyle name="20% - Accent2 15 3" xfId="729" xr:uid="{00000000-0005-0000-0000-000046000000}"/>
    <cellStyle name="20% - Accent2 15 4" xfId="730" xr:uid="{00000000-0005-0000-0000-000047000000}"/>
    <cellStyle name="20% - Accent2 15 5" xfId="731" xr:uid="{00000000-0005-0000-0000-000048000000}"/>
    <cellStyle name="20% - Accent2 15 6" xfId="732" xr:uid="{00000000-0005-0000-0000-000049000000}"/>
    <cellStyle name="20% - Accent2 15 7" xfId="733" xr:uid="{00000000-0005-0000-0000-00004A000000}"/>
    <cellStyle name="20% - Accent2 16" xfId="734" xr:uid="{00000000-0005-0000-0000-00004B000000}"/>
    <cellStyle name="20% - Accent2 17" xfId="735" xr:uid="{00000000-0005-0000-0000-00004C000000}"/>
    <cellStyle name="20% - Accent2 18" xfId="736" xr:uid="{00000000-0005-0000-0000-00004D000000}"/>
    <cellStyle name="20% - Accent2 19" xfId="737" xr:uid="{00000000-0005-0000-0000-00004E000000}"/>
    <cellStyle name="20% - Accent2 2" xfId="188" xr:uid="{00000000-0005-0000-0000-00004F000000}"/>
    <cellStyle name="20% - Accent2 2 2" xfId="370" xr:uid="{00000000-0005-0000-0000-000050000000}"/>
    <cellStyle name="20% - Accent2 2 2 2" xfId="562" xr:uid="{00000000-0005-0000-0000-000051000000}"/>
    <cellStyle name="20% - Accent2 2 2 3" xfId="739" xr:uid="{00000000-0005-0000-0000-000052000000}"/>
    <cellStyle name="20% - Accent2 2 3" xfId="473" xr:uid="{00000000-0005-0000-0000-000053000000}"/>
    <cellStyle name="20% - Accent2 2 3 2" xfId="740" xr:uid="{00000000-0005-0000-0000-000054000000}"/>
    <cellStyle name="20% - Accent2 2 4" xfId="738" xr:uid="{00000000-0005-0000-0000-000055000000}"/>
    <cellStyle name="20% - Accent2 2 5" xfId="37609" xr:uid="{00000000-0005-0000-0000-000056000000}"/>
    <cellStyle name="20% - Accent2 20" xfId="741" xr:uid="{00000000-0005-0000-0000-000057000000}"/>
    <cellStyle name="20% - Accent2 21" xfId="742" xr:uid="{00000000-0005-0000-0000-000058000000}"/>
    <cellStyle name="20% - Accent2 22" xfId="743" xr:uid="{00000000-0005-0000-0000-000059000000}"/>
    <cellStyle name="20% - Accent2 3" xfId="336" xr:uid="{00000000-0005-0000-0000-00005A000000}"/>
    <cellStyle name="20% - Accent2 3 2" xfId="526" xr:uid="{00000000-0005-0000-0000-00005B000000}"/>
    <cellStyle name="20% - Accent2 3 2 2" xfId="745" xr:uid="{00000000-0005-0000-0000-00005C000000}"/>
    <cellStyle name="20% - Accent2 3 3" xfId="746" xr:uid="{00000000-0005-0000-0000-00005D000000}"/>
    <cellStyle name="20% - Accent2 3 4" xfId="744" xr:uid="{00000000-0005-0000-0000-00005E000000}"/>
    <cellStyle name="20% - Accent2 4" xfId="356" xr:uid="{00000000-0005-0000-0000-00005F000000}"/>
    <cellStyle name="20% - Accent2 4 2" xfId="546" xr:uid="{00000000-0005-0000-0000-000060000000}"/>
    <cellStyle name="20% - Accent2 4 2 2" xfId="748" xr:uid="{00000000-0005-0000-0000-000061000000}"/>
    <cellStyle name="20% - Accent2 4 3" xfId="749" xr:uid="{00000000-0005-0000-0000-000062000000}"/>
    <cellStyle name="20% - Accent2 4 4" xfId="747" xr:uid="{00000000-0005-0000-0000-000063000000}"/>
    <cellStyle name="20% - Accent2 4 5" xfId="37610" xr:uid="{00000000-0005-0000-0000-000064000000}"/>
    <cellStyle name="20% - Accent2 5" xfId="411" xr:uid="{00000000-0005-0000-0000-000065000000}"/>
    <cellStyle name="20% - Accent2 5 2" xfId="750" xr:uid="{00000000-0005-0000-0000-000066000000}"/>
    <cellStyle name="20% - Accent2 5 3" xfId="751" xr:uid="{00000000-0005-0000-0000-000067000000}"/>
    <cellStyle name="20% - Accent2 6" xfId="449" xr:uid="{00000000-0005-0000-0000-000068000000}"/>
    <cellStyle name="20% - Accent2 6 2" xfId="752" xr:uid="{00000000-0005-0000-0000-000069000000}"/>
    <cellStyle name="20% - Accent2 6 3" xfId="753" xr:uid="{00000000-0005-0000-0000-00006A000000}"/>
    <cellStyle name="20% - Accent2 7" xfId="618" xr:uid="{00000000-0005-0000-0000-00006B000000}"/>
    <cellStyle name="20% - Accent2 7 2" xfId="754" xr:uid="{00000000-0005-0000-0000-00006C000000}"/>
    <cellStyle name="20% - Accent2 7 3" xfId="755" xr:uid="{00000000-0005-0000-0000-00006D000000}"/>
    <cellStyle name="20% - Accent2 8 2" xfId="756" xr:uid="{00000000-0005-0000-0000-00006E000000}"/>
    <cellStyle name="20% - Accent2 8 3" xfId="757" xr:uid="{00000000-0005-0000-0000-00006F000000}"/>
    <cellStyle name="20% - Accent2 9 2" xfId="758" xr:uid="{00000000-0005-0000-0000-000070000000}"/>
    <cellStyle name="20% - Accent2 9 3" xfId="759" xr:uid="{00000000-0005-0000-0000-000071000000}"/>
    <cellStyle name="20% - Accent3" xfId="160" builtinId="38" customBuiltin="1"/>
    <cellStyle name="20% - Accent3 10 2" xfId="760" xr:uid="{00000000-0005-0000-0000-000073000000}"/>
    <cellStyle name="20% - Accent3 10 3" xfId="761" xr:uid="{00000000-0005-0000-0000-000074000000}"/>
    <cellStyle name="20% - Accent3 11 2" xfId="762" xr:uid="{00000000-0005-0000-0000-000075000000}"/>
    <cellStyle name="20% - Accent3 11 3" xfId="763" xr:uid="{00000000-0005-0000-0000-000076000000}"/>
    <cellStyle name="20% - Accent3 12 2" xfId="764" xr:uid="{00000000-0005-0000-0000-000077000000}"/>
    <cellStyle name="20% - Accent3 12 3" xfId="765" xr:uid="{00000000-0005-0000-0000-000078000000}"/>
    <cellStyle name="20% - Accent3 13 2" xfId="766" xr:uid="{00000000-0005-0000-0000-000079000000}"/>
    <cellStyle name="20% - Accent3 13 3" xfId="767" xr:uid="{00000000-0005-0000-0000-00007A000000}"/>
    <cellStyle name="20% - Accent3 14 2" xfId="768" xr:uid="{00000000-0005-0000-0000-00007B000000}"/>
    <cellStyle name="20% - Accent3 14 3" xfId="769" xr:uid="{00000000-0005-0000-0000-00007C000000}"/>
    <cellStyle name="20% - Accent3 15" xfId="770" xr:uid="{00000000-0005-0000-0000-00007D000000}"/>
    <cellStyle name="20% - Accent3 15 2" xfId="771" xr:uid="{00000000-0005-0000-0000-00007E000000}"/>
    <cellStyle name="20% - Accent3 15 3" xfId="772" xr:uid="{00000000-0005-0000-0000-00007F000000}"/>
    <cellStyle name="20% - Accent3 15 4" xfId="773" xr:uid="{00000000-0005-0000-0000-000080000000}"/>
    <cellStyle name="20% - Accent3 15 5" xfId="774" xr:uid="{00000000-0005-0000-0000-000081000000}"/>
    <cellStyle name="20% - Accent3 15 6" xfId="775" xr:uid="{00000000-0005-0000-0000-000082000000}"/>
    <cellStyle name="20% - Accent3 15 7" xfId="776" xr:uid="{00000000-0005-0000-0000-000083000000}"/>
    <cellStyle name="20% - Accent3 16" xfId="777" xr:uid="{00000000-0005-0000-0000-000084000000}"/>
    <cellStyle name="20% - Accent3 17" xfId="778" xr:uid="{00000000-0005-0000-0000-000085000000}"/>
    <cellStyle name="20% - Accent3 18" xfId="779" xr:uid="{00000000-0005-0000-0000-000086000000}"/>
    <cellStyle name="20% - Accent3 19" xfId="780" xr:uid="{00000000-0005-0000-0000-000087000000}"/>
    <cellStyle name="20% - Accent3 2" xfId="190" xr:uid="{00000000-0005-0000-0000-000088000000}"/>
    <cellStyle name="20% - Accent3 2 2" xfId="372" xr:uid="{00000000-0005-0000-0000-000089000000}"/>
    <cellStyle name="20% - Accent3 2 2 2" xfId="564" xr:uid="{00000000-0005-0000-0000-00008A000000}"/>
    <cellStyle name="20% - Accent3 2 2 3" xfId="782" xr:uid="{00000000-0005-0000-0000-00008B000000}"/>
    <cellStyle name="20% - Accent3 2 3" xfId="475" xr:uid="{00000000-0005-0000-0000-00008C000000}"/>
    <cellStyle name="20% - Accent3 2 3 2" xfId="783" xr:uid="{00000000-0005-0000-0000-00008D000000}"/>
    <cellStyle name="20% - Accent3 2 4" xfId="781" xr:uid="{00000000-0005-0000-0000-00008E000000}"/>
    <cellStyle name="20% - Accent3 2 5" xfId="37611" xr:uid="{00000000-0005-0000-0000-00008F000000}"/>
    <cellStyle name="20% - Accent3 20" xfId="784" xr:uid="{00000000-0005-0000-0000-000090000000}"/>
    <cellStyle name="20% - Accent3 21" xfId="785" xr:uid="{00000000-0005-0000-0000-000091000000}"/>
    <cellStyle name="20% - Accent3 22" xfId="786" xr:uid="{00000000-0005-0000-0000-000092000000}"/>
    <cellStyle name="20% - Accent3 3" xfId="338" xr:uid="{00000000-0005-0000-0000-000093000000}"/>
    <cellStyle name="20% - Accent3 3 2" xfId="528" xr:uid="{00000000-0005-0000-0000-000094000000}"/>
    <cellStyle name="20% - Accent3 3 2 2" xfId="788" xr:uid="{00000000-0005-0000-0000-000095000000}"/>
    <cellStyle name="20% - Accent3 3 3" xfId="789" xr:uid="{00000000-0005-0000-0000-000096000000}"/>
    <cellStyle name="20% - Accent3 3 4" xfId="787" xr:uid="{00000000-0005-0000-0000-000097000000}"/>
    <cellStyle name="20% - Accent3 4" xfId="358" xr:uid="{00000000-0005-0000-0000-000098000000}"/>
    <cellStyle name="20% - Accent3 4 2" xfId="548" xr:uid="{00000000-0005-0000-0000-000099000000}"/>
    <cellStyle name="20% - Accent3 4 2 2" xfId="791" xr:uid="{00000000-0005-0000-0000-00009A000000}"/>
    <cellStyle name="20% - Accent3 4 3" xfId="792" xr:uid="{00000000-0005-0000-0000-00009B000000}"/>
    <cellStyle name="20% - Accent3 4 4" xfId="790" xr:uid="{00000000-0005-0000-0000-00009C000000}"/>
    <cellStyle name="20% - Accent3 4 5" xfId="37612" xr:uid="{00000000-0005-0000-0000-00009D000000}"/>
    <cellStyle name="20% - Accent3 5" xfId="415" xr:uid="{00000000-0005-0000-0000-00009E000000}"/>
    <cellStyle name="20% - Accent3 5 2" xfId="793" xr:uid="{00000000-0005-0000-0000-00009F000000}"/>
    <cellStyle name="20% - Accent3 5 3" xfId="794" xr:uid="{00000000-0005-0000-0000-0000A0000000}"/>
    <cellStyle name="20% - Accent3 6" xfId="451" xr:uid="{00000000-0005-0000-0000-0000A1000000}"/>
    <cellStyle name="20% - Accent3 6 2" xfId="795" xr:uid="{00000000-0005-0000-0000-0000A2000000}"/>
    <cellStyle name="20% - Accent3 6 3" xfId="796" xr:uid="{00000000-0005-0000-0000-0000A3000000}"/>
    <cellStyle name="20% - Accent3 7" xfId="619" xr:uid="{00000000-0005-0000-0000-0000A4000000}"/>
    <cellStyle name="20% - Accent3 7 2" xfId="797" xr:uid="{00000000-0005-0000-0000-0000A5000000}"/>
    <cellStyle name="20% - Accent3 7 3" xfId="798" xr:uid="{00000000-0005-0000-0000-0000A6000000}"/>
    <cellStyle name="20% - Accent3 8 2" xfId="799" xr:uid="{00000000-0005-0000-0000-0000A7000000}"/>
    <cellStyle name="20% - Accent3 8 3" xfId="800" xr:uid="{00000000-0005-0000-0000-0000A8000000}"/>
    <cellStyle name="20% - Accent3 9 2" xfId="801" xr:uid="{00000000-0005-0000-0000-0000A9000000}"/>
    <cellStyle name="20% - Accent3 9 3" xfId="802" xr:uid="{00000000-0005-0000-0000-0000AA000000}"/>
    <cellStyle name="20% - Accent4" xfId="164" builtinId="42" customBuiltin="1"/>
    <cellStyle name="20% - Accent4 10 2" xfId="803" xr:uid="{00000000-0005-0000-0000-0000AC000000}"/>
    <cellStyle name="20% - Accent4 10 3" xfId="804" xr:uid="{00000000-0005-0000-0000-0000AD000000}"/>
    <cellStyle name="20% - Accent4 11 2" xfId="805" xr:uid="{00000000-0005-0000-0000-0000AE000000}"/>
    <cellStyle name="20% - Accent4 11 3" xfId="806" xr:uid="{00000000-0005-0000-0000-0000AF000000}"/>
    <cellStyle name="20% - Accent4 12 2" xfId="807" xr:uid="{00000000-0005-0000-0000-0000B0000000}"/>
    <cellStyle name="20% - Accent4 12 3" xfId="808" xr:uid="{00000000-0005-0000-0000-0000B1000000}"/>
    <cellStyle name="20% - Accent4 13 2" xfId="809" xr:uid="{00000000-0005-0000-0000-0000B2000000}"/>
    <cellStyle name="20% - Accent4 13 3" xfId="810" xr:uid="{00000000-0005-0000-0000-0000B3000000}"/>
    <cellStyle name="20% - Accent4 14 2" xfId="811" xr:uid="{00000000-0005-0000-0000-0000B4000000}"/>
    <cellStyle name="20% - Accent4 14 3" xfId="812" xr:uid="{00000000-0005-0000-0000-0000B5000000}"/>
    <cellStyle name="20% - Accent4 15" xfId="813" xr:uid="{00000000-0005-0000-0000-0000B6000000}"/>
    <cellStyle name="20% - Accent4 15 2" xfId="814" xr:uid="{00000000-0005-0000-0000-0000B7000000}"/>
    <cellStyle name="20% - Accent4 15 3" xfId="815" xr:uid="{00000000-0005-0000-0000-0000B8000000}"/>
    <cellStyle name="20% - Accent4 15 4" xfId="816" xr:uid="{00000000-0005-0000-0000-0000B9000000}"/>
    <cellStyle name="20% - Accent4 15 5" xfId="817" xr:uid="{00000000-0005-0000-0000-0000BA000000}"/>
    <cellStyle name="20% - Accent4 15 6" xfId="818" xr:uid="{00000000-0005-0000-0000-0000BB000000}"/>
    <cellStyle name="20% - Accent4 15 7" xfId="819" xr:uid="{00000000-0005-0000-0000-0000BC000000}"/>
    <cellStyle name="20% - Accent4 16" xfId="820" xr:uid="{00000000-0005-0000-0000-0000BD000000}"/>
    <cellStyle name="20% - Accent4 17" xfId="821" xr:uid="{00000000-0005-0000-0000-0000BE000000}"/>
    <cellStyle name="20% - Accent4 18" xfId="822" xr:uid="{00000000-0005-0000-0000-0000BF000000}"/>
    <cellStyle name="20% - Accent4 19" xfId="823" xr:uid="{00000000-0005-0000-0000-0000C0000000}"/>
    <cellStyle name="20% - Accent4 2" xfId="192" xr:uid="{00000000-0005-0000-0000-0000C1000000}"/>
    <cellStyle name="20% - Accent4 2 2" xfId="374" xr:uid="{00000000-0005-0000-0000-0000C2000000}"/>
    <cellStyle name="20% - Accent4 2 2 2" xfId="566" xr:uid="{00000000-0005-0000-0000-0000C3000000}"/>
    <cellStyle name="20% - Accent4 2 2 3" xfId="825" xr:uid="{00000000-0005-0000-0000-0000C4000000}"/>
    <cellStyle name="20% - Accent4 2 3" xfId="477" xr:uid="{00000000-0005-0000-0000-0000C5000000}"/>
    <cellStyle name="20% - Accent4 2 3 2" xfId="826" xr:uid="{00000000-0005-0000-0000-0000C6000000}"/>
    <cellStyle name="20% - Accent4 2 4" xfId="824" xr:uid="{00000000-0005-0000-0000-0000C7000000}"/>
    <cellStyle name="20% - Accent4 2 5" xfId="37613" xr:uid="{00000000-0005-0000-0000-0000C8000000}"/>
    <cellStyle name="20% - Accent4 20" xfId="827" xr:uid="{00000000-0005-0000-0000-0000C9000000}"/>
    <cellStyle name="20% - Accent4 21" xfId="828" xr:uid="{00000000-0005-0000-0000-0000CA000000}"/>
    <cellStyle name="20% - Accent4 22" xfId="829" xr:uid="{00000000-0005-0000-0000-0000CB000000}"/>
    <cellStyle name="20% - Accent4 3" xfId="340" xr:uid="{00000000-0005-0000-0000-0000CC000000}"/>
    <cellStyle name="20% - Accent4 3 2" xfId="530" xr:uid="{00000000-0005-0000-0000-0000CD000000}"/>
    <cellStyle name="20% - Accent4 3 2 2" xfId="831" xr:uid="{00000000-0005-0000-0000-0000CE000000}"/>
    <cellStyle name="20% - Accent4 3 3" xfId="832" xr:uid="{00000000-0005-0000-0000-0000CF000000}"/>
    <cellStyle name="20% - Accent4 3 4" xfId="830" xr:uid="{00000000-0005-0000-0000-0000D0000000}"/>
    <cellStyle name="20% - Accent4 4" xfId="360" xr:uid="{00000000-0005-0000-0000-0000D1000000}"/>
    <cellStyle name="20% - Accent4 4 2" xfId="550" xr:uid="{00000000-0005-0000-0000-0000D2000000}"/>
    <cellStyle name="20% - Accent4 4 2 2" xfId="834" xr:uid="{00000000-0005-0000-0000-0000D3000000}"/>
    <cellStyle name="20% - Accent4 4 3" xfId="835" xr:uid="{00000000-0005-0000-0000-0000D4000000}"/>
    <cellStyle name="20% - Accent4 4 4" xfId="833" xr:uid="{00000000-0005-0000-0000-0000D5000000}"/>
    <cellStyle name="20% - Accent4 4 5" xfId="37614" xr:uid="{00000000-0005-0000-0000-0000D6000000}"/>
    <cellStyle name="20% - Accent4 5" xfId="419" xr:uid="{00000000-0005-0000-0000-0000D7000000}"/>
    <cellStyle name="20% - Accent4 5 2" xfId="836" xr:uid="{00000000-0005-0000-0000-0000D8000000}"/>
    <cellStyle name="20% - Accent4 5 3" xfId="837" xr:uid="{00000000-0005-0000-0000-0000D9000000}"/>
    <cellStyle name="20% - Accent4 6" xfId="455" xr:uid="{00000000-0005-0000-0000-0000DA000000}"/>
    <cellStyle name="20% - Accent4 6 2" xfId="838" xr:uid="{00000000-0005-0000-0000-0000DB000000}"/>
    <cellStyle name="20% - Accent4 6 3" xfId="839" xr:uid="{00000000-0005-0000-0000-0000DC000000}"/>
    <cellStyle name="20% - Accent4 7" xfId="620" xr:uid="{00000000-0005-0000-0000-0000DD000000}"/>
    <cellStyle name="20% - Accent4 7 2" xfId="840" xr:uid="{00000000-0005-0000-0000-0000DE000000}"/>
    <cellStyle name="20% - Accent4 7 3" xfId="841" xr:uid="{00000000-0005-0000-0000-0000DF000000}"/>
    <cellStyle name="20% - Accent4 8 2" xfId="842" xr:uid="{00000000-0005-0000-0000-0000E0000000}"/>
    <cellStyle name="20% - Accent4 8 3" xfId="843" xr:uid="{00000000-0005-0000-0000-0000E1000000}"/>
    <cellStyle name="20% - Accent4 9 2" xfId="844" xr:uid="{00000000-0005-0000-0000-0000E2000000}"/>
    <cellStyle name="20% - Accent4 9 3" xfId="845" xr:uid="{00000000-0005-0000-0000-0000E3000000}"/>
    <cellStyle name="20% - Accent5" xfId="168" builtinId="46" customBuiltin="1"/>
    <cellStyle name="20% - Accent5 10 2" xfId="846" xr:uid="{00000000-0005-0000-0000-0000E5000000}"/>
    <cellStyle name="20% - Accent5 10 3" xfId="847" xr:uid="{00000000-0005-0000-0000-0000E6000000}"/>
    <cellStyle name="20% - Accent5 11 2" xfId="848" xr:uid="{00000000-0005-0000-0000-0000E7000000}"/>
    <cellStyle name="20% - Accent5 11 3" xfId="849" xr:uid="{00000000-0005-0000-0000-0000E8000000}"/>
    <cellStyle name="20% - Accent5 12 2" xfId="850" xr:uid="{00000000-0005-0000-0000-0000E9000000}"/>
    <cellStyle name="20% - Accent5 12 3" xfId="851" xr:uid="{00000000-0005-0000-0000-0000EA000000}"/>
    <cellStyle name="20% - Accent5 13 2" xfId="852" xr:uid="{00000000-0005-0000-0000-0000EB000000}"/>
    <cellStyle name="20% - Accent5 13 3" xfId="853" xr:uid="{00000000-0005-0000-0000-0000EC000000}"/>
    <cellStyle name="20% - Accent5 14 2" xfId="854" xr:uid="{00000000-0005-0000-0000-0000ED000000}"/>
    <cellStyle name="20% - Accent5 14 3" xfId="855" xr:uid="{00000000-0005-0000-0000-0000EE000000}"/>
    <cellStyle name="20% - Accent5 15" xfId="856" xr:uid="{00000000-0005-0000-0000-0000EF000000}"/>
    <cellStyle name="20% - Accent5 15 2" xfId="857" xr:uid="{00000000-0005-0000-0000-0000F0000000}"/>
    <cellStyle name="20% - Accent5 15 3" xfId="858" xr:uid="{00000000-0005-0000-0000-0000F1000000}"/>
    <cellStyle name="20% - Accent5 15 4" xfId="859" xr:uid="{00000000-0005-0000-0000-0000F2000000}"/>
    <cellStyle name="20% - Accent5 15 5" xfId="860" xr:uid="{00000000-0005-0000-0000-0000F3000000}"/>
    <cellStyle name="20% - Accent5 15 6" xfId="861" xr:uid="{00000000-0005-0000-0000-0000F4000000}"/>
    <cellStyle name="20% - Accent5 15 7" xfId="862" xr:uid="{00000000-0005-0000-0000-0000F5000000}"/>
    <cellStyle name="20% - Accent5 16" xfId="863" xr:uid="{00000000-0005-0000-0000-0000F6000000}"/>
    <cellStyle name="20% - Accent5 17" xfId="864" xr:uid="{00000000-0005-0000-0000-0000F7000000}"/>
    <cellStyle name="20% - Accent5 18" xfId="865" xr:uid="{00000000-0005-0000-0000-0000F8000000}"/>
    <cellStyle name="20% - Accent5 19" xfId="866" xr:uid="{00000000-0005-0000-0000-0000F9000000}"/>
    <cellStyle name="20% - Accent5 2" xfId="194" xr:uid="{00000000-0005-0000-0000-0000FA000000}"/>
    <cellStyle name="20% - Accent5 2 2" xfId="376" xr:uid="{00000000-0005-0000-0000-0000FB000000}"/>
    <cellStyle name="20% - Accent5 2 2 2" xfId="568" xr:uid="{00000000-0005-0000-0000-0000FC000000}"/>
    <cellStyle name="20% - Accent5 2 2 3" xfId="868" xr:uid="{00000000-0005-0000-0000-0000FD000000}"/>
    <cellStyle name="20% - Accent5 2 3" xfId="479" xr:uid="{00000000-0005-0000-0000-0000FE000000}"/>
    <cellStyle name="20% - Accent5 2 3 2" xfId="869" xr:uid="{00000000-0005-0000-0000-0000FF000000}"/>
    <cellStyle name="20% - Accent5 2 4" xfId="867" xr:uid="{00000000-0005-0000-0000-000000010000}"/>
    <cellStyle name="20% - Accent5 2 5" xfId="37615" xr:uid="{00000000-0005-0000-0000-000001010000}"/>
    <cellStyle name="20% - Accent5 20" xfId="870" xr:uid="{00000000-0005-0000-0000-000002010000}"/>
    <cellStyle name="20% - Accent5 21" xfId="871" xr:uid="{00000000-0005-0000-0000-000003010000}"/>
    <cellStyle name="20% - Accent5 22" xfId="872" xr:uid="{00000000-0005-0000-0000-000004010000}"/>
    <cellStyle name="20% - Accent5 3" xfId="342" xr:uid="{00000000-0005-0000-0000-000005010000}"/>
    <cellStyle name="20% - Accent5 3 2" xfId="532" xr:uid="{00000000-0005-0000-0000-000006010000}"/>
    <cellStyle name="20% - Accent5 3 2 2" xfId="874" xr:uid="{00000000-0005-0000-0000-000007010000}"/>
    <cellStyle name="20% - Accent5 3 3" xfId="875" xr:uid="{00000000-0005-0000-0000-000008010000}"/>
    <cellStyle name="20% - Accent5 3 4" xfId="873" xr:uid="{00000000-0005-0000-0000-000009010000}"/>
    <cellStyle name="20% - Accent5 4" xfId="362" xr:uid="{00000000-0005-0000-0000-00000A010000}"/>
    <cellStyle name="20% - Accent5 4 2" xfId="552" xr:uid="{00000000-0005-0000-0000-00000B010000}"/>
    <cellStyle name="20% - Accent5 4 2 2" xfId="877" xr:uid="{00000000-0005-0000-0000-00000C010000}"/>
    <cellStyle name="20% - Accent5 4 3" xfId="878" xr:uid="{00000000-0005-0000-0000-00000D010000}"/>
    <cellStyle name="20% - Accent5 4 4" xfId="876" xr:uid="{00000000-0005-0000-0000-00000E010000}"/>
    <cellStyle name="20% - Accent5 4 5" xfId="37616" xr:uid="{00000000-0005-0000-0000-00000F010000}"/>
    <cellStyle name="20% - Accent5 5" xfId="423" xr:uid="{00000000-0005-0000-0000-000010010000}"/>
    <cellStyle name="20% - Accent5 5 2" xfId="879" xr:uid="{00000000-0005-0000-0000-000011010000}"/>
    <cellStyle name="20% - Accent5 5 3" xfId="880" xr:uid="{00000000-0005-0000-0000-000012010000}"/>
    <cellStyle name="20% - Accent5 6" xfId="458" xr:uid="{00000000-0005-0000-0000-000013010000}"/>
    <cellStyle name="20% - Accent5 6 2" xfId="881" xr:uid="{00000000-0005-0000-0000-000014010000}"/>
    <cellStyle name="20% - Accent5 6 3" xfId="882" xr:uid="{00000000-0005-0000-0000-000015010000}"/>
    <cellStyle name="20% - Accent5 7" xfId="621" xr:uid="{00000000-0005-0000-0000-000016010000}"/>
    <cellStyle name="20% - Accent5 7 2" xfId="883" xr:uid="{00000000-0005-0000-0000-000017010000}"/>
    <cellStyle name="20% - Accent5 7 3" xfId="884" xr:uid="{00000000-0005-0000-0000-000018010000}"/>
    <cellStyle name="20% - Accent5 8 2" xfId="885" xr:uid="{00000000-0005-0000-0000-000019010000}"/>
    <cellStyle name="20% - Accent5 8 3" xfId="886" xr:uid="{00000000-0005-0000-0000-00001A010000}"/>
    <cellStyle name="20% - Accent5 9 2" xfId="887" xr:uid="{00000000-0005-0000-0000-00001B010000}"/>
    <cellStyle name="20% - Accent5 9 3" xfId="888" xr:uid="{00000000-0005-0000-0000-00001C010000}"/>
    <cellStyle name="20% - Accent6" xfId="172" builtinId="50" customBuiltin="1"/>
    <cellStyle name="20% - Accent6 10 2" xfId="889" xr:uid="{00000000-0005-0000-0000-00001E010000}"/>
    <cellStyle name="20% - Accent6 10 3" xfId="890" xr:uid="{00000000-0005-0000-0000-00001F010000}"/>
    <cellStyle name="20% - Accent6 11 2" xfId="891" xr:uid="{00000000-0005-0000-0000-000020010000}"/>
    <cellStyle name="20% - Accent6 11 3" xfId="892" xr:uid="{00000000-0005-0000-0000-000021010000}"/>
    <cellStyle name="20% - Accent6 12 2" xfId="893" xr:uid="{00000000-0005-0000-0000-000022010000}"/>
    <cellStyle name="20% - Accent6 12 3" xfId="894" xr:uid="{00000000-0005-0000-0000-000023010000}"/>
    <cellStyle name="20% - Accent6 13 2" xfId="895" xr:uid="{00000000-0005-0000-0000-000024010000}"/>
    <cellStyle name="20% - Accent6 13 3" xfId="896" xr:uid="{00000000-0005-0000-0000-000025010000}"/>
    <cellStyle name="20% - Accent6 14 2" xfId="897" xr:uid="{00000000-0005-0000-0000-000026010000}"/>
    <cellStyle name="20% - Accent6 14 3" xfId="898" xr:uid="{00000000-0005-0000-0000-000027010000}"/>
    <cellStyle name="20% - Accent6 15" xfId="899" xr:uid="{00000000-0005-0000-0000-000028010000}"/>
    <cellStyle name="20% - Accent6 15 2" xfId="900" xr:uid="{00000000-0005-0000-0000-000029010000}"/>
    <cellStyle name="20% - Accent6 15 3" xfId="901" xr:uid="{00000000-0005-0000-0000-00002A010000}"/>
    <cellStyle name="20% - Accent6 15 4" xfId="902" xr:uid="{00000000-0005-0000-0000-00002B010000}"/>
    <cellStyle name="20% - Accent6 15 5" xfId="903" xr:uid="{00000000-0005-0000-0000-00002C010000}"/>
    <cellStyle name="20% - Accent6 15 6" xfId="904" xr:uid="{00000000-0005-0000-0000-00002D010000}"/>
    <cellStyle name="20% - Accent6 15 7" xfId="905" xr:uid="{00000000-0005-0000-0000-00002E010000}"/>
    <cellStyle name="20% - Accent6 16" xfId="906" xr:uid="{00000000-0005-0000-0000-00002F010000}"/>
    <cellStyle name="20% - Accent6 17" xfId="907" xr:uid="{00000000-0005-0000-0000-000030010000}"/>
    <cellStyle name="20% - Accent6 18" xfId="908" xr:uid="{00000000-0005-0000-0000-000031010000}"/>
    <cellStyle name="20% - Accent6 19" xfId="909" xr:uid="{00000000-0005-0000-0000-000032010000}"/>
    <cellStyle name="20% - Accent6 2" xfId="196" xr:uid="{00000000-0005-0000-0000-000033010000}"/>
    <cellStyle name="20% - Accent6 2 2" xfId="378" xr:uid="{00000000-0005-0000-0000-000034010000}"/>
    <cellStyle name="20% - Accent6 2 2 2" xfId="570" xr:uid="{00000000-0005-0000-0000-000035010000}"/>
    <cellStyle name="20% - Accent6 2 2 3" xfId="911" xr:uid="{00000000-0005-0000-0000-000036010000}"/>
    <cellStyle name="20% - Accent6 2 3" xfId="481" xr:uid="{00000000-0005-0000-0000-000037010000}"/>
    <cellStyle name="20% - Accent6 2 3 2" xfId="912" xr:uid="{00000000-0005-0000-0000-000038010000}"/>
    <cellStyle name="20% - Accent6 2 4" xfId="910" xr:uid="{00000000-0005-0000-0000-000039010000}"/>
    <cellStyle name="20% - Accent6 2 5" xfId="37617" xr:uid="{00000000-0005-0000-0000-00003A010000}"/>
    <cellStyle name="20% - Accent6 20" xfId="913" xr:uid="{00000000-0005-0000-0000-00003B010000}"/>
    <cellStyle name="20% - Accent6 21" xfId="914" xr:uid="{00000000-0005-0000-0000-00003C010000}"/>
    <cellStyle name="20% - Accent6 22" xfId="915" xr:uid="{00000000-0005-0000-0000-00003D010000}"/>
    <cellStyle name="20% - Accent6 3" xfId="344" xr:uid="{00000000-0005-0000-0000-00003E010000}"/>
    <cellStyle name="20% - Accent6 3 2" xfId="534" xr:uid="{00000000-0005-0000-0000-00003F010000}"/>
    <cellStyle name="20% - Accent6 3 2 2" xfId="917" xr:uid="{00000000-0005-0000-0000-000040010000}"/>
    <cellStyle name="20% - Accent6 3 3" xfId="918" xr:uid="{00000000-0005-0000-0000-000041010000}"/>
    <cellStyle name="20% - Accent6 3 4" xfId="916" xr:uid="{00000000-0005-0000-0000-000042010000}"/>
    <cellStyle name="20% - Accent6 4" xfId="364" xr:uid="{00000000-0005-0000-0000-000043010000}"/>
    <cellStyle name="20% - Accent6 4 2" xfId="554" xr:uid="{00000000-0005-0000-0000-000044010000}"/>
    <cellStyle name="20% - Accent6 4 2 2" xfId="920" xr:uid="{00000000-0005-0000-0000-000045010000}"/>
    <cellStyle name="20% - Accent6 4 3" xfId="921" xr:uid="{00000000-0005-0000-0000-000046010000}"/>
    <cellStyle name="20% - Accent6 4 4" xfId="919" xr:uid="{00000000-0005-0000-0000-000047010000}"/>
    <cellStyle name="20% - Accent6 4 5" xfId="37618" xr:uid="{00000000-0005-0000-0000-000048010000}"/>
    <cellStyle name="20% - Accent6 5" xfId="427" xr:uid="{00000000-0005-0000-0000-000049010000}"/>
    <cellStyle name="20% - Accent6 5 2" xfId="922" xr:uid="{00000000-0005-0000-0000-00004A010000}"/>
    <cellStyle name="20% - Accent6 5 3" xfId="923" xr:uid="{00000000-0005-0000-0000-00004B010000}"/>
    <cellStyle name="20% - Accent6 6" xfId="461" xr:uid="{00000000-0005-0000-0000-00004C010000}"/>
    <cellStyle name="20% - Accent6 6 2" xfId="924" xr:uid="{00000000-0005-0000-0000-00004D010000}"/>
    <cellStyle name="20% - Accent6 6 3" xfId="925" xr:uid="{00000000-0005-0000-0000-00004E010000}"/>
    <cellStyle name="20% - Accent6 7" xfId="622" xr:uid="{00000000-0005-0000-0000-00004F010000}"/>
    <cellStyle name="20% - Accent6 7 2" xfId="926" xr:uid="{00000000-0005-0000-0000-000050010000}"/>
    <cellStyle name="20% - Accent6 7 3" xfId="927" xr:uid="{00000000-0005-0000-0000-000051010000}"/>
    <cellStyle name="20% - Accent6 8 2" xfId="928" xr:uid="{00000000-0005-0000-0000-000052010000}"/>
    <cellStyle name="20% - Accent6 8 3" xfId="929" xr:uid="{00000000-0005-0000-0000-000053010000}"/>
    <cellStyle name="20% - Accent6 9 2" xfId="930" xr:uid="{00000000-0005-0000-0000-000054010000}"/>
    <cellStyle name="20% - Accent6 9 3" xfId="931" xr:uid="{00000000-0005-0000-0000-000055010000}"/>
    <cellStyle name="40% - Accent1" xfId="153" builtinId="31" customBuiltin="1"/>
    <cellStyle name="40% - Accent1 10 2" xfId="932" xr:uid="{00000000-0005-0000-0000-000057010000}"/>
    <cellStyle name="40% - Accent1 10 3" xfId="933" xr:uid="{00000000-0005-0000-0000-000058010000}"/>
    <cellStyle name="40% - Accent1 11 2" xfId="934" xr:uid="{00000000-0005-0000-0000-000059010000}"/>
    <cellStyle name="40% - Accent1 11 3" xfId="935" xr:uid="{00000000-0005-0000-0000-00005A010000}"/>
    <cellStyle name="40% - Accent1 12 2" xfId="936" xr:uid="{00000000-0005-0000-0000-00005B010000}"/>
    <cellStyle name="40% - Accent1 12 3" xfId="937" xr:uid="{00000000-0005-0000-0000-00005C010000}"/>
    <cellStyle name="40% - Accent1 13 2" xfId="938" xr:uid="{00000000-0005-0000-0000-00005D010000}"/>
    <cellStyle name="40% - Accent1 13 3" xfId="939" xr:uid="{00000000-0005-0000-0000-00005E010000}"/>
    <cellStyle name="40% - Accent1 14 2" xfId="940" xr:uid="{00000000-0005-0000-0000-00005F010000}"/>
    <cellStyle name="40% - Accent1 14 3" xfId="941" xr:uid="{00000000-0005-0000-0000-000060010000}"/>
    <cellStyle name="40% - Accent1 15" xfId="942" xr:uid="{00000000-0005-0000-0000-000061010000}"/>
    <cellStyle name="40% - Accent1 15 2" xfId="943" xr:uid="{00000000-0005-0000-0000-000062010000}"/>
    <cellStyle name="40% - Accent1 15 3" xfId="944" xr:uid="{00000000-0005-0000-0000-000063010000}"/>
    <cellStyle name="40% - Accent1 15 4" xfId="945" xr:uid="{00000000-0005-0000-0000-000064010000}"/>
    <cellStyle name="40% - Accent1 15 5" xfId="946" xr:uid="{00000000-0005-0000-0000-000065010000}"/>
    <cellStyle name="40% - Accent1 15 6" xfId="947" xr:uid="{00000000-0005-0000-0000-000066010000}"/>
    <cellStyle name="40% - Accent1 15 7" xfId="948" xr:uid="{00000000-0005-0000-0000-000067010000}"/>
    <cellStyle name="40% - Accent1 16" xfId="949" xr:uid="{00000000-0005-0000-0000-000068010000}"/>
    <cellStyle name="40% - Accent1 17" xfId="950" xr:uid="{00000000-0005-0000-0000-000069010000}"/>
    <cellStyle name="40% - Accent1 18" xfId="951" xr:uid="{00000000-0005-0000-0000-00006A010000}"/>
    <cellStyle name="40% - Accent1 19" xfId="952" xr:uid="{00000000-0005-0000-0000-00006B010000}"/>
    <cellStyle name="40% - Accent1 2" xfId="187" xr:uid="{00000000-0005-0000-0000-00006C010000}"/>
    <cellStyle name="40% - Accent1 2 2" xfId="369" xr:uid="{00000000-0005-0000-0000-00006D010000}"/>
    <cellStyle name="40% - Accent1 2 2 2" xfId="561" xr:uid="{00000000-0005-0000-0000-00006E010000}"/>
    <cellStyle name="40% - Accent1 2 2 3" xfId="954" xr:uid="{00000000-0005-0000-0000-00006F010000}"/>
    <cellStyle name="40% - Accent1 2 3" xfId="472" xr:uid="{00000000-0005-0000-0000-000070010000}"/>
    <cellStyle name="40% - Accent1 2 3 2" xfId="955" xr:uid="{00000000-0005-0000-0000-000071010000}"/>
    <cellStyle name="40% - Accent1 2 4" xfId="953" xr:uid="{00000000-0005-0000-0000-000072010000}"/>
    <cellStyle name="40% - Accent1 2 5" xfId="37619" xr:uid="{00000000-0005-0000-0000-000073010000}"/>
    <cellStyle name="40% - Accent1 20" xfId="956" xr:uid="{00000000-0005-0000-0000-000074010000}"/>
    <cellStyle name="40% - Accent1 21" xfId="957" xr:uid="{00000000-0005-0000-0000-000075010000}"/>
    <cellStyle name="40% - Accent1 22" xfId="958" xr:uid="{00000000-0005-0000-0000-000076010000}"/>
    <cellStyle name="40% - Accent1 3" xfId="335" xr:uid="{00000000-0005-0000-0000-000077010000}"/>
    <cellStyle name="40% - Accent1 3 2" xfId="525" xr:uid="{00000000-0005-0000-0000-000078010000}"/>
    <cellStyle name="40% - Accent1 3 2 2" xfId="960" xr:uid="{00000000-0005-0000-0000-000079010000}"/>
    <cellStyle name="40% - Accent1 3 3" xfId="961" xr:uid="{00000000-0005-0000-0000-00007A010000}"/>
    <cellStyle name="40% - Accent1 3 4" xfId="959" xr:uid="{00000000-0005-0000-0000-00007B010000}"/>
    <cellStyle name="40% - Accent1 4" xfId="355" xr:uid="{00000000-0005-0000-0000-00007C010000}"/>
    <cellStyle name="40% - Accent1 4 2" xfId="545" xr:uid="{00000000-0005-0000-0000-00007D010000}"/>
    <cellStyle name="40% - Accent1 4 2 2" xfId="963" xr:uid="{00000000-0005-0000-0000-00007E010000}"/>
    <cellStyle name="40% - Accent1 4 3" xfId="964" xr:uid="{00000000-0005-0000-0000-00007F010000}"/>
    <cellStyle name="40% - Accent1 4 4" xfId="962" xr:uid="{00000000-0005-0000-0000-000080010000}"/>
    <cellStyle name="40% - Accent1 4 5" xfId="37620" xr:uid="{00000000-0005-0000-0000-000081010000}"/>
    <cellStyle name="40% - Accent1 5" xfId="408" xr:uid="{00000000-0005-0000-0000-000082010000}"/>
    <cellStyle name="40% - Accent1 5 2" xfId="965" xr:uid="{00000000-0005-0000-0000-000083010000}"/>
    <cellStyle name="40% - Accent1 5 3" xfId="966" xr:uid="{00000000-0005-0000-0000-000084010000}"/>
    <cellStyle name="40% - Accent1 6" xfId="446" xr:uid="{00000000-0005-0000-0000-000085010000}"/>
    <cellStyle name="40% - Accent1 6 2" xfId="967" xr:uid="{00000000-0005-0000-0000-000086010000}"/>
    <cellStyle name="40% - Accent1 6 3" xfId="968" xr:uid="{00000000-0005-0000-0000-000087010000}"/>
    <cellStyle name="40% - Accent1 7" xfId="623" xr:uid="{00000000-0005-0000-0000-000088010000}"/>
    <cellStyle name="40% - Accent1 7 2" xfId="969" xr:uid="{00000000-0005-0000-0000-000089010000}"/>
    <cellStyle name="40% - Accent1 7 3" xfId="970" xr:uid="{00000000-0005-0000-0000-00008A010000}"/>
    <cellStyle name="40% - Accent1 8 2" xfId="971" xr:uid="{00000000-0005-0000-0000-00008B010000}"/>
    <cellStyle name="40% - Accent1 8 3" xfId="972" xr:uid="{00000000-0005-0000-0000-00008C010000}"/>
    <cellStyle name="40% - Accent1 9 2" xfId="973" xr:uid="{00000000-0005-0000-0000-00008D010000}"/>
    <cellStyle name="40% - Accent1 9 3" xfId="974" xr:uid="{00000000-0005-0000-0000-00008E010000}"/>
    <cellStyle name="40% - Accent2" xfId="157" builtinId="35" customBuiltin="1"/>
    <cellStyle name="40% - Accent2 10 2" xfId="975" xr:uid="{00000000-0005-0000-0000-000090010000}"/>
    <cellStyle name="40% - Accent2 10 3" xfId="976" xr:uid="{00000000-0005-0000-0000-000091010000}"/>
    <cellStyle name="40% - Accent2 11 2" xfId="977" xr:uid="{00000000-0005-0000-0000-000092010000}"/>
    <cellStyle name="40% - Accent2 11 3" xfId="978" xr:uid="{00000000-0005-0000-0000-000093010000}"/>
    <cellStyle name="40% - Accent2 12 2" xfId="979" xr:uid="{00000000-0005-0000-0000-000094010000}"/>
    <cellStyle name="40% - Accent2 12 3" xfId="980" xr:uid="{00000000-0005-0000-0000-000095010000}"/>
    <cellStyle name="40% - Accent2 13 2" xfId="981" xr:uid="{00000000-0005-0000-0000-000096010000}"/>
    <cellStyle name="40% - Accent2 13 3" xfId="982" xr:uid="{00000000-0005-0000-0000-000097010000}"/>
    <cellStyle name="40% - Accent2 14 2" xfId="983" xr:uid="{00000000-0005-0000-0000-000098010000}"/>
    <cellStyle name="40% - Accent2 14 3" xfId="984" xr:uid="{00000000-0005-0000-0000-000099010000}"/>
    <cellStyle name="40% - Accent2 15" xfId="985" xr:uid="{00000000-0005-0000-0000-00009A010000}"/>
    <cellStyle name="40% - Accent2 15 2" xfId="986" xr:uid="{00000000-0005-0000-0000-00009B010000}"/>
    <cellStyle name="40% - Accent2 15 3" xfId="987" xr:uid="{00000000-0005-0000-0000-00009C010000}"/>
    <cellStyle name="40% - Accent2 15 4" xfId="988" xr:uid="{00000000-0005-0000-0000-00009D010000}"/>
    <cellStyle name="40% - Accent2 15 5" xfId="989" xr:uid="{00000000-0005-0000-0000-00009E010000}"/>
    <cellStyle name="40% - Accent2 15 6" xfId="990" xr:uid="{00000000-0005-0000-0000-00009F010000}"/>
    <cellStyle name="40% - Accent2 15 7" xfId="991" xr:uid="{00000000-0005-0000-0000-0000A0010000}"/>
    <cellStyle name="40% - Accent2 16" xfId="992" xr:uid="{00000000-0005-0000-0000-0000A1010000}"/>
    <cellStyle name="40% - Accent2 17" xfId="993" xr:uid="{00000000-0005-0000-0000-0000A2010000}"/>
    <cellStyle name="40% - Accent2 18" xfId="994" xr:uid="{00000000-0005-0000-0000-0000A3010000}"/>
    <cellStyle name="40% - Accent2 19" xfId="995" xr:uid="{00000000-0005-0000-0000-0000A4010000}"/>
    <cellStyle name="40% - Accent2 2" xfId="189" xr:uid="{00000000-0005-0000-0000-0000A5010000}"/>
    <cellStyle name="40% - Accent2 2 2" xfId="371" xr:uid="{00000000-0005-0000-0000-0000A6010000}"/>
    <cellStyle name="40% - Accent2 2 2 2" xfId="563" xr:uid="{00000000-0005-0000-0000-0000A7010000}"/>
    <cellStyle name="40% - Accent2 2 2 3" xfId="997" xr:uid="{00000000-0005-0000-0000-0000A8010000}"/>
    <cellStyle name="40% - Accent2 2 3" xfId="474" xr:uid="{00000000-0005-0000-0000-0000A9010000}"/>
    <cellStyle name="40% - Accent2 2 3 2" xfId="998" xr:uid="{00000000-0005-0000-0000-0000AA010000}"/>
    <cellStyle name="40% - Accent2 2 4" xfId="996" xr:uid="{00000000-0005-0000-0000-0000AB010000}"/>
    <cellStyle name="40% - Accent2 2 5" xfId="37621" xr:uid="{00000000-0005-0000-0000-0000AC010000}"/>
    <cellStyle name="40% - Accent2 20" xfId="999" xr:uid="{00000000-0005-0000-0000-0000AD010000}"/>
    <cellStyle name="40% - Accent2 21" xfId="1000" xr:uid="{00000000-0005-0000-0000-0000AE010000}"/>
    <cellStyle name="40% - Accent2 22" xfId="1001" xr:uid="{00000000-0005-0000-0000-0000AF010000}"/>
    <cellStyle name="40% - Accent2 3" xfId="337" xr:uid="{00000000-0005-0000-0000-0000B0010000}"/>
    <cellStyle name="40% - Accent2 3 2" xfId="527" xr:uid="{00000000-0005-0000-0000-0000B1010000}"/>
    <cellStyle name="40% - Accent2 3 2 2" xfId="1003" xr:uid="{00000000-0005-0000-0000-0000B2010000}"/>
    <cellStyle name="40% - Accent2 3 3" xfId="1004" xr:uid="{00000000-0005-0000-0000-0000B3010000}"/>
    <cellStyle name="40% - Accent2 3 4" xfId="1002" xr:uid="{00000000-0005-0000-0000-0000B4010000}"/>
    <cellStyle name="40% - Accent2 4" xfId="357" xr:uid="{00000000-0005-0000-0000-0000B5010000}"/>
    <cellStyle name="40% - Accent2 4 2" xfId="547" xr:uid="{00000000-0005-0000-0000-0000B6010000}"/>
    <cellStyle name="40% - Accent2 4 2 2" xfId="1006" xr:uid="{00000000-0005-0000-0000-0000B7010000}"/>
    <cellStyle name="40% - Accent2 4 3" xfId="1007" xr:uid="{00000000-0005-0000-0000-0000B8010000}"/>
    <cellStyle name="40% - Accent2 4 4" xfId="1005" xr:uid="{00000000-0005-0000-0000-0000B9010000}"/>
    <cellStyle name="40% - Accent2 4 5" xfId="37622" xr:uid="{00000000-0005-0000-0000-0000BA010000}"/>
    <cellStyle name="40% - Accent2 5" xfId="412" xr:uid="{00000000-0005-0000-0000-0000BB010000}"/>
    <cellStyle name="40% - Accent2 5 2" xfId="1008" xr:uid="{00000000-0005-0000-0000-0000BC010000}"/>
    <cellStyle name="40% - Accent2 5 3" xfId="1009" xr:uid="{00000000-0005-0000-0000-0000BD010000}"/>
    <cellStyle name="40% - Accent2 6" xfId="450" xr:uid="{00000000-0005-0000-0000-0000BE010000}"/>
    <cellStyle name="40% - Accent2 6 2" xfId="1010" xr:uid="{00000000-0005-0000-0000-0000BF010000}"/>
    <cellStyle name="40% - Accent2 6 3" xfId="1011" xr:uid="{00000000-0005-0000-0000-0000C0010000}"/>
    <cellStyle name="40% - Accent2 7" xfId="624" xr:uid="{00000000-0005-0000-0000-0000C1010000}"/>
    <cellStyle name="40% - Accent2 7 2" xfId="1012" xr:uid="{00000000-0005-0000-0000-0000C2010000}"/>
    <cellStyle name="40% - Accent2 7 3" xfId="1013" xr:uid="{00000000-0005-0000-0000-0000C3010000}"/>
    <cellStyle name="40% - Accent2 8 2" xfId="1014" xr:uid="{00000000-0005-0000-0000-0000C4010000}"/>
    <cellStyle name="40% - Accent2 8 3" xfId="1015" xr:uid="{00000000-0005-0000-0000-0000C5010000}"/>
    <cellStyle name="40% - Accent2 9 2" xfId="1016" xr:uid="{00000000-0005-0000-0000-0000C6010000}"/>
    <cellStyle name="40% - Accent2 9 3" xfId="1017" xr:uid="{00000000-0005-0000-0000-0000C7010000}"/>
    <cellStyle name="40% - Accent3" xfId="161" builtinId="39" customBuiltin="1"/>
    <cellStyle name="40% - Accent3 10 2" xfId="1018" xr:uid="{00000000-0005-0000-0000-0000C9010000}"/>
    <cellStyle name="40% - Accent3 10 3" xfId="1019" xr:uid="{00000000-0005-0000-0000-0000CA010000}"/>
    <cellStyle name="40% - Accent3 11 2" xfId="1020" xr:uid="{00000000-0005-0000-0000-0000CB010000}"/>
    <cellStyle name="40% - Accent3 11 3" xfId="1021" xr:uid="{00000000-0005-0000-0000-0000CC010000}"/>
    <cellStyle name="40% - Accent3 12 2" xfId="1022" xr:uid="{00000000-0005-0000-0000-0000CD010000}"/>
    <cellStyle name="40% - Accent3 12 3" xfId="1023" xr:uid="{00000000-0005-0000-0000-0000CE010000}"/>
    <cellStyle name="40% - Accent3 13 2" xfId="1024" xr:uid="{00000000-0005-0000-0000-0000CF010000}"/>
    <cellStyle name="40% - Accent3 13 3" xfId="1025" xr:uid="{00000000-0005-0000-0000-0000D0010000}"/>
    <cellStyle name="40% - Accent3 14 2" xfId="1026" xr:uid="{00000000-0005-0000-0000-0000D1010000}"/>
    <cellStyle name="40% - Accent3 14 3" xfId="1027" xr:uid="{00000000-0005-0000-0000-0000D2010000}"/>
    <cellStyle name="40% - Accent3 15" xfId="1028" xr:uid="{00000000-0005-0000-0000-0000D3010000}"/>
    <cellStyle name="40% - Accent3 15 2" xfId="1029" xr:uid="{00000000-0005-0000-0000-0000D4010000}"/>
    <cellStyle name="40% - Accent3 15 3" xfId="1030" xr:uid="{00000000-0005-0000-0000-0000D5010000}"/>
    <cellStyle name="40% - Accent3 15 4" xfId="1031" xr:uid="{00000000-0005-0000-0000-0000D6010000}"/>
    <cellStyle name="40% - Accent3 15 5" xfId="1032" xr:uid="{00000000-0005-0000-0000-0000D7010000}"/>
    <cellStyle name="40% - Accent3 15 6" xfId="1033" xr:uid="{00000000-0005-0000-0000-0000D8010000}"/>
    <cellStyle name="40% - Accent3 15 7" xfId="1034" xr:uid="{00000000-0005-0000-0000-0000D9010000}"/>
    <cellStyle name="40% - Accent3 16" xfId="1035" xr:uid="{00000000-0005-0000-0000-0000DA010000}"/>
    <cellStyle name="40% - Accent3 17" xfId="1036" xr:uid="{00000000-0005-0000-0000-0000DB010000}"/>
    <cellStyle name="40% - Accent3 18" xfId="1037" xr:uid="{00000000-0005-0000-0000-0000DC010000}"/>
    <cellStyle name="40% - Accent3 19" xfId="1038" xr:uid="{00000000-0005-0000-0000-0000DD010000}"/>
    <cellStyle name="40% - Accent3 2" xfId="191" xr:uid="{00000000-0005-0000-0000-0000DE010000}"/>
    <cellStyle name="40% - Accent3 2 2" xfId="373" xr:uid="{00000000-0005-0000-0000-0000DF010000}"/>
    <cellStyle name="40% - Accent3 2 2 2" xfId="565" xr:uid="{00000000-0005-0000-0000-0000E0010000}"/>
    <cellStyle name="40% - Accent3 2 2 3" xfId="1040" xr:uid="{00000000-0005-0000-0000-0000E1010000}"/>
    <cellStyle name="40% - Accent3 2 3" xfId="476" xr:uid="{00000000-0005-0000-0000-0000E2010000}"/>
    <cellStyle name="40% - Accent3 2 3 2" xfId="1041" xr:uid="{00000000-0005-0000-0000-0000E3010000}"/>
    <cellStyle name="40% - Accent3 2 4" xfId="1039" xr:uid="{00000000-0005-0000-0000-0000E4010000}"/>
    <cellStyle name="40% - Accent3 2 5" xfId="37623" xr:uid="{00000000-0005-0000-0000-0000E5010000}"/>
    <cellStyle name="40% - Accent3 20" xfId="1042" xr:uid="{00000000-0005-0000-0000-0000E6010000}"/>
    <cellStyle name="40% - Accent3 21" xfId="1043" xr:uid="{00000000-0005-0000-0000-0000E7010000}"/>
    <cellStyle name="40% - Accent3 22" xfId="1044" xr:uid="{00000000-0005-0000-0000-0000E8010000}"/>
    <cellStyle name="40% - Accent3 3" xfId="339" xr:uid="{00000000-0005-0000-0000-0000E9010000}"/>
    <cellStyle name="40% - Accent3 3 2" xfId="529" xr:uid="{00000000-0005-0000-0000-0000EA010000}"/>
    <cellStyle name="40% - Accent3 3 2 2" xfId="1046" xr:uid="{00000000-0005-0000-0000-0000EB010000}"/>
    <cellStyle name="40% - Accent3 3 3" xfId="1047" xr:uid="{00000000-0005-0000-0000-0000EC010000}"/>
    <cellStyle name="40% - Accent3 3 4" xfId="1045" xr:uid="{00000000-0005-0000-0000-0000ED010000}"/>
    <cellStyle name="40% - Accent3 4" xfId="359" xr:uid="{00000000-0005-0000-0000-0000EE010000}"/>
    <cellStyle name="40% - Accent3 4 2" xfId="549" xr:uid="{00000000-0005-0000-0000-0000EF010000}"/>
    <cellStyle name="40% - Accent3 4 2 2" xfId="1049" xr:uid="{00000000-0005-0000-0000-0000F0010000}"/>
    <cellStyle name="40% - Accent3 4 3" xfId="1050" xr:uid="{00000000-0005-0000-0000-0000F1010000}"/>
    <cellStyle name="40% - Accent3 4 4" xfId="1048" xr:uid="{00000000-0005-0000-0000-0000F2010000}"/>
    <cellStyle name="40% - Accent3 4 5" xfId="37624" xr:uid="{00000000-0005-0000-0000-0000F3010000}"/>
    <cellStyle name="40% - Accent3 5" xfId="416" xr:uid="{00000000-0005-0000-0000-0000F4010000}"/>
    <cellStyle name="40% - Accent3 5 2" xfId="1051" xr:uid="{00000000-0005-0000-0000-0000F5010000}"/>
    <cellStyle name="40% - Accent3 5 3" xfId="1052" xr:uid="{00000000-0005-0000-0000-0000F6010000}"/>
    <cellStyle name="40% - Accent3 6" xfId="452" xr:uid="{00000000-0005-0000-0000-0000F7010000}"/>
    <cellStyle name="40% - Accent3 6 2" xfId="1053" xr:uid="{00000000-0005-0000-0000-0000F8010000}"/>
    <cellStyle name="40% - Accent3 6 3" xfId="1054" xr:uid="{00000000-0005-0000-0000-0000F9010000}"/>
    <cellStyle name="40% - Accent3 7" xfId="625" xr:uid="{00000000-0005-0000-0000-0000FA010000}"/>
    <cellStyle name="40% - Accent3 7 2" xfId="1055" xr:uid="{00000000-0005-0000-0000-0000FB010000}"/>
    <cellStyle name="40% - Accent3 7 3" xfId="1056" xr:uid="{00000000-0005-0000-0000-0000FC010000}"/>
    <cellStyle name="40% - Accent3 8 2" xfId="1057" xr:uid="{00000000-0005-0000-0000-0000FD010000}"/>
    <cellStyle name="40% - Accent3 8 3" xfId="1058" xr:uid="{00000000-0005-0000-0000-0000FE010000}"/>
    <cellStyle name="40% - Accent3 9 2" xfId="1059" xr:uid="{00000000-0005-0000-0000-0000FF010000}"/>
    <cellStyle name="40% - Accent3 9 3" xfId="1060" xr:uid="{00000000-0005-0000-0000-000000020000}"/>
    <cellStyle name="40% - Accent4" xfId="165" builtinId="43" customBuiltin="1"/>
    <cellStyle name="40% - Accent4 10 2" xfId="1061" xr:uid="{00000000-0005-0000-0000-000002020000}"/>
    <cellStyle name="40% - Accent4 10 3" xfId="1062" xr:uid="{00000000-0005-0000-0000-000003020000}"/>
    <cellStyle name="40% - Accent4 11 2" xfId="1063" xr:uid="{00000000-0005-0000-0000-000004020000}"/>
    <cellStyle name="40% - Accent4 11 3" xfId="1064" xr:uid="{00000000-0005-0000-0000-000005020000}"/>
    <cellStyle name="40% - Accent4 12 2" xfId="1065" xr:uid="{00000000-0005-0000-0000-000006020000}"/>
    <cellStyle name="40% - Accent4 12 3" xfId="1066" xr:uid="{00000000-0005-0000-0000-000007020000}"/>
    <cellStyle name="40% - Accent4 13 2" xfId="1067" xr:uid="{00000000-0005-0000-0000-000008020000}"/>
    <cellStyle name="40% - Accent4 13 3" xfId="1068" xr:uid="{00000000-0005-0000-0000-000009020000}"/>
    <cellStyle name="40% - Accent4 14 2" xfId="1069" xr:uid="{00000000-0005-0000-0000-00000A020000}"/>
    <cellStyle name="40% - Accent4 14 3" xfId="1070" xr:uid="{00000000-0005-0000-0000-00000B020000}"/>
    <cellStyle name="40% - Accent4 15" xfId="1071" xr:uid="{00000000-0005-0000-0000-00000C020000}"/>
    <cellStyle name="40% - Accent4 15 2" xfId="1072" xr:uid="{00000000-0005-0000-0000-00000D020000}"/>
    <cellStyle name="40% - Accent4 15 3" xfId="1073" xr:uid="{00000000-0005-0000-0000-00000E020000}"/>
    <cellStyle name="40% - Accent4 15 4" xfId="1074" xr:uid="{00000000-0005-0000-0000-00000F020000}"/>
    <cellStyle name="40% - Accent4 15 5" xfId="1075" xr:uid="{00000000-0005-0000-0000-000010020000}"/>
    <cellStyle name="40% - Accent4 15 6" xfId="1076" xr:uid="{00000000-0005-0000-0000-000011020000}"/>
    <cellStyle name="40% - Accent4 15 7" xfId="1077" xr:uid="{00000000-0005-0000-0000-000012020000}"/>
    <cellStyle name="40% - Accent4 16" xfId="1078" xr:uid="{00000000-0005-0000-0000-000013020000}"/>
    <cellStyle name="40% - Accent4 17" xfId="1079" xr:uid="{00000000-0005-0000-0000-000014020000}"/>
    <cellStyle name="40% - Accent4 18" xfId="1080" xr:uid="{00000000-0005-0000-0000-000015020000}"/>
    <cellStyle name="40% - Accent4 19" xfId="1081" xr:uid="{00000000-0005-0000-0000-000016020000}"/>
    <cellStyle name="40% - Accent4 2" xfId="193" xr:uid="{00000000-0005-0000-0000-000017020000}"/>
    <cellStyle name="40% - Accent4 2 2" xfId="375" xr:uid="{00000000-0005-0000-0000-000018020000}"/>
    <cellStyle name="40% - Accent4 2 2 2" xfId="567" xr:uid="{00000000-0005-0000-0000-000019020000}"/>
    <cellStyle name="40% - Accent4 2 2 3" xfId="1083" xr:uid="{00000000-0005-0000-0000-00001A020000}"/>
    <cellStyle name="40% - Accent4 2 3" xfId="478" xr:uid="{00000000-0005-0000-0000-00001B020000}"/>
    <cellStyle name="40% - Accent4 2 3 2" xfId="1084" xr:uid="{00000000-0005-0000-0000-00001C020000}"/>
    <cellStyle name="40% - Accent4 2 4" xfId="1082" xr:uid="{00000000-0005-0000-0000-00001D020000}"/>
    <cellStyle name="40% - Accent4 2 5" xfId="37625" xr:uid="{00000000-0005-0000-0000-00001E020000}"/>
    <cellStyle name="40% - Accent4 20" xfId="1085" xr:uid="{00000000-0005-0000-0000-00001F020000}"/>
    <cellStyle name="40% - Accent4 21" xfId="1086" xr:uid="{00000000-0005-0000-0000-000020020000}"/>
    <cellStyle name="40% - Accent4 22" xfId="1087" xr:uid="{00000000-0005-0000-0000-000021020000}"/>
    <cellStyle name="40% - Accent4 3" xfId="341" xr:uid="{00000000-0005-0000-0000-000022020000}"/>
    <cellStyle name="40% - Accent4 3 2" xfId="531" xr:uid="{00000000-0005-0000-0000-000023020000}"/>
    <cellStyle name="40% - Accent4 3 2 2" xfId="1089" xr:uid="{00000000-0005-0000-0000-000024020000}"/>
    <cellStyle name="40% - Accent4 3 3" xfId="1090" xr:uid="{00000000-0005-0000-0000-000025020000}"/>
    <cellStyle name="40% - Accent4 3 4" xfId="1088" xr:uid="{00000000-0005-0000-0000-000026020000}"/>
    <cellStyle name="40% - Accent4 4" xfId="361" xr:uid="{00000000-0005-0000-0000-000027020000}"/>
    <cellStyle name="40% - Accent4 4 2" xfId="551" xr:uid="{00000000-0005-0000-0000-000028020000}"/>
    <cellStyle name="40% - Accent4 4 2 2" xfId="1092" xr:uid="{00000000-0005-0000-0000-000029020000}"/>
    <cellStyle name="40% - Accent4 4 3" xfId="1093" xr:uid="{00000000-0005-0000-0000-00002A020000}"/>
    <cellStyle name="40% - Accent4 4 4" xfId="1091" xr:uid="{00000000-0005-0000-0000-00002B020000}"/>
    <cellStyle name="40% - Accent4 4 5" xfId="37626" xr:uid="{00000000-0005-0000-0000-00002C020000}"/>
    <cellStyle name="40% - Accent4 5" xfId="420" xr:uid="{00000000-0005-0000-0000-00002D020000}"/>
    <cellStyle name="40% - Accent4 5 2" xfId="1094" xr:uid="{00000000-0005-0000-0000-00002E020000}"/>
    <cellStyle name="40% - Accent4 5 3" xfId="1095" xr:uid="{00000000-0005-0000-0000-00002F020000}"/>
    <cellStyle name="40% - Accent4 6" xfId="456" xr:uid="{00000000-0005-0000-0000-000030020000}"/>
    <cellStyle name="40% - Accent4 6 2" xfId="1096" xr:uid="{00000000-0005-0000-0000-000031020000}"/>
    <cellStyle name="40% - Accent4 6 3" xfId="1097" xr:uid="{00000000-0005-0000-0000-000032020000}"/>
    <cellStyle name="40% - Accent4 7" xfId="626" xr:uid="{00000000-0005-0000-0000-000033020000}"/>
    <cellStyle name="40% - Accent4 7 2" xfId="1098" xr:uid="{00000000-0005-0000-0000-000034020000}"/>
    <cellStyle name="40% - Accent4 7 3" xfId="1099" xr:uid="{00000000-0005-0000-0000-000035020000}"/>
    <cellStyle name="40% - Accent4 8 2" xfId="1100" xr:uid="{00000000-0005-0000-0000-000036020000}"/>
    <cellStyle name="40% - Accent4 8 3" xfId="1101" xr:uid="{00000000-0005-0000-0000-000037020000}"/>
    <cellStyle name="40% - Accent4 9 2" xfId="1102" xr:uid="{00000000-0005-0000-0000-000038020000}"/>
    <cellStyle name="40% - Accent4 9 3" xfId="1103" xr:uid="{00000000-0005-0000-0000-000039020000}"/>
    <cellStyle name="40% - Accent5" xfId="169" builtinId="47" customBuiltin="1"/>
    <cellStyle name="40% - Accent5 10 2" xfId="1104" xr:uid="{00000000-0005-0000-0000-00003B020000}"/>
    <cellStyle name="40% - Accent5 10 3" xfId="1105" xr:uid="{00000000-0005-0000-0000-00003C020000}"/>
    <cellStyle name="40% - Accent5 11 2" xfId="1106" xr:uid="{00000000-0005-0000-0000-00003D020000}"/>
    <cellStyle name="40% - Accent5 11 3" xfId="1107" xr:uid="{00000000-0005-0000-0000-00003E020000}"/>
    <cellStyle name="40% - Accent5 12 2" xfId="1108" xr:uid="{00000000-0005-0000-0000-00003F020000}"/>
    <cellStyle name="40% - Accent5 12 3" xfId="1109" xr:uid="{00000000-0005-0000-0000-000040020000}"/>
    <cellStyle name="40% - Accent5 13 2" xfId="1110" xr:uid="{00000000-0005-0000-0000-000041020000}"/>
    <cellStyle name="40% - Accent5 13 3" xfId="1111" xr:uid="{00000000-0005-0000-0000-000042020000}"/>
    <cellStyle name="40% - Accent5 14 2" xfId="1112" xr:uid="{00000000-0005-0000-0000-000043020000}"/>
    <cellStyle name="40% - Accent5 14 3" xfId="1113" xr:uid="{00000000-0005-0000-0000-000044020000}"/>
    <cellStyle name="40% - Accent5 15" xfId="1114" xr:uid="{00000000-0005-0000-0000-000045020000}"/>
    <cellStyle name="40% - Accent5 15 2" xfId="1115" xr:uid="{00000000-0005-0000-0000-000046020000}"/>
    <cellStyle name="40% - Accent5 15 3" xfId="1116" xr:uid="{00000000-0005-0000-0000-000047020000}"/>
    <cellStyle name="40% - Accent5 15 4" xfId="1117" xr:uid="{00000000-0005-0000-0000-000048020000}"/>
    <cellStyle name="40% - Accent5 15 5" xfId="1118" xr:uid="{00000000-0005-0000-0000-000049020000}"/>
    <cellStyle name="40% - Accent5 15 6" xfId="1119" xr:uid="{00000000-0005-0000-0000-00004A020000}"/>
    <cellStyle name="40% - Accent5 15 7" xfId="1120" xr:uid="{00000000-0005-0000-0000-00004B020000}"/>
    <cellStyle name="40% - Accent5 16" xfId="1121" xr:uid="{00000000-0005-0000-0000-00004C020000}"/>
    <cellStyle name="40% - Accent5 17" xfId="1122" xr:uid="{00000000-0005-0000-0000-00004D020000}"/>
    <cellStyle name="40% - Accent5 18" xfId="1123" xr:uid="{00000000-0005-0000-0000-00004E020000}"/>
    <cellStyle name="40% - Accent5 19" xfId="1124" xr:uid="{00000000-0005-0000-0000-00004F020000}"/>
    <cellStyle name="40% - Accent5 2" xfId="195" xr:uid="{00000000-0005-0000-0000-000050020000}"/>
    <cellStyle name="40% - Accent5 2 2" xfId="377" xr:uid="{00000000-0005-0000-0000-000051020000}"/>
    <cellStyle name="40% - Accent5 2 2 2" xfId="569" xr:uid="{00000000-0005-0000-0000-000052020000}"/>
    <cellStyle name="40% - Accent5 2 2 3" xfId="1126" xr:uid="{00000000-0005-0000-0000-000053020000}"/>
    <cellStyle name="40% - Accent5 2 3" xfId="480" xr:uid="{00000000-0005-0000-0000-000054020000}"/>
    <cellStyle name="40% - Accent5 2 3 2" xfId="1127" xr:uid="{00000000-0005-0000-0000-000055020000}"/>
    <cellStyle name="40% - Accent5 2 4" xfId="1125" xr:uid="{00000000-0005-0000-0000-000056020000}"/>
    <cellStyle name="40% - Accent5 2 5" xfId="37627" xr:uid="{00000000-0005-0000-0000-000057020000}"/>
    <cellStyle name="40% - Accent5 20" xfId="1128" xr:uid="{00000000-0005-0000-0000-000058020000}"/>
    <cellStyle name="40% - Accent5 21" xfId="1129" xr:uid="{00000000-0005-0000-0000-000059020000}"/>
    <cellStyle name="40% - Accent5 22" xfId="1130" xr:uid="{00000000-0005-0000-0000-00005A020000}"/>
    <cellStyle name="40% - Accent5 3" xfId="343" xr:uid="{00000000-0005-0000-0000-00005B020000}"/>
    <cellStyle name="40% - Accent5 3 2" xfId="533" xr:uid="{00000000-0005-0000-0000-00005C020000}"/>
    <cellStyle name="40% - Accent5 3 2 2" xfId="1132" xr:uid="{00000000-0005-0000-0000-00005D020000}"/>
    <cellStyle name="40% - Accent5 3 3" xfId="1133" xr:uid="{00000000-0005-0000-0000-00005E020000}"/>
    <cellStyle name="40% - Accent5 3 4" xfId="1131" xr:uid="{00000000-0005-0000-0000-00005F020000}"/>
    <cellStyle name="40% - Accent5 4" xfId="363" xr:uid="{00000000-0005-0000-0000-000060020000}"/>
    <cellStyle name="40% - Accent5 4 2" xfId="553" xr:uid="{00000000-0005-0000-0000-000061020000}"/>
    <cellStyle name="40% - Accent5 4 2 2" xfId="1135" xr:uid="{00000000-0005-0000-0000-000062020000}"/>
    <cellStyle name="40% - Accent5 4 3" xfId="1136" xr:uid="{00000000-0005-0000-0000-000063020000}"/>
    <cellStyle name="40% - Accent5 4 4" xfId="1134" xr:uid="{00000000-0005-0000-0000-000064020000}"/>
    <cellStyle name="40% - Accent5 4 5" xfId="37628" xr:uid="{00000000-0005-0000-0000-000065020000}"/>
    <cellStyle name="40% - Accent5 5" xfId="424" xr:uid="{00000000-0005-0000-0000-000066020000}"/>
    <cellStyle name="40% - Accent5 5 2" xfId="1137" xr:uid="{00000000-0005-0000-0000-000067020000}"/>
    <cellStyle name="40% - Accent5 5 3" xfId="1138" xr:uid="{00000000-0005-0000-0000-000068020000}"/>
    <cellStyle name="40% - Accent5 6" xfId="459" xr:uid="{00000000-0005-0000-0000-000069020000}"/>
    <cellStyle name="40% - Accent5 6 2" xfId="1139" xr:uid="{00000000-0005-0000-0000-00006A020000}"/>
    <cellStyle name="40% - Accent5 6 3" xfId="1140" xr:uid="{00000000-0005-0000-0000-00006B020000}"/>
    <cellStyle name="40% - Accent5 7" xfId="627" xr:uid="{00000000-0005-0000-0000-00006C020000}"/>
    <cellStyle name="40% - Accent5 7 2" xfId="1141" xr:uid="{00000000-0005-0000-0000-00006D020000}"/>
    <cellStyle name="40% - Accent5 7 3" xfId="1142" xr:uid="{00000000-0005-0000-0000-00006E020000}"/>
    <cellStyle name="40% - Accent5 8 2" xfId="1143" xr:uid="{00000000-0005-0000-0000-00006F020000}"/>
    <cellStyle name="40% - Accent5 8 3" xfId="1144" xr:uid="{00000000-0005-0000-0000-000070020000}"/>
    <cellStyle name="40% - Accent5 9 2" xfId="1145" xr:uid="{00000000-0005-0000-0000-000071020000}"/>
    <cellStyle name="40% - Accent5 9 3" xfId="1146" xr:uid="{00000000-0005-0000-0000-000072020000}"/>
    <cellStyle name="40% - Accent6" xfId="173" builtinId="51" customBuiltin="1"/>
    <cellStyle name="40% - Accent6 10 2" xfId="1147" xr:uid="{00000000-0005-0000-0000-000074020000}"/>
    <cellStyle name="40% - Accent6 10 3" xfId="1148" xr:uid="{00000000-0005-0000-0000-000075020000}"/>
    <cellStyle name="40% - Accent6 11 2" xfId="1149" xr:uid="{00000000-0005-0000-0000-000076020000}"/>
    <cellStyle name="40% - Accent6 11 3" xfId="1150" xr:uid="{00000000-0005-0000-0000-000077020000}"/>
    <cellStyle name="40% - Accent6 12 2" xfId="1151" xr:uid="{00000000-0005-0000-0000-000078020000}"/>
    <cellStyle name="40% - Accent6 12 3" xfId="1152" xr:uid="{00000000-0005-0000-0000-000079020000}"/>
    <cellStyle name="40% - Accent6 13 2" xfId="1153" xr:uid="{00000000-0005-0000-0000-00007A020000}"/>
    <cellStyle name="40% - Accent6 13 3" xfId="1154" xr:uid="{00000000-0005-0000-0000-00007B020000}"/>
    <cellStyle name="40% - Accent6 14 2" xfId="1155" xr:uid="{00000000-0005-0000-0000-00007C020000}"/>
    <cellStyle name="40% - Accent6 14 3" xfId="1156" xr:uid="{00000000-0005-0000-0000-00007D020000}"/>
    <cellStyle name="40% - Accent6 15" xfId="1157" xr:uid="{00000000-0005-0000-0000-00007E020000}"/>
    <cellStyle name="40% - Accent6 15 2" xfId="1158" xr:uid="{00000000-0005-0000-0000-00007F020000}"/>
    <cellStyle name="40% - Accent6 15 3" xfId="1159" xr:uid="{00000000-0005-0000-0000-000080020000}"/>
    <cellStyle name="40% - Accent6 15 4" xfId="1160" xr:uid="{00000000-0005-0000-0000-000081020000}"/>
    <cellStyle name="40% - Accent6 15 5" xfId="1161" xr:uid="{00000000-0005-0000-0000-000082020000}"/>
    <cellStyle name="40% - Accent6 15 6" xfId="1162" xr:uid="{00000000-0005-0000-0000-000083020000}"/>
    <cellStyle name="40% - Accent6 15 7" xfId="1163" xr:uid="{00000000-0005-0000-0000-000084020000}"/>
    <cellStyle name="40% - Accent6 16" xfId="1164" xr:uid="{00000000-0005-0000-0000-000085020000}"/>
    <cellStyle name="40% - Accent6 17" xfId="1165" xr:uid="{00000000-0005-0000-0000-000086020000}"/>
    <cellStyle name="40% - Accent6 18" xfId="1166" xr:uid="{00000000-0005-0000-0000-000087020000}"/>
    <cellStyle name="40% - Accent6 19" xfId="1167" xr:uid="{00000000-0005-0000-0000-000088020000}"/>
    <cellStyle name="40% - Accent6 2" xfId="197" xr:uid="{00000000-0005-0000-0000-000089020000}"/>
    <cellStyle name="40% - Accent6 2 2" xfId="379" xr:uid="{00000000-0005-0000-0000-00008A020000}"/>
    <cellStyle name="40% - Accent6 2 2 2" xfId="571" xr:uid="{00000000-0005-0000-0000-00008B020000}"/>
    <cellStyle name="40% - Accent6 2 2 3" xfId="1169" xr:uid="{00000000-0005-0000-0000-00008C020000}"/>
    <cellStyle name="40% - Accent6 2 3" xfId="482" xr:uid="{00000000-0005-0000-0000-00008D020000}"/>
    <cellStyle name="40% - Accent6 2 3 2" xfId="1170" xr:uid="{00000000-0005-0000-0000-00008E020000}"/>
    <cellStyle name="40% - Accent6 2 4" xfId="1168" xr:uid="{00000000-0005-0000-0000-00008F020000}"/>
    <cellStyle name="40% - Accent6 2 5" xfId="37629" xr:uid="{00000000-0005-0000-0000-000090020000}"/>
    <cellStyle name="40% - Accent6 20" xfId="1171" xr:uid="{00000000-0005-0000-0000-000091020000}"/>
    <cellStyle name="40% - Accent6 21" xfId="1172" xr:uid="{00000000-0005-0000-0000-000092020000}"/>
    <cellStyle name="40% - Accent6 22" xfId="1173" xr:uid="{00000000-0005-0000-0000-000093020000}"/>
    <cellStyle name="40% - Accent6 3" xfId="345" xr:uid="{00000000-0005-0000-0000-000094020000}"/>
    <cellStyle name="40% - Accent6 3 2" xfId="535" xr:uid="{00000000-0005-0000-0000-000095020000}"/>
    <cellStyle name="40% - Accent6 3 2 2" xfId="1175" xr:uid="{00000000-0005-0000-0000-000096020000}"/>
    <cellStyle name="40% - Accent6 3 3" xfId="1176" xr:uid="{00000000-0005-0000-0000-000097020000}"/>
    <cellStyle name="40% - Accent6 3 4" xfId="1174" xr:uid="{00000000-0005-0000-0000-000098020000}"/>
    <cellStyle name="40% - Accent6 4" xfId="365" xr:uid="{00000000-0005-0000-0000-000099020000}"/>
    <cellStyle name="40% - Accent6 4 2" xfId="555" xr:uid="{00000000-0005-0000-0000-00009A020000}"/>
    <cellStyle name="40% - Accent6 4 2 2" xfId="1178" xr:uid="{00000000-0005-0000-0000-00009B020000}"/>
    <cellStyle name="40% - Accent6 4 3" xfId="1179" xr:uid="{00000000-0005-0000-0000-00009C020000}"/>
    <cellStyle name="40% - Accent6 4 4" xfId="1177" xr:uid="{00000000-0005-0000-0000-00009D020000}"/>
    <cellStyle name="40% - Accent6 4 5" xfId="37630" xr:uid="{00000000-0005-0000-0000-00009E020000}"/>
    <cellStyle name="40% - Accent6 5" xfId="428" xr:uid="{00000000-0005-0000-0000-00009F020000}"/>
    <cellStyle name="40% - Accent6 5 2" xfId="1180" xr:uid="{00000000-0005-0000-0000-0000A0020000}"/>
    <cellStyle name="40% - Accent6 5 3" xfId="1181" xr:uid="{00000000-0005-0000-0000-0000A1020000}"/>
    <cellStyle name="40% - Accent6 6" xfId="462" xr:uid="{00000000-0005-0000-0000-0000A2020000}"/>
    <cellStyle name="40% - Accent6 6 2" xfId="1182" xr:uid="{00000000-0005-0000-0000-0000A3020000}"/>
    <cellStyle name="40% - Accent6 6 3" xfId="1183" xr:uid="{00000000-0005-0000-0000-0000A4020000}"/>
    <cellStyle name="40% - Accent6 7" xfId="628" xr:uid="{00000000-0005-0000-0000-0000A5020000}"/>
    <cellStyle name="40% - Accent6 7 2" xfId="1184" xr:uid="{00000000-0005-0000-0000-0000A6020000}"/>
    <cellStyle name="40% - Accent6 7 3" xfId="1185" xr:uid="{00000000-0005-0000-0000-0000A7020000}"/>
    <cellStyle name="40% - Accent6 8 2" xfId="1186" xr:uid="{00000000-0005-0000-0000-0000A8020000}"/>
    <cellStyle name="40% - Accent6 8 3" xfId="1187" xr:uid="{00000000-0005-0000-0000-0000A9020000}"/>
    <cellStyle name="40% - Accent6 9 2" xfId="1188" xr:uid="{00000000-0005-0000-0000-0000AA020000}"/>
    <cellStyle name="40% - Accent6 9 3" xfId="1189" xr:uid="{00000000-0005-0000-0000-0000AB020000}"/>
    <cellStyle name="60% - Accent1" xfId="154" builtinId="32" customBuiltin="1"/>
    <cellStyle name="60% - Accent1 10 2" xfId="1190" xr:uid="{00000000-0005-0000-0000-0000AD020000}"/>
    <cellStyle name="60% - Accent1 10 3" xfId="1191" xr:uid="{00000000-0005-0000-0000-0000AE020000}"/>
    <cellStyle name="60% - Accent1 11 2" xfId="1192" xr:uid="{00000000-0005-0000-0000-0000AF020000}"/>
    <cellStyle name="60% - Accent1 11 3" xfId="1193" xr:uid="{00000000-0005-0000-0000-0000B0020000}"/>
    <cellStyle name="60% - Accent1 12 2" xfId="1194" xr:uid="{00000000-0005-0000-0000-0000B1020000}"/>
    <cellStyle name="60% - Accent1 12 3" xfId="1195" xr:uid="{00000000-0005-0000-0000-0000B2020000}"/>
    <cellStyle name="60% - Accent1 13 2" xfId="1196" xr:uid="{00000000-0005-0000-0000-0000B3020000}"/>
    <cellStyle name="60% - Accent1 13 3" xfId="1197" xr:uid="{00000000-0005-0000-0000-0000B4020000}"/>
    <cellStyle name="60% - Accent1 14 2" xfId="1198" xr:uid="{00000000-0005-0000-0000-0000B5020000}"/>
    <cellStyle name="60% - Accent1 14 3" xfId="1199" xr:uid="{00000000-0005-0000-0000-0000B6020000}"/>
    <cellStyle name="60% - Accent1 15" xfId="1200" xr:uid="{00000000-0005-0000-0000-0000B7020000}"/>
    <cellStyle name="60% - Accent1 15 2" xfId="1201" xr:uid="{00000000-0005-0000-0000-0000B8020000}"/>
    <cellStyle name="60% - Accent1 15 3" xfId="1202" xr:uid="{00000000-0005-0000-0000-0000B9020000}"/>
    <cellStyle name="60% - Accent1 15 4" xfId="1203" xr:uid="{00000000-0005-0000-0000-0000BA020000}"/>
    <cellStyle name="60% - Accent1 15 5" xfId="1204" xr:uid="{00000000-0005-0000-0000-0000BB020000}"/>
    <cellStyle name="60% - Accent1 15 6" xfId="1205" xr:uid="{00000000-0005-0000-0000-0000BC020000}"/>
    <cellStyle name="60% - Accent1 15 7" xfId="1206" xr:uid="{00000000-0005-0000-0000-0000BD020000}"/>
    <cellStyle name="60% - Accent1 16" xfId="1207" xr:uid="{00000000-0005-0000-0000-0000BE020000}"/>
    <cellStyle name="60% - Accent1 17" xfId="1208" xr:uid="{00000000-0005-0000-0000-0000BF020000}"/>
    <cellStyle name="60% - Accent1 18" xfId="1209" xr:uid="{00000000-0005-0000-0000-0000C0020000}"/>
    <cellStyle name="60% - Accent1 19" xfId="1210" xr:uid="{00000000-0005-0000-0000-0000C1020000}"/>
    <cellStyle name="60% - Accent1 2" xfId="409" xr:uid="{00000000-0005-0000-0000-0000C2020000}"/>
    <cellStyle name="60% - Accent1 2 2" xfId="506" xr:uid="{00000000-0005-0000-0000-0000C3020000}"/>
    <cellStyle name="60% - Accent1 2 2 2" xfId="1211" xr:uid="{00000000-0005-0000-0000-0000C4020000}"/>
    <cellStyle name="60% - Accent1 2 3" xfId="1212" xr:uid="{00000000-0005-0000-0000-0000C5020000}"/>
    <cellStyle name="60% - Accent1 20" xfId="1213" xr:uid="{00000000-0005-0000-0000-0000C6020000}"/>
    <cellStyle name="60% - Accent1 21" xfId="1214" xr:uid="{00000000-0005-0000-0000-0000C7020000}"/>
    <cellStyle name="60% - Accent1 22" xfId="1215" xr:uid="{00000000-0005-0000-0000-0000C8020000}"/>
    <cellStyle name="60% - Accent1 3" xfId="629" xr:uid="{00000000-0005-0000-0000-0000C9020000}"/>
    <cellStyle name="60% - Accent1 3 2" xfId="1216" xr:uid="{00000000-0005-0000-0000-0000CA020000}"/>
    <cellStyle name="60% - Accent1 3 3" xfId="1217" xr:uid="{00000000-0005-0000-0000-0000CB020000}"/>
    <cellStyle name="60% - Accent1 4 2" xfId="1218" xr:uid="{00000000-0005-0000-0000-0000CC020000}"/>
    <cellStyle name="60% - Accent1 4 3" xfId="1219" xr:uid="{00000000-0005-0000-0000-0000CD020000}"/>
    <cellStyle name="60% - Accent1 5 2" xfId="1220" xr:uid="{00000000-0005-0000-0000-0000CE020000}"/>
    <cellStyle name="60% - Accent1 5 3" xfId="1221" xr:uid="{00000000-0005-0000-0000-0000CF020000}"/>
    <cellStyle name="60% - Accent1 6 2" xfId="1222" xr:uid="{00000000-0005-0000-0000-0000D0020000}"/>
    <cellStyle name="60% - Accent1 6 3" xfId="1223" xr:uid="{00000000-0005-0000-0000-0000D1020000}"/>
    <cellStyle name="60% - Accent1 7 2" xfId="1224" xr:uid="{00000000-0005-0000-0000-0000D2020000}"/>
    <cellStyle name="60% - Accent1 7 3" xfId="1225" xr:uid="{00000000-0005-0000-0000-0000D3020000}"/>
    <cellStyle name="60% - Accent1 8 2" xfId="1226" xr:uid="{00000000-0005-0000-0000-0000D4020000}"/>
    <cellStyle name="60% - Accent1 8 3" xfId="1227" xr:uid="{00000000-0005-0000-0000-0000D5020000}"/>
    <cellStyle name="60% - Accent1 9 2" xfId="1228" xr:uid="{00000000-0005-0000-0000-0000D6020000}"/>
    <cellStyle name="60% - Accent1 9 3" xfId="1229" xr:uid="{00000000-0005-0000-0000-0000D7020000}"/>
    <cellStyle name="60% - Accent2" xfId="158" builtinId="36" customBuiltin="1"/>
    <cellStyle name="60% - Accent2 10 2" xfId="1230" xr:uid="{00000000-0005-0000-0000-0000D9020000}"/>
    <cellStyle name="60% - Accent2 10 3" xfId="1231" xr:uid="{00000000-0005-0000-0000-0000DA020000}"/>
    <cellStyle name="60% - Accent2 11 2" xfId="1232" xr:uid="{00000000-0005-0000-0000-0000DB020000}"/>
    <cellStyle name="60% - Accent2 11 3" xfId="1233" xr:uid="{00000000-0005-0000-0000-0000DC020000}"/>
    <cellStyle name="60% - Accent2 12 2" xfId="1234" xr:uid="{00000000-0005-0000-0000-0000DD020000}"/>
    <cellStyle name="60% - Accent2 12 3" xfId="1235" xr:uid="{00000000-0005-0000-0000-0000DE020000}"/>
    <cellStyle name="60% - Accent2 13 2" xfId="1236" xr:uid="{00000000-0005-0000-0000-0000DF020000}"/>
    <cellStyle name="60% - Accent2 13 3" xfId="1237" xr:uid="{00000000-0005-0000-0000-0000E0020000}"/>
    <cellStyle name="60% - Accent2 14 2" xfId="1238" xr:uid="{00000000-0005-0000-0000-0000E1020000}"/>
    <cellStyle name="60% - Accent2 14 3" xfId="1239" xr:uid="{00000000-0005-0000-0000-0000E2020000}"/>
    <cellStyle name="60% - Accent2 15" xfId="1240" xr:uid="{00000000-0005-0000-0000-0000E3020000}"/>
    <cellStyle name="60% - Accent2 15 2" xfId="1241" xr:uid="{00000000-0005-0000-0000-0000E4020000}"/>
    <cellStyle name="60% - Accent2 15 3" xfId="1242" xr:uid="{00000000-0005-0000-0000-0000E5020000}"/>
    <cellStyle name="60% - Accent2 15 4" xfId="1243" xr:uid="{00000000-0005-0000-0000-0000E6020000}"/>
    <cellStyle name="60% - Accent2 15 5" xfId="1244" xr:uid="{00000000-0005-0000-0000-0000E7020000}"/>
    <cellStyle name="60% - Accent2 15 6" xfId="1245" xr:uid="{00000000-0005-0000-0000-0000E8020000}"/>
    <cellStyle name="60% - Accent2 15 7" xfId="1246" xr:uid="{00000000-0005-0000-0000-0000E9020000}"/>
    <cellStyle name="60% - Accent2 16" xfId="1247" xr:uid="{00000000-0005-0000-0000-0000EA020000}"/>
    <cellStyle name="60% - Accent2 17" xfId="1248" xr:uid="{00000000-0005-0000-0000-0000EB020000}"/>
    <cellStyle name="60% - Accent2 18" xfId="1249" xr:uid="{00000000-0005-0000-0000-0000EC020000}"/>
    <cellStyle name="60% - Accent2 19" xfId="1250" xr:uid="{00000000-0005-0000-0000-0000ED020000}"/>
    <cellStyle name="60% - Accent2 2" xfId="413" xr:uid="{00000000-0005-0000-0000-0000EE020000}"/>
    <cellStyle name="60% - Accent2 2 2" xfId="457" xr:uid="{00000000-0005-0000-0000-0000EF020000}"/>
    <cellStyle name="60% - Accent2 2 2 2" xfId="1251" xr:uid="{00000000-0005-0000-0000-0000F0020000}"/>
    <cellStyle name="60% - Accent2 2 3" xfId="1252" xr:uid="{00000000-0005-0000-0000-0000F1020000}"/>
    <cellStyle name="60% - Accent2 20" xfId="1253" xr:uid="{00000000-0005-0000-0000-0000F2020000}"/>
    <cellStyle name="60% - Accent2 21" xfId="1254" xr:uid="{00000000-0005-0000-0000-0000F3020000}"/>
    <cellStyle name="60% - Accent2 22" xfId="1255" xr:uid="{00000000-0005-0000-0000-0000F4020000}"/>
    <cellStyle name="60% - Accent2 3" xfId="630" xr:uid="{00000000-0005-0000-0000-0000F5020000}"/>
    <cellStyle name="60% - Accent2 3 2" xfId="1256" xr:uid="{00000000-0005-0000-0000-0000F6020000}"/>
    <cellStyle name="60% - Accent2 3 3" xfId="1257" xr:uid="{00000000-0005-0000-0000-0000F7020000}"/>
    <cellStyle name="60% - Accent2 4 2" xfId="1258" xr:uid="{00000000-0005-0000-0000-0000F8020000}"/>
    <cellStyle name="60% - Accent2 4 3" xfId="1259" xr:uid="{00000000-0005-0000-0000-0000F9020000}"/>
    <cellStyle name="60% - Accent2 5 2" xfId="1260" xr:uid="{00000000-0005-0000-0000-0000FA020000}"/>
    <cellStyle name="60% - Accent2 5 3" xfId="1261" xr:uid="{00000000-0005-0000-0000-0000FB020000}"/>
    <cellStyle name="60% - Accent2 6 2" xfId="1262" xr:uid="{00000000-0005-0000-0000-0000FC020000}"/>
    <cellStyle name="60% - Accent2 6 3" xfId="1263" xr:uid="{00000000-0005-0000-0000-0000FD020000}"/>
    <cellStyle name="60% - Accent2 7 2" xfId="1264" xr:uid="{00000000-0005-0000-0000-0000FE020000}"/>
    <cellStyle name="60% - Accent2 7 3" xfId="1265" xr:uid="{00000000-0005-0000-0000-0000FF020000}"/>
    <cellStyle name="60% - Accent2 8 2" xfId="1266" xr:uid="{00000000-0005-0000-0000-000000030000}"/>
    <cellStyle name="60% - Accent2 8 3" xfId="1267" xr:uid="{00000000-0005-0000-0000-000001030000}"/>
    <cellStyle name="60% - Accent2 9 2" xfId="1268" xr:uid="{00000000-0005-0000-0000-000002030000}"/>
    <cellStyle name="60% - Accent2 9 3" xfId="1269" xr:uid="{00000000-0005-0000-0000-000003030000}"/>
    <cellStyle name="60% - Accent3" xfId="162" builtinId="40" customBuiltin="1"/>
    <cellStyle name="60% - Accent3 10 2" xfId="1270" xr:uid="{00000000-0005-0000-0000-000005030000}"/>
    <cellStyle name="60% - Accent3 10 3" xfId="1271" xr:uid="{00000000-0005-0000-0000-000006030000}"/>
    <cellStyle name="60% - Accent3 11 2" xfId="1272" xr:uid="{00000000-0005-0000-0000-000007030000}"/>
    <cellStyle name="60% - Accent3 11 3" xfId="1273" xr:uid="{00000000-0005-0000-0000-000008030000}"/>
    <cellStyle name="60% - Accent3 12 2" xfId="1274" xr:uid="{00000000-0005-0000-0000-000009030000}"/>
    <cellStyle name="60% - Accent3 12 3" xfId="1275" xr:uid="{00000000-0005-0000-0000-00000A030000}"/>
    <cellStyle name="60% - Accent3 13 2" xfId="1276" xr:uid="{00000000-0005-0000-0000-00000B030000}"/>
    <cellStyle name="60% - Accent3 13 3" xfId="1277" xr:uid="{00000000-0005-0000-0000-00000C030000}"/>
    <cellStyle name="60% - Accent3 14 2" xfId="1278" xr:uid="{00000000-0005-0000-0000-00000D030000}"/>
    <cellStyle name="60% - Accent3 14 3" xfId="1279" xr:uid="{00000000-0005-0000-0000-00000E030000}"/>
    <cellStyle name="60% - Accent3 15" xfId="1280" xr:uid="{00000000-0005-0000-0000-00000F030000}"/>
    <cellStyle name="60% - Accent3 15 2" xfId="1281" xr:uid="{00000000-0005-0000-0000-000010030000}"/>
    <cellStyle name="60% - Accent3 15 3" xfId="1282" xr:uid="{00000000-0005-0000-0000-000011030000}"/>
    <cellStyle name="60% - Accent3 15 4" xfId="1283" xr:uid="{00000000-0005-0000-0000-000012030000}"/>
    <cellStyle name="60% - Accent3 15 5" xfId="1284" xr:uid="{00000000-0005-0000-0000-000013030000}"/>
    <cellStyle name="60% - Accent3 15 6" xfId="1285" xr:uid="{00000000-0005-0000-0000-000014030000}"/>
    <cellStyle name="60% - Accent3 15 7" xfId="1286" xr:uid="{00000000-0005-0000-0000-000015030000}"/>
    <cellStyle name="60% - Accent3 16" xfId="1287" xr:uid="{00000000-0005-0000-0000-000016030000}"/>
    <cellStyle name="60% - Accent3 17" xfId="1288" xr:uid="{00000000-0005-0000-0000-000017030000}"/>
    <cellStyle name="60% - Accent3 18" xfId="1289" xr:uid="{00000000-0005-0000-0000-000018030000}"/>
    <cellStyle name="60% - Accent3 19" xfId="1290" xr:uid="{00000000-0005-0000-0000-000019030000}"/>
    <cellStyle name="60% - Accent3 2" xfId="417" xr:uid="{00000000-0005-0000-0000-00001A030000}"/>
    <cellStyle name="60% - Accent3 2 2" xfId="515" xr:uid="{00000000-0005-0000-0000-00001B030000}"/>
    <cellStyle name="60% - Accent3 2 2 2" xfId="1291" xr:uid="{00000000-0005-0000-0000-00001C030000}"/>
    <cellStyle name="60% - Accent3 2 3" xfId="1292" xr:uid="{00000000-0005-0000-0000-00001D030000}"/>
    <cellStyle name="60% - Accent3 20" xfId="1293" xr:uid="{00000000-0005-0000-0000-00001E030000}"/>
    <cellStyle name="60% - Accent3 21" xfId="1294" xr:uid="{00000000-0005-0000-0000-00001F030000}"/>
    <cellStyle name="60% - Accent3 22" xfId="1295" xr:uid="{00000000-0005-0000-0000-000020030000}"/>
    <cellStyle name="60% - Accent3 3" xfId="631" xr:uid="{00000000-0005-0000-0000-000021030000}"/>
    <cellStyle name="60% - Accent3 3 2" xfId="1296" xr:uid="{00000000-0005-0000-0000-000022030000}"/>
    <cellStyle name="60% - Accent3 3 3" xfId="1297" xr:uid="{00000000-0005-0000-0000-000023030000}"/>
    <cellStyle name="60% - Accent3 4 2" xfId="1298" xr:uid="{00000000-0005-0000-0000-000024030000}"/>
    <cellStyle name="60% - Accent3 4 3" xfId="1299" xr:uid="{00000000-0005-0000-0000-000025030000}"/>
    <cellStyle name="60% - Accent3 5 2" xfId="1300" xr:uid="{00000000-0005-0000-0000-000026030000}"/>
    <cellStyle name="60% - Accent3 5 3" xfId="1301" xr:uid="{00000000-0005-0000-0000-000027030000}"/>
    <cellStyle name="60% - Accent3 6 2" xfId="1302" xr:uid="{00000000-0005-0000-0000-000028030000}"/>
    <cellStyle name="60% - Accent3 6 3" xfId="1303" xr:uid="{00000000-0005-0000-0000-000029030000}"/>
    <cellStyle name="60% - Accent3 7 2" xfId="1304" xr:uid="{00000000-0005-0000-0000-00002A030000}"/>
    <cellStyle name="60% - Accent3 7 3" xfId="1305" xr:uid="{00000000-0005-0000-0000-00002B030000}"/>
    <cellStyle name="60% - Accent3 8 2" xfId="1306" xr:uid="{00000000-0005-0000-0000-00002C030000}"/>
    <cellStyle name="60% - Accent3 8 3" xfId="1307" xr:uid="{00000000-0005-0000-0000-00002D030000}"/>
    <cellStyle name="60% - Accent3 9 2" xfId="1308" xr:uid="{00000000-0005-0000-0000-00002E030000}"/>
    <cellStyle name="60% - Accent3 9 3" xfId="1309" xr:uid="{00000000-0005-0000-0000-00002F030000}"/>
    <cellStyle name="60% - Accent4" xfId="166" builtinId="44" customBuiltin="1"/>
    <cellStyle name="60% - Accent4 10 2" xfId="1310" xr:uid="{00000000-0005-0000-0000-000031030000}"/>
    <cellStyle name="60% - Accent4 10 3" xfId="1311" xr:uid="{00000000-0005-0000-0000-000032030000}"/>
    <cellStyle name="60% - Accent4 11 2" xfId="1312" xr:uid="{00000000-0005-0000-0000-000033030000}"/>
    <cellStyle name="60% - Accent4 11 3" xfId="1313" xr:uid="{00000000-0005-0000-0000-000034030000}"/>
    <cellStyle name="60% - Accent4 12 2" xfId="1314" xr:uid="{00000000-0005-0000-0000-000035030000}"/>
    <cellStyle name="60% - Accent4 12 3" xfId="1315" xr:uid="{00000000-0005-0000-0000-000036030000}"/>
    <cellStyle name="60% - Accent4 13 2" xfId="1316" xr:uid="{00000000-0005-0000-0000-000037030000}"/>
    <cellStyle name="60% - Accent4 13 3" xfId="1317" xr:uid="{00000000-0005-0000-0000-000038030000}"/>
    <cellStyle name="60% - Accent4 14 2" xfId="1318" xr:uid="{00000000-0005-0000-0000-000039030000}"/>
    <cellStyle name="60% - Accent4 14 3" xfId="1319" xr:uid="{00000000-0005-0000-0000-00003A030000}"/>
    <cellStyle name="60% - Accent4 15" xfId="1320" xr:uid="{00000000-0005-0000-0000-00003B030000}"/>
    <cellStyle name="60% - Accent4 15 2" xfId="1321" xr:uid="{00000000-0005-0000-0000-00003C030000}"/>
    <cellStyle name="60% - Accent4 15 3" xfId="1322" xr:uid="{00000000-0005-0000-0000-00003D030000}"/>
    <cellStyle name="60% - Accent4 15 4" xfId="1323" xr:uid="{00000000-0005-0000-0000-00003E030000}"/>
    <cellStyle name="60% - Accent4 15 5" xfId="1324" xr:uid="{00000000-0005-0000-0000-00003F030000}"/>
    <cellStyle name="60% - Accent4 15 6" xfId="1325" xr:uid="{00000000-0005-0000-0000-000040030000}"/>
    <cellStyle name="60% - Accent4 15 7" xfId="1326" xr:uid="{00000000-0005-0000-0000-000041030000}"/>
    <cellStyle name="60% - Accent4 16" xfId="1327" xr:uid="{00000000-0005-0000-0000-000042030000}"/>
    <cellStyle name="60% - Accent4 17" xfId="1328" xr:uid="{00000000-0005-0000-0000-000043030000}"/>
    <cellStyle name="60% - Accent4 18" xfId="1329" xr:uid="{00000000-0005-0000-0000-000044030000}"/>
    <cellStyle name="60% - Accent4 19" xfId="1330" xr:uid="{00000000-0005-0000-0000-000045030000}"/>
    <cellStyle name="60% - Accent4 2" xfId="421" xr:uid="{00000000-0005-0000-0000-000046030000}"/>
    <cellStyle name="60% - Accent4 2 2" xfId="486" xr:uid="{00000000-0005-0000-0000-000047030000}"/>
    <cellStyle name="60% - Accent4 2 2 2" xfId="1331" xr:uid="{00000000-0005-0000-0000-000048030000}"/>
    <cellStyle name="60% - Accent4 2 3" xfId="1332" xr:uid="{00000000-0005-0000-0000-000049030000}"/>
    <cellStyle name="60% - Accent4 20" xfId="1333" xr:uid="{00000000-0005-0000-0000-00004A030000}"/>
    <cellStyle name="60% - Accent4 21" xfId="1334" xr:uid="{00000000-0005-0000-0000-00004B030000}"/>
    <cellStyle name="60% - Accent4 22" xfId="1335" xr:uid="{00000000-0005-0000-0000-00004C030000}"/>
    <cellStyle name="60% - Accent4 3" xfId="632" xr:uid="{00000000-0005-0000-0000-00004D030000}"/>
    <cellStyle name="60% - Accent4 3 2" xfId="1336" xr:uid="{00000000-0005-0000-0000-00004E030000}"/>
    <cellStyle name="60% - Accent4 3 3" xfId="1337" xr:uid="{00000000-0005-0000-0000-00004F030000}"/>
    <cellStyle name="60% - Accent4 4 2" xfId="1338" xr:uid="{00000000-0005-0000-0000-000050030000}"/>
    <cellStyle name="60% - Accent4 4 3" xfId="1339" xr:uid="{00000000-0005-0000-0000-000051030000}"/>
    <cellStyle name="60% - Accent4 5 2" xfId="1340" xr:uid="{00000000-0005-0000-0000-000052030000}"/>
    <cellStyle name="60% - Accent4 5 3" xfId="1341" xr:uid="{00000000-0005-0000-0000-000053030000}"/>
    <cellStyle name="60% - Accent4 6 2" xfId="1342" xr:uid="{00000000-0005-0000-0000-000054030000}"/>
    <cellStyle name="60% - Accent4 6 3" xfId="1343" xr:uid="{00000000-0005-0000-0000-000055030000}"/>
    <cellStyle name="60% - Accent4 7 2" xfId="1344" xr:uid="{00000000-0005-0000-0000-000056030000}"/>
    <cellStyle name="60% - Accent4 7 3" xfId="1345" xr:uid="{00000000-0005-0000-0000-000057030000}"/>
    <cellStyle name="60% - Accent4 8 2" xfId="1346" xr:uid="{00000000-0005-0000-0000-000058030000}"/>
    <cellStyle name="60% - Accent4 8 3" xfId="1347" xr:uid="{00000000-0005-0000-0000-000059030000}"/>
    <cellStyle name="60% - Accent4 9 2" xfId="1348" xr:uid="{00000000-0005-0000-0000-00005A030000}"/>
    <cellStyle name="60% - Accent4 9 3" xfId="1349" xr:uid="{00000000-0005-0000-0000-00005B030000}"/>
    <cellStyle name="60% - Accent5" xfId="170" builtinId="48" customBuiltin="1"/>
    <cellStyle name="60% - Accent5 10 2" xfId="1350" xr:uid="{00000000-0005-0000-0000-00005D030000}"/>
    <cellStyle name="60% - Accent5 10 3" xfId="1351" xr:uid="{00000000-0005-0000-0000-00005E030000}"/>
    <cellStyle name="60% - Accent5 11 2" xfId="1352" xr:uid="{00000000-0005-0000-0000-00005F030000}"/>
    <cellStyle name="60% - Accent5 11 3" xfId="1353" xr:uid="{00000000-0005-0000-0000-000060030000}"/>
    <cellStyle name="60% - Accent5 12 2" xfId="1354" xr:uid="{00000000-0005-0000-0000-000061030000}"/>
    <cellStyle name="60% - Accent5 12 3" xfId="1355" xr:uid="{00000000-0005-0000-0000-000062030000}"/>
    <cellStyle name="60% - Accent5 13 2" xfId="1356" xr:uid="{00000000-0005-0000-0000-000063030000}"/>
    <cellStyle name="60% - Accent5 13 3" xfId="1357" xr:uid="{00000000-0005-0000-0000-000064030000}"/>
    <cellStyle name="60% - Accent5 14 2" xfId="1358" xr:uid="{00000000-0005-0000-0000-000065030000}"/>
    <cellStyle name="60% - Accent5 14 3" xfId="1359" xr:uid="{00000000-0005-0000-0000-000066030000}"/>
    <cellStyle name="60% - Accent5 15" xfId="1360" xr:uid="{00000000-0005-0000-0000-000067030000}"/>
    <cellStyle name="60% - Accent5 15 2" xfId="1361" xr:uid="{00000000-0005-0000-0000-000068030000}"/>
    <cellStyle name="60% - Accent5 15 3" xfId="1362" xr:uid="{00000000-0005-0000-0000-000069030000}"/>
    <cellStyle name="60% - Accent5 15 4" xfId="1363" xr:uid="{00000000-0005-0000-0000-00006A030000}"/>
    <cellStyle name="60% - Accent5 15 5" xfId="1364" xr:uid="{00000000-0005-0000-0000-00006B030000}"/>
    <cellStyle name="60% - Accent5 15 6" xfId="1365" xr:uid="{00000000-0005-0000-0000-00006C030000}"/>
    <cellStyle name="60% - Accent5 15 7" xfId="1366" xr:uid="{00000000-0005-0000-0000-00006D030000}"/>
    <cellStyle name="60% - Accent5 16" xfId="1367" xr:uid="{00000000-0005-0000-0000-00006E030000}"/>
    <cellStyle name="60% - Accent5 17" xfId="1368" xr:uid="{00000000-0005-0000-0000-00006F030000}"/>
    <cellStyle name="60% - Accent5 18" xfId="1369" xr:uid="{00000000-0005-0000-0000-000070030000}"/>
    <cellStyle name="60% - Accent5 19" xfId="1370" xr:uid="{00000000-0005-0000-0000-000071030000}"/>
    <cellStyle name="60% - Accent5 2" xfId="425" xr:uid="{00000000-0005-0000-0000-000072030000}"/>
    <cellStyle name="60% - Accent5 2 2" xfId="507" xr:uid="{00000000-0005-0000-0000-000073030000}"/>
    <cellStyle name="60% - Accent5 2 2 2" xfId="1371" xr:uid="{00000000-0005-0000-0000-000074030000}"/>
    <cellStyle name="60% - Accent5 2 3" xfId="1372" xr:uid="{00000000-0005-0000-0000-000075030000}"/>
    <cellStyle name="60% - Accent5 20" xfId="1373" xr:uid="{00000000-0005-0000-0000-000076030000}"/>
    <cellStyle name="60% - Accent5 21" xfId="1374" xr:uid="{00000000-0005-0000-0000-000077030000}"/>
    <cellStyle name="60% - Accent5 22" xfId="1375" xr:uid="{00000000-0005-0000-0000-000078030000}"/>
    <cellStyle name="60% - Accent5 3" xfId="633" xr:uid="{00000000-0005-0000-0000-000079030000}"/>
    <cellStyle name="60% - Accent5 3 2" xfId="1376" xr:uid="{00000000-0005-0000-0000-00007A030000}"/>
    <cellStyle name="60% - Accent5 3 3" xfId="1377" xr:uid="{00000000-0005-0000-0000-00007B030000}"/>
    <cellStyle name="60% - Accent5 4 2" xfId="1378" xr:uid="{00000000-0005-0000-0000-00007C030000}"/>
    <cellStyle name="60% - Accent5 4 3" xfId="1379" xr:uid="{00000000-0005-0000-0000-00007D030000}"/>
    <cellStyle name="60% - Accent5 5 2" xfId="1380" xr:uid="{00000000-0005-0000-0000-00007E030000}"/>
    <cellStyle name="60% - Accent5 5 3" xfId="1381" xr:uid="{00000000-0005-0000-0000-00007F030000}"/>
    <cellStyle name="60% - Accent5 6 2" xfId="1382" xr:uid="{00000000-0005-0000-0000-000080030000}"/>
    <cellStyle name="60% - Accent5 6 3" xfId="1383" xr:uid="{00000000-0005-0000-0000-000081030000}"/>
    <cellStyle name="60% - Accent5 7 2" xfId="1384" xr:uid="{00000000-0005-0000-0000-000082030000}"/>
    <cellStyle name="60% - Accent5 7 3" xfId="1385" xr:uid="{00000000-0005-0000-0000-000083030000}"/>
    <cellStyle name="60% - Accent5 8 2" xfId="1386" xr:uid="{00000000-0005-0000-0000-000084030000}"/>
    <cellStyle name="60% - Accent5 8 3" xfId="1387" xr:uid="{00000000-0005-0000-0000-000085030000}"/>
    <cellStyle name="60% - Accent5 9 2" xfId="1388" xr:uid="{00000000-0005-0000-0000-000086030000}"/>
    <cellStyle name="60% - Accent5 9 3" xfId="1389" xr:uid="{00000000-0005-0000-0000-000087030000}"/>
    <cellStyle name="60% - Accent6" xfId="174" builtinId="52" customBuiltin="1"/>
    <cellStyle name="60% - Accent6 10 2" xfId="1390" xr:uid="{00000000-0005-0000-0000-000089030000}"/>
    <cellStyle name="60% - Accent6 10 3" xfId="1391" xr:uid="{00000000-0005-0000-0000-00008A030000}"/>
    <cellStyle name="60% - Accent6 11 2" xfId="1392" xr:uid="{00000000-0005-0000-0000-00008B030000}"/>
    <cellStyle name="60% - Accent6 11 3" xfId="1393" xr:uid="{00000000-0005-0000-0000-00008C030000}"/>
    <cellStyle name="60% - Accent6 12 2" xfId="1394" xr:uid="{00000000-0005-0000-0000-00008D030000}"/>
    <cellStyle name="60% - Accent6 12 3" xfId="1395" xr:uid="{00000000-0005-0000-0000-00008E030000}"/>
    <cellStyle name="60% - Accent6 13 2" xfId="1396" xr:uid="{00000000-0005-0000-0000-00008F030000}"/>
    <cellStyle name="60% - Accent6 13 3" xfId="1397" xr:uid="{00000000-0005-0000-0000-000090030000}"/>
    <cellStyle name="60% - Accent6 14 2" xfId="1398" xr:uid="{00000000-0005-0000-0000-000091030000}"/>
    <cellStyle name="60% - Accent6 14 3" xfId="1399" xr:uid="{00000000-0005-0000-0000-000092030000}"/>
    <cellStyle name="60% - Accent6 15" xfId="1400" xr:uid="{00000000-0005-0000-0000-000093030000}"/>
    <cellStyle name="60% - Accent6 15 2" xfId="1401" xr:uid="{00000000-0005-0000-0000-000094030000}"/>
    <cellStyle name="60% - Accent6 15 3" xfId="1402" xr:uid="{00000000-0005-0000-0000-000095030000}"/>
    <cellStyle name="60% - Accent6 15 4" xfId="1403" xr:uid="{00000000-0005-0000-0000-000096030000}"/>
    <cellStyle name="60% - Accent6 15 5" xfId="1404" xr:uid="{00000000-0005-0000-0000-000097030000}"/>
    <cellStyle name="60% - Accent6 15 6" xfId="1405" xr:uid="{00000000-0005-0000-0000-000098030000}"/>
    <cellStyle name="60% - Accent6 15 7" xfId="1406" xr:uid="{00000000-0005-0000-0000-000099030000}"/>
    <cellStyle name="60% - Accent6 16" xfId="1407" xr:uid="{00000000-0005-0000-0000-00009A030000}"/>
    <cellStyle name="60% - Accent6 17" xfId="1408" xr:uid="{00000000-0005-0000-0000-00009B030000}"/>
    <cellStyle name="60% - Accent6 18" xfId="1409" xr:uid="{00000000-0005-0000-0000-00009C030000}"/>
    <cellStyle name="60% - Accent6 19" xfId="1410" xr:uid="{00000000-0005-0000-0000-00009D030000}"/>
    <cellStyle name="60% - Accent6 2" xfId="429" xr:uid="{00000000-0005-0000-0000-00009E030000}"/>
    <cellStyle name="60% - Accent6 2 2" xfId="485" xr:uid="{00000000-0005-0000-0000-00009F030000}"/>
    <cellStyle name="60% - Accent6 2 2 2" xfId="1411" xr:uid="{00000000-0005-0000-0000-0000A0030000}"/>
    <cellStyle name="60% - Accent6 2 3" xfId="1412" xr:uid="{00000000-0005-0000-0000-0000A1030000}"/>
    <cellStyle name="60% - Accent6 20" xfId="1413" xr:uid="{00000000-0005-0000-0000-0000A2030000}"/>
    <cellStyle name="60% - Accent6 21" xfId="1414" xr:uid="{00000000-0005-0000-0000-0000A3030000}"/>
    <cellStyle name="60% - Accent6 22" xfId="1415" xr:uid="{00000000-0005-0000-0000-0000A4030000}"/>
    <cellStyle name="60% - Accent6 3" xfId="634" xr:uid="{00000000-0005-0000-0000-0000A5030000}"/>
    <cellStyle name="60% - Accent6 3 2" xfId="1416" xr:uid="{00000000-0005-0000-0000-0000A6030000}"/>
    <cellStyle name="60% - Accent6 3 3" xfId="1417" xr:uid="{00000000-0005-0000-0000-0000A7030000}"/>
    <cellStyle name="60% - Accent6 4 2" xfId="1418" xr:uid="{00000000-0005-0000-0000-0000A8030000}"/>
    <cellStyle name="60% - Accent6 4 3" xfId="1419" xr:uid="{00000000-0005-0000-0000-0000A9030000}"/>
    <cellStyle name="60% - Accent6 5 2" xfId="1420" xr:uid="{00000000-0005-0000-0000-0000AA030000}"/>
    <cellStyle name="60% - Accent6 5 3" xfId="1421" xr:uid="{00000000-0005-0000-0000-0000AB030000}"/>
    <cellStyle name="60% - Accent6 6 2" xfId="1422" xr:uid="{00000000-0005-0000-0000-0000AC030000}"/>
    <cellStyle name="60% - Accent6 6 3" xfId="1423" xr:uid="{00000000-0005-0000-0000-0000AD030000}"/>
    <cellStyle name="60% - Accent6 7 2" xfId="1424" xr:uid="{00000000-0005-0000-0000-0000AE030000}"/>
    <cellStyle name="60% - Accent6 7 3" xfId="1425" xr:uid="{00000000-0005-0000-0000-0000AF030000}"/>
    <cellStyle name="60% - Accent6 8 2" xfId="1426" xr:uid="{00000000-0005-0000-0000-0000B0030000}"/>
    <cellStyle name="60% - Accent6 8 3" xfId="1427" xr:uid="{00000000-0005-0000-0000-0000B1030000}"/>
    <cellStyle name="60% - Accent6 9 2" xfId="1428" xr:uid="{00000000-0005-0000-0000-0000B2030000}"/>
    <cellStyle name="60% - Accent6 9 3" xfId="1429" xr:uid="{00000000-0005-0000-0000-0000B3030000}"/>
    <cellStyle name="Accent1" xfId="151" builtinId="29" customBuiltin="1"/>
    <cellStyle name="Accent1 10 2" xfId="1430" xr:uid="{00000000-0005-0000-0000-0000B5030000}"/>
    <cellStyle name="Accent1 10 3" xfId="1431" xr:uid="{00000000-0005-0000-0000-0000B6030000}"/>
    <cellStyle name="Accent1 11 2" xfId="1432" xr:uid="{00000000-0005-0000-0000-0000B7030000}"/>
    <cellStyle name="Accent1 11 3" xfId="1433" xr:uid="{00000000-0005-0000-0000-0000B8030000}"/>
    <cellStyle name="Accent1 12 2" xfId="1434" xr:uid="{00000000-0005-0000-0000-0000B9030000}"/>
    <cellStyle name="Accent1 12 3" xfId="1435" xr:uid="{00000000-0005-0000-0000-0000BA030000}"/>
    <cellStyle name="Accent1 13 2" xfId="1436" xr:uid="{00000000-0005-0000-0000-0000BB030000}"/>
    <cellStyle name="Accent1 13 3" xfId="1437" xr:uid="{00000000-0005-0000-0000-0000BC030000}"/>
    <cellStyle name="Accent1 14 2" xfId="1438" xr:uid="{00000000-0005-0000-0000-0000BD030000}"/>
    <cellStyle name="Accent1 14 3" xfId="1439" xr:uid="{00000000-0005-0000-0000-0000BE030000}"/>
    <cellStyle name="Accent1 15" xfId="1440" xr:uid="{00000000-0005-0000-0000-0000BF030000}"/>
    <cellStyle name="Accent1 15 2" xfId="1441" xr:uid="{00000000-0005-0000-0000-0000C0030000}"/>
    <cellStyle name="Accent1 15 3" xfId="1442" xr:uid="{00000000-0005-0000-0000-0000C1030000}"/>
    <cellStyle name="Accent1 15 4" xfId="1443" xr:uid="{00000000-0005-0000-0000-0000C2030000}"/>
    <cellStyle name="Accent1 15 5" xfId="1444" xr:uid="{00000000-0005-0000-0000-0000C3030000}"/>
    <cellStyle name="Accent1 15 6" xfId="1445" xr:uid="{00000000-0005-0000-0000-0000C4030000}"/>
    <cellStyle name="Accent1 15 7" xfId="1446" xr:uid="{00000000-0005-0000-0000-0000C5030000}"/>
    <cellStyle name="Accent1 16" xfId="1447" xr:uid="{00000000-0005-0000-0000-0000C6030000}"/>
    <cellStyle name="Accent1 17" xfId="1448" xr:uid="{00000000-0005-0000-0000-0000C7030000}"/>
    <cellStyle name="Accent1 18" xfId="1449" xr:uid="{00000000-0005-0000-0000-0000C8030000}"/>
    <cellStyle name="Accent1 19" xfId="1450" xr:uid="{00000000-0005-0000-0000-0000C9030000}"/>
    <cellStyle name="Accent1 2" xfId="406" xr:uid="{00000000-0005-0000-0000-0000CA030000}"/>
    <cellStyle name="Accent1 2 2" xfId="493" xr:uid="{00000000-0005-0000-0000-0000CB030000}"/>
    <cellStyle name="Accent1 2 2 2" xfId="1451" xr:uid="{00000000-0005-0000-0000-0000CC030000}"/>
    <cellStyle name="Accent1 2 3" xfId="1452" xr:uid="{00000000-0005-0000-0000-0000CD030000}"/>
    <cellStyle name="Accent1 20" xfId="1453" xr:uid="{00000000-0005-0000-0000-0000CE030000}"/>
    <cellStyle name="Accent1 21" xfId="1454" xr:uid="{00000000-0005-0000-0000-0000CF030000}"/>
    <cellStyle name="Accent1 22" xfId="1455" xr:uid="{00000000-0005-0000-0000-0000D0030000}"/>
    <cellStyle name="Accent1 3" xfId="635" xr:uid="{00000000-0005-0000-0000-0000D1030000}"/>
    <cellStyle name="Accent1 3 2" xfId="1456" xr:uid="{00000000-0005-0000-0000-0000D2030000}"/>
    <cellStyle name="Accent1 3 3" xfId="1457" xr:uid="{00000000-0005-0000-0000-0000D3030000}"/>
    <cellStyle name="Accent1 4 2" xfId="1458" xr:uid="{00000000-0005-0000-0000-0000D4030000}"/>
    <cellStyle name="Accent1 4 3" xfId="1459" xr:uid="{00000000-0005-0000-0000-0000D5030000}"/>
    <cellStyle name="Accent1 5 2" xfId="1460" xr:uid="{00000000-0005-0000-0000-0000D6030000}"/>
    <cellStyle name="Accent1 5 3" xfId="1461" xr:uid="{00000000-0005-0000-0000-0000D7030000}"/>
    <cellStyle name="Accent1 6 2" xfId="1462" xr:uid="{00000000-0005-0000-0000-0000D8030000}"/>
    <cellStyle name="Accent1 6 3" xfId="1463" xr:uid="{00000000-0005-0000-0000-0000D9030000}"/>
    <cellStyle name="Accent1 7 2" xfId="1464" xr:uid="{00000000-0005-0000-0000-0000DA030000}"/>
    <cellStyle name="Accent1 7 3" xfId="1465" xr:uid="{00000000-0005-0000-0000-0000DB030000}"/>
    <cellStyle name="Accent1 8 2" xfId="1466" xr:uid="{00000000-0005-0000-0000-0000DC030000}"/>
    <cellStyle name="Accent1 8 3" xfId="1467" xr:uid="{00000000-0005-0000-0000-0000DD030000}"/>
    <cellStyle name="Accent1 9 2" xfId="1468" xr:uid="{00000000-0005-0000-0000-0000DE030000}"/>
    <cellStyle name="Accent1 9 3" xfId="1469" xr:uid="{00000000-0005-0000-0000-0000DF030000}"/>
    <cellStyle name="Accent2" xfId="155" builtinId="33" customBuiltin="1"/>
    <cellStyle name="Accent2 10 2" xfId="1470" xr:uid="{00000000-0005-0000-0000-0000E1030000}"/>
    <cellStyle name="Accent2 10 3" xfId="1471" xr:uid="{00000000-0005-0000-0000-0000E2030000}"/>
    <cellStyle name="Accent2 11 2" xfId="1472" xr:uid="{00000000-0005-0000-0000-0000E3030000}"/>
    <cellStyle name="Accent2 11 3" xfId="1473" xr:uid="{00000000-0005-0000-0000-0000E4030000}"/>
    <cellStyle name="Accent2 12 2" xfId="1474" xr:uid="{00000000-0005-0000-0000-0000E5030000}"/>
    <cellStyle name="Accent2 12 3" xfId="1475" xr:uid="{00000000-0005-0000-0000-0000E6030000}"/>
    <cellStyle name="Accent2 13 2" xfId="1476" xr:uid="{00000000-0005-0000-0000-0000E7030000}"/>
    <cellStyle name="Accent2 13 3" xfId="1477" xr:uid="{00000000-0005-0000-0000-0000E8030000}"/>
    <cellStyle name="Accent2 14 2" xfId="1478" xr:uid="{00000000-0005-0000-0000-0000E9030000}"/>
    <cellStyle name="Accent2 14 3" xfId="1479" xr:uid="{00000000-0005-0000-0000-0000EA030000}"/>
    <cellStyle name="Accent2 15" xfId="1480" xr:uid="{00000000-0005-0000-0000-0000EB030000}"/>
    <cellStyle name="Accent2 15 2" xfId="1481" xr:uid="{00000000-0005-0000-0000-0000EC030000}"/>
    <cellStyle name="Accent2 15 3" xfId="1482" xr:uid="{00000000-0005-0000-0000-0000ED030000}"/>
    <cellStyle name="Accent2 15 4" xfId="1483" xr:uid="{00000000-0005-0000-0000-0000EE030000}"/>
    <cellStyle name="Accent2 15 5" xfId="1484" xr:uid="{00000000-0005-0000-0000-0000EF030000}"/>
    <cellStyle name="Accent2 15 6" xfId="1485" xr:uid="{00000000-0005-0000-0000-0000F0030000}"/>
    <cellStyle name="Accent2 15 7" xfId="1486" xr:uid="{00000000-0005-0000-0000-0000F1030000}"/>
    <cellStyle name="Accent2 16" xfId="1487" xr:uid="{00000000-0005-0000-0000-0000F2030000}"/>
    <cellStyle name="Accent2 17" xfId="1488" xr:uid="{00000000-0005-0000-0000-0000F3030000}"/>
    <cellStyle name="Accent2 18" xfId="1489" xr:uid="{00000000-0005-0000-0000-0000F4030000}"/>
    <cellStyle name="Accent2 19" xfId="1490" xr:uid="{00000000-0005-0000-0000-0000F5030000}"/>
    <cellStyle name="Accent2 2" xfId="410" xr:uid="{00000000-0005-0000-0000-0000F6030000}"/>
    <cellStyle name="Accent2 2 2" xfId="509" xr:uid="{00000000-0005-0000-0000-0000F7030000}"/>
    <cellStyle name="Accent2 2 2 2" xfId="1491" xr:uid="{00000000-0005-0000-0000-0000F8030000}"/>
    <cellStyle name="Accent2 2 3" xfId="1492" xr:uid="{00000000-0005-0000-0000-0000F9030000}"/>
    <cellStyle name="Accent2 20" xfId="1493" xr:uid="{00000000-0005-0000-0000-0000FA030000}"/>
    <cellStyle name="Accent2 21" xfId="1494" xr:uid="{00000000-0005-0000-0000-0000FB030000}"/>
    <cellStyle name="Accent2 22" xfId="1495" xr:uid="{00000000-0005-0000-0000-0000FC030000}"/>
    <cellStyle name="Accent2 3" xfId="636" xr:uid="{00000000-0005-0000-0000-0000FD030000}"/>
    <cellStyle name="Accent2 3 2" xfId="1496" xr:uid="{00000000-0005-0000-0000-0000FE030000}"/>
    <cellStyle name="Accent2 3 3" xfId="1497" xr:uid="{00000000-0005-0000-0000-0000FF030000}"/>
    <cellStyle name="Accent2 4 2" xfId="1498" xr:uid="{00000000-0005-0000-0000-000000040000}"/>
    <cellStyle name="Accent2 4 3" xfId="1499" xr:uid="{00000000-0005-0000-0000-000001040000}"/>
    <cellStyle name="Accent2 5 2" xfId="1500" xr:uid="{00000000-0005-0000-0000-000002040000}"/>
    <cellStyle name="Accent2 5 3" xfId="1501" xr:uid="{00000000-0005-0000-0000-000003040000}"/>
    <cellStyle name="Accent2 6 2" xfId="1502" xr:uid="{00000000-0005-0000-0000-000004040000}"/>
    <cellStyle name="Accent2 6 3" xfId="1503" xr:uid="{00000000-0005-0000-0000-000005040000}"/>
    <cellStyle name="Accent2 7 2" xfId="1504" xr:uid="{00000000-0005-0000-0000-000006040000}"/>
    <cellStyle name="Accent2 7 3" xfId="1505" xr:uid="{00000000-0005-0000-0000-000007040000}"/>
    <cellStyle name="Accent2 8 2" xfId="1506" xr:uid="{00000000-0005-0000-0000-000008040000}"/>
    <cellStyle name="Accent2 8 3" xfId="1507" xr:uid="{00000000-0005-0000-0000-000009040000}"/>
    <cellStyle name="Accent2 9 2" xfId="1508" xr:uid="{00000000-0005-0000-0000-00000A040000}"/>
    <cellStyle name="Accent2 9 3" xfId="1509" xr:uid="{00000000-0005-0000-0000-00000B040000}"/>
    <cellStyle name="Accent3" xfId="159" builtinId="37" customBuiltin="1"/>
    <cellStyle name="Accent3 10 2" xfId="1510" xr:uid="{00000000-0005-0000-0000-00000D040000}"/>
    <cellStyle name="Accent3 10 3" xfId="1511" xr:uid="{00000000-0005-0000-0000-00000E040000}"/>
    <cellStyle name="Accent3 11 2" xfId="1512" xr:uid="{00000000-0005-0000-0000-00000F040000}"/>
    <cellStyle name="Accent3 11 3" xfId="1513" xr:uid="{00000000-0005-0000-0000-000010040000}"/>
    <cellStyle name="Accent3 12 2" xfId="1514" xr:uid="{00000000-0005-0000-0000-000011040000}"/>
    <cellStyle name="Accent3 12 3" xfId="1515" xr:uid="{00000000-0005-0000-0000-000012040000}"/>
    <cellStyle name="Accent3 13 2" xfId="1516" xr:uid="{00000000-0005-0000-0000-000013040000}"/>
    <cellStyle name="Accent3 13 3" xfId="1517" xr:uid="{00000000-0005-0000-0000-000014040000}"/>
    <cellStyle name="Accent3 14 2" xfId="1518" xr:uid="{00000000-0005-0000-0000-000015040000}"/>
    <cellStyle name="Accent3 14 3" xfId="1519" xr:uid="{00000000-0005-0000-0000-000016040000}"/>
    <cellStyle name="Accent3 15" xfId="1520" xr:uid="{00000000-0005-0000-0000-000017040000}"/>
    <cellStyle name="Accent3 15 2" xfId="1521" xr:uid="{00000000-0005-0000-0000-000018040000}"/>
    <cellStyle name="Accent3 15 3" xfId="1522" xr:uid="{00000000-0005-0000-0000-000019040000}"/>
    <cellStyle name="Accent3 15 4" xfId="1523" xr:uid="{00000000-0005-0000-0000-00001A040000}"/>
    <cellStyle name="Accent3 15 5" xfId="1524" xr:uid="{00000000-0005-0000-0000-00001B040000}"/>
    <cellStyle name="Accent3 15 6" xfId="1525" xr:uid="{00000000-0005-0000-0000-00001C040000}"/>
    <cellStyle name="Accent3 15 7" xfId="1526" xr:uid="{00000000-0005-0000-0000-00001D040000}"/>
    <cellStyle name="Accent3 16" xfId="1527" xr:uid="{00000000-0005-0000-0000-00001E040000}"/>
    <cellStyle name="Accent3 17" xfId="1528" xr:uid="{00000000-0005-0000-0000-00001F040000}"/>
    <cellStyle name="Accent3 18" xfId="1529" xr:uid="{00000000-0005-0000-0000-000020040000}"/>
    <cellStyle name="Accent3 19" xfId="1530" xr:uid="{00000000-0005-0000-0000-000021040000}"/>
    <cellStyle name="Accent3 2" xfId="414" xr:uid="{00000000-0005-0000-0000-000022040000}"/>
    <cellStyle name="Accent3 2 2" xfId="447" xr:uid="{00000000-0005-0000-0000-000023040000}"/>
    <cellStyle name="Accent3 2 2 2" xfId="1531" xr:uid="{00000000-0005-0000-0000-000024040000}"/>
    <cellStyle name="Accent3 2 3" xfId="1532" xr:uid="{00000000-0005-0000-0000-000025040000}"/>
    <cellStyle name="Accent3 20" xfId="1533" xr:uid="{00000000-0005-0000-0000-000026040000}"/>
    <cellStyle name="Accent3 21" xfId="1534" xr:uid="{00000000-0005-0000-0000-000027040000}"/>
    <cellStyle name="Accent3 22" xfId="1535" xr:uid="{00000000-0005-0000-0000-000028040000}"/>
    <cellStyle name="Accent3 3" xfId="637" xr:uid="{00000000-0005-0000-0000-000029040000}"/>
    <cellStyle name="Accent3 3 2" xfId="1536" xr:uid="{00000000-0005-0000-0000-00002A040000}"/>
    <cellStyle name="Accent3 3 3" xfId="1537" xr:uid="{00000000-0005-0000-0000-00002B040000}"/>
    <cellStyle name="Accent3 4 2" xfId="1538" xr:uid="{00000000-0005-0000-0000-00002C040000}"/>
    <cellStyle name="Accent3 4 3" xfId="1539" xr:uid="{00000000-0005-0000-0000-00002D040000}"/>
    <cellStyle name="Accent3 5 2" xfId="1540" xr:uid="{00000000-0005-0000-0000-00002E040000}"/>
    <cellStyle name="Accent3 5 3" xfId="1541" xr:uid="{00000000-0005-0000-0000-00002F040000}"/>
    <cellStyle name="Accent3 6 2" xfId="1542" xr:uid="{00000000-0005-0000-0000-000030040000}"/>
    <cellStyle name="Accent3 6 3" xfId="1543" xr:uid="{00000000-0005-0000-0000-000031040000}"/>
    <cellStyle name="Accent3 7 2" xfId="1544" xr:uid="{00000000-0005-0000-0000-000032040000}"/>
    <cellStyle name="Accent3 7 3" xfId="1545" xr:uid="{00000000-0005-0000-0000-000033040000}"/>
    <cellStyle name="Accent3 8 2" xfId="1546" xr:uid="{00000000-0005-0000-0000-000034040000}"/>
    <cellStyle name="Accent3 8 3" xfId="1547" xr:uid="{00000000-0005-0000-0000-000035040000}"/>
    <cellStyle name="Accent3 9 2" xfId="1548" xr:uid="{00000000-0005-0000-0000-000036040000}"/>
    <cellStyle name="Accent3 9 3" xfId="1549" xr:uid="{00000000-0005-0000-0000-000037040000}"/>
    <cellStyle name="Accent4" xfId="163" builtinId="41" customBuiltin="1"/>
    <cellStyle name="Accent4 10 2" xfId="1550" xr:uid="{00000000-0005-0000-0000-000039040000}"/>
    <cellStyle name="Accent4 10 3" xfId="1551" xr:uid="{00000000-0005-0000-0000-00003A040000}"/>
    <cellStyle name="Accent4 11 2" xfId="1552" xr:uid="{00000000-0005-0000-0000-00003B040000}"/>
    <cellStyle name="Accent4 11 3" xfId="1553" xr:uid="{00000000-0005-0000-0000-00003C040000}"/>
    <cellStyle name="Accent4 12 2" xfId="1554" xr:uid="{00000000-0005-0000-0000-00003D040000}"/>
    <cellStyle name="Accent4 12 3" xfId="1555" xr:uid="{00000000-0005-0000-0000-00003E040000}"/>
    <cellStyle name="Accent4 13 2" xfId="1556" xr:uid="{00000000-0005-0000-0000-00003F040000}"/>
    <cellStyle name="Accent4 13 3" xfId="1557" xr:uid="{00000000-0005-0000-0000-000040040000}"/>
    <cellStyle name="Accent4 14 2" xfId="1558" xr:uid="{00000000-0005-0000-0000-000041040000}"/>
    <cellStyle name="Accent4 14 3" xfId="1559" xr:uid="{00000000-0005-0000-0000-000042040000}"/>
    <cellStyle name="Accent4 15" xfId="1560" xr:uid="{00000000-0005-0000-0000-000043040000}"/>
    <cellStyle name="Accent4 15 2" xfId="1561" xr:uid="{00000000-0005-0000-0000-000044040000}"/>
    <cellStyle name="Accent4 15 3" xfId="1562" xr:uid="{00000000-0005-0000-0000-000045040000}"/>
    <cellStyle name="Accent4 15 4" xfId="1563" xr:uid="{00000000-0005-0000-0000-000046040000}"/>
    <cellStyle name="Accent4 15 5" xfId="1564" xr:uid="{00000000-0005-0000-0000-000047040000}"/>
    <cellStyle name="Accent4 15 6" xfId="1565" xr:uid="{00000000-0005-0000-0000-000048040000}"/>
    <cellStyle name="Accent4 15 7" xfId="1566" xr:uid="{00000000-0005-0000-0000-000049040000}"/>
    <cellStyle name="Accent4 16" xfId="1567" xr:uid="{00000000-0005-0000-0000-00004A040000}"/>
    <cellStyle name="Accent4 17" xfId="1568" xr:uid="{00000000-0005-0000-0000-00004B040000}"/>
    <cellStyle name="Accent4 18" xfId="1569" xr:uid="{00000000-0005-0000-0000-00004C040000}"/>
    <cellStyle name="Accent4 19" xfId="1570" xr:uid="{00000000-0005-0000-0000-00004D040000}"/>
    <cellStyle name="Accent4 2" xfId="418" xr:uid="{00000000-0005-0000-0000-00004E040000}"/>
    <cellStyle name="Accent4 2 2" xfId="512" xr:uid="{00000000-0005-0000-0000-00004F040000}"/>
    <cellStyle name="Accent4 2 2 2" xfId="1571" xr:uid="{00000000-0005-0000-0000-000050040000}"/>
    <cellStyle name="Accent4 2 3" xfId="1572" xr:uid="{00000000-0005-0000-0000-000051040000}"/>
    <cellStyle name="Accent4 20" xfId="1573" xr:uid="{00000000-0005-0000-0000-000052040000}"/>
    <cellStyle name="Accent4 21" xfId="1574" xr:uid="{00000000-0005-0000-0000-000053040000}"/>
    <cellStyle name="Accent4 22" xfId="1575" xr:uid="{00000000-0005-0000-0000-000054040000}"/>
    <cellStyle name="Accent4 3" xfId="638" xr:uid="{00000000-0005-0000-0000-000055040000}"/>
    <cellStyle name="Accent4 3 2" xfId="1576" xr:uid="{00000000-0005-0000-0000-000056040000}"/>
    <cellStyle name="Accent4 3 3" xfId="1577" xr:uid="{00000000-0005-0000-0000-000057040000}"/>
    <cellStyle name="Accent4 4 2" xfId="1578" xr:uid="{00000000-0005-0000-0000-000058040000}"/>
    <cellStyle name="Accent4 4 3" xfId="1579" xr:uid="{00000000-0005-0000-0000-000059040000}"/>
    <cellStyle name="Accent4 5 2" xfId="1580" xr:uid="{00000000-0005-0000-0000-00005A040000}"/>
    <cellStyle name="Accent4 5 3" xfId="1581" xr:uid="{00000000-0005-0000-0000-00005B040000}"/>
    <cellStyle name="Accent4 6 2" xfId="1582" xr:uid="{00000000-0005-0000-0000-00005C040000}"/>
    <cellStyle name="Accent4 6 3" xfId="1583" xr:uid="{00000000-0005-0000-0000-00005D040000}"/>
    <cellStyle name="Accent4 7 2" xfId="1584" xr:uid="{00000000-0005-0000-0000-00005E040000}"/>
    <cellStyle name="Accent4 7 3" xfId="1585" xr:uid="{00000000-0005-0000-0000-00005F040000}"/>
    <cellStyle name="Accent4 8 2" xfId="1586" xr:uid="{00000000-0005-0000-0000-000060040000}"/>
    <cellStyle name="Accent4 8 3" xfId="1587" xr:uid="{00000000-0005-0000-0000-000061040000}"/>
    <cellStyle name="Accent4 9 2" xfId="1588" xr:uid="{00000000-0005-0000-0000-000062040000}"/>
    <cellStyle name="Accent4 9 3" xfId="1589" xr:uid="{00000000-0005-0000-0000-000063040000}"/>
    <cellStyle name="Accent5" xfId="167" builtinId="45" customBuiltin="1"/>
    <cellStyle name="Accent5 10 2" xfId="1590" xr:uid="{00000000-0005-0000-0000-000065040000}"/>
    <cellStyle name="Accent5 10 3" xfId="1591" xr:uid="{00000000-0005-0000-0000-000066040000}"/>
    <cellStyle name="Accent5 11 2" xfId="1592" xr:uid="{00000000-0005-0000-0000-000067040000}"/>
    <cellStyle name="Accent5 11 3" xfId="1593" xr:uid="{00000000-0005-0000-0000-000068040000}"/>
    <cellStyle name="Accent5 12 2" xfId="1594" xr:uid="{00000000-0005-0000-0000-000069040000}"/>
    <cellStyle name="Accent5 12 3" xfId="1595" xr:uid="{00000000-0005-0000-0000-00006A040000}"/>
    <cellStyle name="Accent5 13 2" xfId="1596" xr:uid="{00000000-0005-0000-0000-00006B040000}"/>
    <cellStyle name="Accent5 13 3" xfId="1597" xr:uid="{00000000-0005-0000-0000-00006C040000}"/>
    <cellStyle name="Accent5 14 2" xfId="1598" xr:uid="{00000000-0005-0000-0000-00006D040000}"/>
    <cellStyle name="Accent5 14 3" xfId="1599" xr:uid="{00000000-0005-0000-0000-00006E040000}"/>
    <cellStyle name="Accent5 15" xfId="1600" xr:uid="{00000000-0005-0000-0000-00006F040000}"/>
    <cellStyle name="Accent5 15 2" xfId="1601" xr:uid="{00000000-0005-0000-0000-000070040000}"/>
    <cellStyle name="Accent5 15 3" xfId="1602" xr:uid="{00000000-0005-0000-0000-000071040000}"/>
    <cellStyle name="Accent5 15 4" xfId="1603" xr:uid="{00000000-0005-0000-0000-000072040000}"/>
    <cellStyle name="Accent5 15 5" xfId="1604" xr:uid="{00000000-0005-0000-0000-000073040000}"/>
    <cellStyle name="Accent5 15 6" xfId="1605" xr:uid="{00000000-0005-0000-0000-000074040000}"/>
    <cellStyle name="Accent5 15 7" xfId="1606" xr:uid="{00000000-0005-0000-0000-000075040000}"/>
    <cellStyle name="Accent5 16" xfId="1607" xr:uid="{00000000-0005-0000-0000-000076040000}"/>
    <cellStyle name="Accent5 17" xfId="1608" xr:uid="{00000000-0005-0000-0000-000077040000}"/>
    <cellStyle name="Accent5 18" xfId="1609" xr:uid="{00000000-0005-0000-0000-000078040000}"/>
    <cellStyle name="Accent5 19" xfId="1610" xr:uid="{00000000-0005-0000-0000-000079040000}"/>
    <cellStyle name="Accent5 2" xfId="422" xr:uid="{00000000-0005-0000-0000-00007A040000}"/>
    <cellStyle name="Accent5 2 2" xfId="503" xr:uid="{00000000-0005-0000-0000-00007B040000}"/>
    <cellStyle name="Accent5 2 2 2" xfId="1611" xr:uid="{00000000-0005-0000-0000-00007C040000}"/>
    <cellStyle name="Accent5 2 3" xfId="1612" xr:uid="{00000000-0005-0000-0000-00007D040000}"/>
    <cellStyle name="Accent5 20" xfId="1613" xr:uid="{00000000-0005-0000-0000-00007E040000}"/>
    <cellStyle name="Accent5 21" xfId="1614" xr:uid="{00000000-0005-0000-0000-00007F040000}"/>
    <cellStyle name="Accent5 22" xfId="1615" xr:uid="{00000000-0005-0000-0000-000080040000}"/>
    <cellStyle name="Accent5 3" xfId="639" xr:uid="{00000000-0005-0000-0000-000081040000}"/>
    <cellStyle name="Accent5 3 2" xfId="1616" xr:uid="{00000000-0005-0000-0000-000082040000}"/>
    <cellStyle name="Accent5 3 3" xfId="1617" xr:uid="{00000000-0005-0000-0000-000083040000}"/>
    <cellStyle name="Accent5 4 2" xfId="1618" xr:uid="{00000000-0005-0000-0000-000084040000}"/>
    <cellStyle name="Accent5 4 3" xfId="1619" xr:uid="{00000000-0005-0000-0000-000085040000}"/>
    <cellStyle name="Accent5 5 2" xfId="1620" xr:uid="{00000000-0005-0000-0000-000086040000}"/>
    <cellStyle name="Accent5 5 3" xfId="1621" xr:uid="{00000000-0005-0000-0000-000087040000}"/>
    <cellStyle name="Accent5 6 2" xfId="1622" xr:uid="{00000000-0005-0000-0000-000088040000}"/>
    <cellStyle name="Accent5 6 3" xfId="1623" xr:uid="{00000000-0005-0000-0000-000089040000}"/>
    <cellStyle name="Accent5 7 2" xfId="1624" xr:uid="{00000000-0005-0000-0000-00008A040000}"/>
    <cellStyle name="Accent5 7 3" xfId="1625" xr:uid="{00000000-0005-0000-0000-00008B040000}"/>
    <cellStyle name="Accent5 8 2" xfId="1626" xr:uid="{00000000-0005-0000-0000-00008C040000}"/>
    <cellStyle name="Accent5 8 3" xfId="1627" xr:uid="{00000000-0005-0000-0000-00008D040000}"/>
    <cellStyle name="Accent5 9 2" xfId="1628" xr:uid="{00000000-0005-0000-0000-00008E040000}"/>
    <cellStyle name="Accent5 9 3" xfId="1629" xr:uid="{00000000-0005-0000-0000-00008F040000}"/>
    <cellStyle name="Accent6" xfId="171" builtinId="49" customBuiltin="1"/>
    <cellStyle name="Accent6 10 2" xfId="1630" xr:uid="{00000000-0005-0000-0000-000091040000}"/>
    <cellStyle name="Accent6 10 3" xfId="1631" xr:uid="{00000000-0005-0000-0000-000092040000}"/>
    <cellStyle name="Accent6 11 2" xfId="1632" xr:uid="{00000000-0005-0000-0000-000093040000}"/>
    <cellStyle name="Accent6 11 3" xfId="1633" xr:uid="{00000000-0005-0000-0000-000094040000}"/>
    <cellStyle name="Accent6 12 2" xfId="1634" xr:uid="{00000000-0005-0000-0000-000095040000}"/>
    <cellStyle name="Accent6 12 3" xfId="1635" xr:uid="{00000000-0005-0000-0000-000096040000}"/>
    <cellStyle name="Accent6 13 2" xfId="1636" xr:uid="{00000000-0005-0000-0000-000097040000}"/>
    <cellStyle name="Accent6 13 3" xfId="1637" xr:uid="{00000000-0005-0000-0000-000098040000}"/>
    <cellStyle name="Accent6 14 2" xfId="1638" xr:uid="{00000000-0005-0000-0000-000099040000}"/>
    <cellStyle name="Accent6 14 3" xfId="1639" xr:uid="{00000000-0005-0000-0000-00009A040000}"/>
    <cellStyle name="Accent6 15" xfId="1640" xr:uid="{00000000-0005-0000-0000-00009B040000}"/>
    <cellStyle name="Accent6 15 2" xfId="1641" xr:uid="{00000000-0005-0000-0000-00009C040000}"/>
    <cellStyle name="Accent6 15 3" xfId="1642" xr:uid="{00000000-0005-0000-0000-00009D040000}"/>
    <cellStyle name="Accent6 15 4" xfId="1643" xr:uid="{00000000-0005-0000-0000-00009E040000}"/>
    <cellStyle name="Accent6 15 5" xfId="1644" xr:uid="{00000000-0005-0000-0000-00009F040000}"/>
    <cellStyle name="Accent6 15 6" xfId="1645" xr:uid="{00000000-0005-0000-0000-0000A0040000}"/>
    <cellStyle name="Accent6 15 7" xfId="1646" xr:uid="{00000000-0005-0000-0000-0000A1040000}"/>
    <cellStyle name="Accent6 16" xfId="1647" xr:uid="{00000000-0005-0000-0000-0000A2040000}"/>
    <cellStyle name="Accent6 17" xfId="1648" xr:uid="{00000000-0005-0000-0000-0000A3040000}"/>
    <cellStyle name="Accent6 18" xfId="1649" xr:uid="{00000000-0005-0000-0000-0000A4040000}"/>
    <cellStyle name="Accent6 19" xfId="1650" xr:uid="{00000000-0005-0000-0000-0000A5040000}"/>
    <cellStyle name="Accent6 2" xfId="426" xr:uid="{00000000-0005-0000-0000-0000A6040000}"/>
    <cellStyle name="Accent6 2 2" xfId="504" xr:uid="{00000000-0005-0000-0000-0000A7040000}"/>
    <cellStyle name="Accent6 2 2 2" xfId="1651" xr:uid="{00000000-0005-0000-0000-0000A8040000}"/>
    <cellStyle name="Accent6 2 3" xfId="1652" xr:uid="{00000000-0005-0000-0000-0000A9040000}"/>
    <cellStyle name="Accent6 20" xfId="1653" xr:uid="{00000000-0005-0000-0000-0000AA040000}"/>
    <cellStyle name="Accent6 21" xfId="1654" xr:uid="{00000000-0005-0000-0000-0000AB040000}"/>
    <cellStyle name="Accent6 22" xfId="1655" xr:uid="{00000000-0005-0000-0000-0000AC040000}"/>
    <cellStyle name="Accent6 3" xfId="640" xr:uid="{00000000-0005-0000-0000-0000AD040000}"/>
    <cellStyle name="Accent6 3 2" xfId="1656" xr:uid="{00000000-0005-0000-0000-0000AE040000}"/>
    <cellStyle name="Accent6 3 3" xfId="1657" xr:uid="{00000000-0005-0000-0000-0000AF040000}"/>
    <cellStyle name="Accent6 4 2" xfId="1658" xr:uid="{00000000-0005-0000-0000-0000B0040000}"/>
    <cellStyle name="Accent6 4 3" xfId="1659" xr:uid="{00000000-0005-0000-0000-0000B1040000}"/>
    <cellStyle name="Accent6 5 2" xfId="1660" xr:uid="{00000000-0005-0000-0000-0000B2040000}"/>
    <cellStyle name="Accent6 5 3" xfId="1661" xr:uid="{00000000-0005-0000-0000-0000B3040000}"/>
    <cellStyle name="Accent6 6 2" xfId="1662" xr:uid="{00000000-0005-0000-0000-0000B4040000}"/>
    <cellStyle name="Accent6 6 3" xfId="1663" xr:uid="{00000000-0005-0000-0000-0000B5040000}"/>
    <cellStyle name="Accent6 7 2" xfId="1664" xr:uid="{00000000-0005-0000-0000-0000B6040000}"/>
    <cellStyle name="Accent6 7 3" xfId="1665" xr:uid="{00000000-0005-0000-0000-0000B7040000}"/>
    <cellStyle name="Accent6 8 2" xfId="1666" xr:uid="{00000000-0005-0000-0000-0000B8040000}"/>
    <cellStyle name="Accent6 8 3" xfId="1667" xr:uid="{00000000-0005-0000-0000-0000B9040000}"/>
    <cellStyle name="Accent6 9 2" xfId="1668" xr:uid="{00000000-0005-0000-0000-0000BA040000}"/>
    <cellStyle name="Accent6 9 3" xfId="1669" xr:uid="{00000000-0005-0000-0000-0000BB040000}"/>
    <cellStyle name="Bad" xfId="143" builtinId="27" customBuiltin="1"/>
    <cellStyle name="Bad 10 2" xfId="1670" xr:uid="{00000000-0005-0000-0000-0000BD040000}"/>
    <cellStyle name="Bad 10 3" xfId="1671" xr:uid="{00000000-0005-0000-0000-0000BE040000}"/>
    <cellStyle name="Bad 11 2" xfId="1672" xr:uid="{00000000-0005-0000-0000-0000BF040000}"/>
    <cellStyle name="Bad 11 3" xfId="1673" xr:uid="{00000000-0005-0000-0000-0000C0040000}"/>
    <cellStyle name="Bad 12 2" xfId="1674" xr:uid="{00000000-0005-0000-0000-0000C1040000}"/>
    <cellStyle name="Bad 12 3" xfId="1675" xr:uid="{00000000-0005-0000-0000-0000C2040000}"/>
    <cellStyle name="Bad 13 2" xfId="1676" xr:uid="{00000000-0005-0000-0000-0000C3040000}"/>
    <cellStyle name="Bad 13 3" xfId="1677" xr:uid="{00000000-0005-0000-0000-0000C4040000}"/>
    <cellStyle name="Bad 14 2" xfId="1678" xr:uid="{00000000-0005-0000-0000-0000C5040000}"/>
    <cellStyle name="Bad 14 3" xfId="1679" xr:uid="{00000000-0005-0000-0000-0000C6040000}"/>
    <cellStyle name="Bad 15" xfId="1680" xr:uid="{00000000-0005-0000-0000-0000C7040000}"/>
    <cellStyle name="Bad 15 2" xfId="1681" xr:uid="{00000000-0005-0000-0000-0000C8040000}"/>
    <cellStyle name="Bad 15 3" xfId="1682" xr:uid="{00000000-0005-0000-0000-0000C9040000}"/>
    <cellStyle name="Bad 15 4" xfId="1683" xr:uid="{00000000-0005-0000-0000-0000CA040000}"/>
    <cellStyle name="Bad 15 5" xfId="1684" xr:uid="{00000000-0005-0000-0000-0000CB040000}"/>
    <cellStyle name="Bad 15 6" xfId="1685" xr:uid="{00000000-0005-0000-0000-0000CC040000}"/>
    <cellStyle name="Bad 15 7" xfId="1686" xr:uid="{00000000-0005-0000-0000-0000CD040000}"/>
    <cellStyle name="Bad 16" xfId="1687" xr:uid="{00000000-0005-0000-0000-0000CE040000}"/>
    <cellStyle name="Bad 17" xfId="1688" xr:uid="{00000000-0005-0000-0000-0000CF040000}"/>
    <cellStyle name="Bad 18" xfId="1689" xr:uid="{00000000-0005-0000-0000-0000D0040000}"/>
    <cellStyle name="Bad 19" xfId="1690" xr:uid="{00000000-0005-0000-0000-0000D1040000}"/>
    <cellStyle name="Bad 2" xfId="395" xr:uid="{00000000-0005-0000-0000-0000D2040000}"/>
    <cellStyle name="Bad 2 2" xfId="582" xr:uid="{00000000-0005-0000-0000-0000D3040000}"/>
    <cellStyle name="Bad 2 2 2" xfId="1691" xr:uid="{00000000-0005-0000-0000-0000D4040000}"/>
    <cellStyle name="Bad 2 3" xfId="1692" xr:uid="{00000000-0005-0000-0000-0000D5040000}"/>
    <cellStyle name="Bad 20" xfId="1693" xr:uid="{00000000-0005-0000-0000-0000D6040000}"/>
    <cellStyle name="Bad 21" xfId="1694" xr:uid="{00000000-0005-0000-0000-0000D7040000}"/>
    <cellStyle name="Bad 22" xfId="1695" xr:uid="{00000000-0005-0000-0000-0000D8040000}"/>
    <cellStyle name="Bad 3" xfId="641" xr:uid="{00000000-0005-0000-0000-0000D9040000}"/>
    <cellStyle name="Bad 3 2" xfId="1696" xr:uid="{00000000-0005-0000-0000-0000DA040000}"/>
    <cellStyle name="Bad 3 3" xfId="1697" xr:uid="{00000000-0005-0000-0000-0000DB040000}"/>
    <cellStyle name="Bad 4 2" xfId="1698" xr:uid="{00000000-0005-0000-0000-0000DC040000}"/>
    <cellStyle name="Bad 4 3" xfId="1699" xr:uid="{00000000-0005-0000-0000-0000DD040000}"/>
    <cellStyle name="Bad 5 2" xfId="1700" xr:uid="{00000000-0005-0000-0000-0000DE040000}"/>
    <cellStyle name="Bad 5 3" xfId="1701" xr:uid="{00000000-0005-0000-0000-0000DF040000}"/>
    <cellStyle name="Bad 6 2" xfId="1702" xr:uid="{00000000-0005-0000-0000-0000E0040000}"/>
    <cellStyle name="Bad 6 3" xfId="1703" xr:uid="{00000000-0005-0000-0000-0000E1040000}"/>
    <cellStyle name="Bad 7 2" xfId="1704" xr:uid="{00000000-0005-0000-0000-0000E2040000}"/>
    <cellStyle name="Bad 7 3" xfId="1705" xr:uid="{00000000-0005-0000-0000-0000E3040000}"/>
    <cellStyle name="Bad 8 2" xfId="1706" xr:uid="{00000000-0005-0000-0000-0000E4040000}"/>
    <cellStyle name="Bad 8 3" xfId="1707" xr:uid="{00000000-0005-0000-0000-0000E5040000}"/>
    <cellStyle name="Bad 9 2" xfId="1708" xr:uid="{00000000-0005-0000-0000-0000E6040000}"/>
    <cellStyle name="Bad 9 3" xfId="1709" xr:uid="{00000000-0005-0000-0000-0000E7040000}"/>
    <cellStyle name="Calculation" xfId="2" builtinId="22" customBuiltin="1"/>
    <cellStyle name="Calculation 10 2" xfId="1710" xr:uid="{00000000-0005-0000-0000-0000E9040000}"/>
    <cellStyle name="Calculation 10 3" xfId="1711" xr:uid="{00000000-0005-0000-0000-0000EA040000}"/>
    <cellStyle name="Calculation 11 2" xfId="1712" xr:uid="{00000000-0005-0000-0000-0000EB040000}"/>
    <cellStyle name="Calculation 11 3" xfId="1713" xr:uid="{00000000-0005-0000-0000-0000EC040000}"/>
    <cellStyle name="Calculation 12 2" xfId="1714" xr:uid="{00000000-0005-0000-0000-0000ED040000}"/>
    <cellStyle name="Calculation 12 3" xfId="1715" xr:uid="{00000000-0005-0000-0000-0000EE040000}"/>
    <cellStyle name="Calculation 13 2" xfId="1716" xr:uid="{00000000-0005-0000-0000-0000EF040000}"/>
    <cellStyle name="Calculation 13 3" xfId="1717" xr:uid="{00000000-0005-0000-0000-0000F0040000}"/>
    <cellStyle name="Calculation 14 2" xfId="1718" xr:uid="{00000000-0005-0000-0000-0000F1040000}"/>
    <cellStyle name="Calculation 14 3" xfId="1719" xr:uid="{00000000-0005-0000-0000-0000F2040000}"/>
    <cellStyle name="Calculation 15" xfId="1720" xr:uid="{00000000-0005-0000-0000-0000F3040000}"/>
    <cellStyle name="Calculation 15 2" xfId="1721" xr:uid="{00000000-0005-0000-0000-0000F4040000}"/>
    <cellStyle name="Calculation 15 3" xfId="1722" xr:uid="{00000000-0005-0000-0000-0000F5040000}"/>
    <cellStyle name="Calculation 15 4" xfId="1723" xr:uid="{00000000-0005-0000-0000-0000F6040000}"/>
    <cellStyle name="Calculation 15 5" xfId="1724" xr:uid="{00000000-0005-0000-0000-0000F7040000}"/>
    <cellStyle name="Calculation 15 6" xfId="1725" xr:uid="{00000000-0005-0000-0000-0000F8040000}"/>
    <cellStyle name="Calculation 15 7" xfId="1726" xr:uid="{00000000-0005-0000-0000-0000F9040000}"/>
    <cellStyle name="Calculation 16" xfId="1727" xr:uid="{00000000-0005-0000-0000-0000FA040000}"/>
    <cellStyle name="Calculation 17" xfId="1728" xr:uid="{00000000-0005-0000-0000-0000FB040000}"/>
    <cellStyle name="Calculation 18" xfId="1729" xr:uid="{00000000-0005-0000-0000-0000FC040000}"/>
    <cellStyle name="Calculation 19" xfId="1730" xr:uid="{00000000-0005-0000-0000-0000FD040000}"/>
    <cellStyle name="Calculation 2" xfId="399" xr:uid="{00000000-0005-0000-0000-0000FE040000}"/>
    <cellStyle name="Calculation 2 2" xfId="599" xr:uid="{00000000-0005-0000-0000-0000FF040000}"/>
    <cellStyle name="Calculation 2 2 2" xfId="1731" xr:uid="{00000000-0005-0000-0000-000000050000}"/>
    <cellStyle name="Calculation 2 3" xfId="1732" xr:uid="{00000000-0005-0000-0000-000001050000}"/>
    <cellStyle name="Calculation 20" xfId="1733" xr:uid="{00000000-0005-0000-0000-000002050000}"/>
    <cellStyle name="Calculation 21" xfId="1734" xr:uid="{00000000-0005-0000-0000-000003050000}"/>
    <cellStyle name="Calculation 22" xfId="1735" xr:uid="{00000000-0005-0000-0000-000004050000}"/>
    <cellStyle name="Calculation 3" xfId="642" xr:uid="{00000000-0005-0000-0000-000005050000}"/>
    <cellStyle name="Calculation 3 2" xfId="1736" xr:uid="{00000000-0005-0000-0000-000006050000}"/>
    <cellStyle name="Calculation 3 3" xfId="1737" xr:uid="{00000000-0005-0000-0000-000007050000}"/>
    <cellStyle name="Calculation 4 2" xfId="1738" xr:uid="{00000000-0005-0000-0000-000008050000}"/>
    <cellStyle name="Calculation 4 3" xfId="1739" xr:uid="{00000000-0005-0000-0000-000009050000}"/>
    <cellStyle name="Calculation 5 2" xfId="1740" xr:uid="{00000000-0005-0000-0000-00000A050000}"/>
    <cellStyle name="Calculation 5 3" xfId="1741" xr:uid="{00000000-0005-0000-0000-00000B050000}"/>
    <cellStyle name="Calculation 6 2" xfId="1742" xr:uid="{00000000-0005-0000-0000-00000C050000}"/>
    <cellStyle name="Calculation 6 3" xfId="1743" xr:uid="{00000000-0005-0000-0000-00000D050000}"/>
    <cellStyle name="Calculation 7 2" xfId="1744" xr:uid="{00000000-0005-0000-0000-00000E050000}"/>
    <cellStyle name="Calculation 7 3" xfId="1745" xr:uid="{00000000-0005-0000-0000-00000F050000}"/>
    <cellStyle name="Calculation 8 2" xfId="1746" xr:uid="{00000000-0005-0000-0000-000010050000}"/>
    <cellStyle name="Calculation 8 3" xfId="1747" xr:uid="{00000000-0005-0000-0000-000011050000}"/>
    <cellStyle name="Calculation 9 2" xfId="1748" xr:uid="{00000000-0005-0000-0000-000012050000}"/>
    <cellStyle name="Calculation 9 3" xfId="1749" xr:uid="{00000000-0005-0000-0000-000013050000}"/>
    <cellStyle name="Check Cell" xfId="147" builtinId="23" customBuiltin="1"/>
    <cellStyle name="Check Cell 10 2" xfId="1750" xr:uid="{00000000-0005-0000-0000-000015050000}"/>
    <cellStyle name="Check Cell 10 3" xfId="1751" xr:uid="{00000000-0005-0000-0000-000016050000}"/>
    <cellStyle name="Check Cell 11 2" xfId="1752" xr:uid="{00000000-0005-0000-0000-000017050000}"/>
    <cellStyle name="Check Cell 11 3" xfId="1753" xr:uid="{00000000-0005-0000-0000-000018050000}"/>
    <cellStyle name="Check Cell 12 2" xfId="1754" xr:uid="{00000000-0005-0000-0000-000019050000}"/>
    <cellStyle name="Check Cell 12 3" xfId="1755" xr:uid="{00000000-0005-0000-0000-00001A050000}"/>
    <cellStyle name="Check Cell 13 2" xfId="1756" xr:uid="{00000000-0005-0000-0000-00001B050000}"/>
    <cellStyle name="Check Cell 13 3" xfId="1757" xr:uid="{00000000-0005-0000-0000-00001C050000}"/>
    <cellStyle name="Check Cell 14 2" xfId="1758" xr:uid="{00000000-0005-0000-0000-00001D050000}"/>
    <cellStyle name="Check Cell 14 3" xfId="1759" xr:uid="{00000000-0005-0000-0000-00001E050000}"/>
    <cellStyle name="Check Cell 15" xfId="1760" xr:uid="{00000000-0005-0000-0000-00001F050000}"/>
    <cellStyle name="Check Cell 15 2" xfId="1761" xr:uid="{00000000-0005-0000-0000-000020050000}"/>
    <cellStyle name="Check Cell 15 3" xfId="1762" xr:uid="{00000000-0005-0000-0000-000021050000}"/>
    <cellStyle name="Check Cell 15 4" xfId="1763" xr:uid="{00000000-0005-0000-0000-000022050000}"/>
    <cellStyle name="Check Cell 15 5" xfId="1764" xr:uid="{00000000-0005-0000-0000-000023050000}"/>
    <cellStyle name="Check Cell 15 6" xfId="1765" xr:uid="{00000000-0005-0000-0000-000024050000}"/>
    <cellStyle name="Check Cell 15 7" xfId="1766" xr:uid="{00000000-0005-0000-0000-000025050000}"/>
    <cellStyle name="Check Cell 16" xfId="1767" xr:uid="{00000000-0005-0000-0000-000026050000}"/>
    <cellStyle name="Check Cell 17" xfId="1768" xr:uid="{00000000-0005-0000-0000-000027050000}"/>
    <cellStyle name="Check Cell 18" xfId="1769" xr:uid="{00000000-0005-0000-0000-000028050000}"/>
    <cellStyle name="Check Cell 19" xfId="1770" xr:uid="{00000000-0005-0000-0000-000029050000}"/>
    <cellStyle name="Check Cell 2" xfId="401" xr:uid="{00000000-0005-0000-0000-00002A050000}"/>
    <cellStyle name="Check Cell 2 2" xfId="584" xr:uid="{00000000-0005-0000-0000-00002B050000}"/>
    <cellStyle name="Check Cell 2 2 2" xfId="1771" xr:uid="{00000000-0005-0000-0000-00002C050000}"/>
    <cellStyle name="Check Cell 2 3" xfId="1772" xr:uid="{00000000-0005-0000-0000-00002D050000}"/>
    <cellStyle name="Check Cell 20" xfId="1773" xr:uid="{00000000-0005-0000-0000-00002E050000}"/>
    <cellStyle name="Check Cell 21" xfId="1774" xr:uid="{00000000-0005-0000-0000-00002F050000}"/>
    <cellStyle name="Check Cell 22" xfId="1775" xr:uid="{00000000-0005-0000-0000-000030050000}"/>
    <cellStyle name="Check Cell 3" xfId="643" xr:uid="{00000000-0005-0000-0000-000031050000}"/>
    <cellStyle name="Check Cell 3 2" xfId="1776" xr:uid="{00000000-0005-0000-0000-000032050000}"/>
    <cellStyle name="Check Cell 3 3" xfId="1777" xr:uid="{00000000-0005-0000-0000-000033050000}"/>
    <cellStyle name="Check Cell 4 2" xfId="1778" xr:uid="{00000000-0005-0000-0000-000034050000}"/>
    <cellStyle name="Check Cell 4 3" xfId="1779" xr:uid="{00000000-0005-0000-0000-000035050000}"/>
    <cellStyle name="Check Cell 5 2" xfId="1780" xr:uid="{00000000-0005-0000-0000-000036050000}"/>
    <cellStyle name="Check Cell 5 3" xfId="1781" xr:uid="{00000000-0005-0000-0000-000037050000}"/>
    <cellStyle name="Check Cell 6 2" xfId="1782" xr:uid="{00000000-0005-0000-0000-000038050000}"/>
    <cellStyle name="Check Cell 6 3" xfId="1783" xr:uid="{00000000-0005-0000-0000-000039050000}"/>
    <cellStyle name="Check Cell 7 2" xfId="1784" xr:uid="{00000000-0005-0000-0000-00003A050000}"/>
    <cellStyle name="Check Cell 7 3" xfId="1785" xr:uid="{00000000-0005-0000-0000-00003B050000}"/>
    <cellStyle name="Check Cell 8 2" xfId="1786" xr:uid="{00000000-0005-0000-0000-00003C050000}"/>
    <cellStyle name="Check Cell 8 3" xfId="1787" xr:uid="{00000000-0005-0000-0000-00003D050000}"/>
    <cellStyle name="Check Cell 9 2" xfId="1788" xr:uid="{00000000-0005-0000-0000-00003E050000}"/>
    <cellStyle name="Check Cell 9 3" xfId="1789" xr:uid="{00000000-0005-0000-0000-00003F050000}"/>
    <cellStyle name="Comma" xfId="4" builtinId="3"/>
    <cellStyle name="Comma 10" xfId="436" xr:uid="{00000000-0005-0000-0000-000041050000}"/>
    <cellStyle name="Comma 10 10" xfId="1791" xr:uid="{00000000-0005-0000-0000-000042050000}"/>
    <cellStyle name="Comma 10 10 2" xfId="602" xr:uid="{00000000-0005-0000-0000-000043050000}"/>
    <cellStyle name="Comma 10 11" xfId="1792" xr:uid="{00000000-0005-0000-0000-000044050000}"/>
    <cellStyle name="Comma 10 12" xfId="1793" xr:uid="{00000000-0005-0000-0000-000045050000}"/>
    <cellStyle name="Comma 10 13" xfId="1794" xr:uid="{00000000-0005-0000-0000-000046050000}"/>
    <cellStyle name="Comma 10 14" xfId="1795" xr:uid="{00000000-0005-0000-0000-000047050000}"/>
    <cellStyle name="Comma 10 15" xfId="1796" xr:uid="{00000000-0005-0000-0000-000048050000}"/>
    <cellStyle name="Comma 10 16" xfId="1797" xr:uid="{00000000-0005-0000-0000-000049050000}"/>
    <cellStyle name="Comma 10 17" xfId="1798" xr:uid="{00000000-0005-0000-0000-00004A050000}"/>
    <cellStyle name="Comma 10 18" xfId="1790" xr:uid="{00000000-0005-0000-0000-00004B050000}"/>
    <cellStyle name="Comma 10 19" xfId="37631" xr:uid="{00000000-0005-0000-0000-00004C050000}"/>
    <cellStyle name="Comma 10 2" xfId="594" xr:uid="{00000000-0005-0000-0000-00004D050000}"/>
    <cellStyle name="Comma 10 2 2" xfId="1800" xr:uid="{00000000-0005-0000-0000-00004E050000}"/>
    <cellStyle name="Comma 10 2 3" xfId="1799" xr:uid="{00000000-0005-0000-0000-00004F050000}"/>
    <cellStyle name="Comma 10 3" xfId="1801" xr:uid="{00000000-0005-0000-0000-000050050000}"/>
    <cellStyle name="Comma 10 3 2" xfId="1802" xr:uid="{00000000-0005-0000-0000-000051050000}"/>
    <cellStyle name="Comma 10 4" xfId="1803" xr:uid="{00000000-0005-0000-0000-000052050000}"/>
    <cellStyle name="Comma 10 4 2" xfId="1804" xr:uid="{00000000-0005-0000-0000-000053050000}"/>
    <cellStyle name="Comma 10 5" xfId="1805" xr:uid="{00000000-0005-0000-0000-000054050000}"/>
    <cellStyle name="Comma 10 5 2" xfId="1806" xr:uid="{00000000-0005-0000-0000-000055050000}"/>
    <cellStyle name="Comma 10 6" xfId="1807" xr:uid="{00000000-0005-0000-0000-000056050000}"/>
    <cellStyle name="Comma 10 7" xfId="1808" xr:uid="{00000000-0005-0000-0000-000057050000}"/>
    <cellStyle name="Comma 10 8" xfId="1809" xr:uid="{00000000-0005-0000-0000-000058050000}"/>
    <cellStyle name="Comma 10 9" xfId="1810" xr:uid="{00000000-0005-0000-0000-000059050000}"/>
    <cellStyle name="Comma 11" xfId="440" xr:uid="{00000000-0005-0000-0000-00005A050000}"/>
    <cellStyle name="Comma 11 2" xfId="1812" xr:uid="{00000000-0005-0000-0000-00005B050000}"/>
    <cellStyle name="Comma 11 2 10" xfId="1813" xr:uid="{00000000-0005-0000-0000-00005C050000}"/>
    <cellStyle name="Comma 11 2 2" xfId="1814" xr:uid="{00000000-0005-0000-0000-00005D050000}"/>
    <cellStyle name="Comma 11 2 3" xfId="1815" xr:uid="{00000000-0005-0000-0000-00005E050000}"/>
    <cellStyle name="Comma 11 2 4" xfId="1816" xr:uid="{00000000-0005-0000-0000-00005F050000}"/>
    <cellStyle name="Comma 11 2 5" xfId="1817" xr:uid="{00000000-0005-0000-0000-000060050000}"/>
    <cellStyle name="Comma 11 2 6" xfId="1818" xr:uid="{00000000-0005-0000-0000-000061050000}"/>
    <cellStyle name="Comma 11 2 7" xfId="1819" xr:uid="{00000000-0005-0000-0000-000062050000}"/>
    <cellStyle name="Comma 11 2 8" xfId="1820" xr:uid="{00000000-0005-0000-0000-000063050000}"/>
    <cellStyle name="Comma 11 2 9" xfId="1821" xr:uid="{00000000-0005-0000-0000-000064050000}"/>
    <cellStyle name="Comma 11 3" xfId="1822" xr:uid="{00000000-0005-0000-0000-000065050000}"/>
    <cellStyle name="Comma 11 3 10" xfId="1823" xr:uid="{00000000-0005-0000-0000-000066050000}"/>
    <cellStyle name="Comma 11 3 2" xfId="1824" xr:uid="{00000000-0005-0000-0000-000067050000}"/>
    <cellStyle name="Comma 11 3 3" xfId="1825" xr:uid="{00000000-0005-0000-0000-000068050000}"/>
    <cellStyle name="Comma 11 3 4" xfId="1826" xr:uid="{00000000-0005-0000-0000-000069050000}"/>
    <cellStyle name="Comma 11 3 5" xfId="1827" xr:uid="{00000000-0005-0000-0000-00006A050000}"/>
    <cellStyle name="Comma 11 3 6" xfId="1828" xr:uid="{00000000-0005-0000-0000-00006B050000}"/>
    <cellStyle name="Comma 11 3 7" xfId="1829" xr:uid="{00000000-0005-0000-0000-00006C050000}"/>
    <cellStyle name="Comma 11 3 8" xfId="1830" xr:uid="{00000000-0005-0000-0000-00006D050000}"/>
    <cellStyle name="Comma 11 3 9" xfId="1831" xr:uid="{00000000-0005-0000-0000-00006E050000}"/>
    <cellStyle name="Comma 11 4" xfId="1832" xr:uid="{00000000-0005-0000-0000-00006F050000}"/>
    <cellStyle name="Comma 11 4 10" xfId="1833" xr:uid="{00000000-0005-0000-0000-000070050000}"/>
    <cellStyle name="Comma 11 4 2" xfId="1834" xr:uid="{00000000-0005-0000-0000-000071050000}"/>
    <cellStyle name="Comma 11 4 3" xfId="1835" xr:uid="{00000000-0005-0000-0000-000072050000}"/>
    <cellStyle name="Comma 11 4 4" xfId="1836" xr:uid="{00000000-0005-0000-0000-000073050000}"/>
    <cellStyle name="Comma 11 4 5" xfId="1837" xr:uid="{00000000-0005-0000-0000-000074050000}"/>
    <cellStyle name="Comma 11 4 6" xfId="1838" xr:uid="{00000000-0005-0000-0000-000075050000}"/>
    <cellStyle name="Comma 11 4 7" xfId="1839" xr:uid="{00000000-0005-0000-0000-000076050000}"/>
    <cellStyle name="Comma 11 4 8" xfId="1840" xr:uid="{00000000-0005-0000-0000-000077050000}"/>
    <cellStyle name="Comma 11 4 9" xfId="1841" xr:uid="{00000000-0005-0000-0000-000078050000}"/>
    <cellStyle name="Comma 11 5" xfId="1842" xr:uid="{00000000-0005-0000-0000-000079050000}"/>
    <cellStyle name="Comma 11 5 10" xfId="1843" xr:uid="{00000000-0005-0000-0000-00007A050000}"/>
    <cellStyle name="Comma 11 5 2" xfId="1844" xr:uid="{00000000-0005-0000-0000-00007B050000}"/>
    <cellStyle name="Comma 11 5 3" xfId="1845" xr:uid="{00000000-0005-0000-0000-00007C050000}"/>
    <cellStyle name="Comma 11 5 4" xfId="1846" xr:uid="{00000000-0005-0000-0000-00007D050000}"/>
    <cellStyle name="Comma 11 5 5" xfId="1847" xr:uid="{00000000-0005-0000-0000-00007E050000}"/>
    <cellStyle name="Comma 11 5 6" xfId="1848" xr:uid="{00000000-0005-0000-0000-00007F050000}"/>
    <cellStyle name="Comma 11 5 7" xfId="1849" xr:uid="{00000000-0005-0000-0000-000080050000}"/>
    <cellStyle name="Comma 11 5 8" xfId="1850" xr:uid="{00000000-0005-0000-0000-000081050000}"/>
    <cellStyle name="Comma 11 5 9" xfId="1851" xr:uid="{00000000-0005-0000-0000-000082050000}"/>
    <cellStyle name="Comma 11 6" xfId="1852" xr:uid="{00000000-0005-0000-0000-000083050000}"/>
    <cellStyle name="Comma 11 6 10" xfId="1853" xr:uid="{00000000-0005-0000-0000-000084050000}"/>
    <cellStyle name="Comma 11 6 2" xfId="1854" xr:uid="{00000000-0005-0000-0000-000085050000}"/>
    <cellStyle name="Comma 11 6 3" xfId="1855" xr:uid="{00000000-0005-0000-0000-000086050000}"/>
    <cellStyle name="Comma 11 6 4" xfId="1856" xr:uid="{00000000-0005-0000-0000-000087050000}"/>
    <cellStyle name="Comma 11 6 5" xfId="1857" xr:uid="{00000000-0005-0000-0000-000088050000}"/>
    <cellStyle name="Comma 11 6 6" xfId="1858" xr:uid="{00000000-0005-0000-0000-000089050000}"/>
    <cellStyle name="Comma 11 6 7" xfId="1859" xr:uid="{00000000-0005-0000-0000-00008A050000}"/>
    <cellStyle name="Comma 11 6 8" xfId="1860" xr:uid="{00000000-0005-0000-0000-00008B050000}"/>
    <cellStyle name="Comma 11 6 9" xfId="1861" xr:uid="{00000000-0005-0000-0000-00008C050000}"/>
    <cellStyle name="Comma 11 7" xfId="1862" xr:uid="{00000000-0005-0000-0000-00008D050000}"/>
    <cellStyle name="Comma 11 7 10" xfId="1863" xr:uid="{00000000-0005-0000-0000-00008E050000}"/>
    <cellStyle name="Comma 11 7 2" xfId="1864" xr:uid="{00000000-0005-0000-0000-00008F050000}"/>
    <cellStyle name="Comma 11 7 3" xfId="1865" xr:uid="{00000000-0005-0000-0000-000090050000}"/>
    <cellStyle name="Comma 11 7 4" xfId="1866" xr:uid="{00000000-0005-0000-0000-000091050000}"/>
    <cellStyle name="Comma 11 7 5" xfId="1867" xr:uid="{00000000-0005-0000-0000-000092050000}"/>
    <cellStyle name="Comma 11 7 6" xfId="1868" xr:uid="{00000000-0005-0000-0000-000093050000}"/>
    <cellStyle name="Comma 11 7 7" xfId="1869" xr:uid="{00000000-0005-0000-0000-000094050000}"/>
    <cellStyle name="Comma 11 7 8" xfId="1870" xr:uid="{00000000-0005-0000-0000-000095050000}"/>
    <cellStyle name="Comma 11 7 9" xfId="1871" xr:uid="{00000000-0005-0000-0000-000096050000}"/>
    <cellStyle name="Comma 11 8" xfId="1872" xr:uid="{00000000-0005-0000-0000-000097050000}"/>
    <cellStyle name="Comma 11 9" xfId="1811" xr:uid="{00000000-0005-0000-0000-000098050000}"/>
    <cellStyle name="Comma 12" xfId="644" xr:uid="{00000000-0005-0000-0000-000099050000}"/>
    <cellStyle name="Comma 12 2" xfId="1874" xr:uid="{00000000-0005-0000-0000-00009A050000}"/>
    <cellStyle name="Comma 12 3" xfId="1873" xr:uid="{00000000-0005-0000-0000-00009B050000}"/>
    <cellStyle name="Comma 13" xfId="663" xr:uid="{00000000-0005-0000-0000-00009C050000}"/>
    <cellStyle name="Comma 13 2" xfId="1876" xr:uid="{00000000-0005-0000-0000-00009D050000}"/>
    <cellStyle name="Comma 13 3" xfId="1875" xr:uid="{00000000-0005-0000-0000-00009E050000}"/>
    <cellStyle name="Comma 14" xfId="669" xr:uid="{00000000-0005-0000-0000-00009F050000}"/>
    <cellStyle name="Comma 14 2" xfId="1878" xr:uid="{00000000-0005-0000-0000-0000A0050000}"/>
    <cellStyle name="Comma 14 3" xfId="1877" xr:uid="{00000000-0005-0000-0000-0000A1050000}"/>
    <cellStyle name="Comma 15" xfId="1879" xr:uid="{00000000-0005-0000-0000-0000A2050000}"/>
    <cellStyle name="Comma 15 2" xfId="1880" xr:uid="{00000000-0005-0000-0000-0000A3050000}"/>
    <cellStyle name="Comma 16" xfId="1881" xr:uid="{00000000-0005-0000-0000-0000A4050000}"/>
    <cellStyle name="Comma 16 2" xfId="1882" xr:uid="{00000000-0005-0000-0000-0000A5050000}"/>
    <cellStyle name="Comma 17" xfId="1883" xr:uid="{00000000-0005-0000-0000-0000A6050000}"/>
    <cellStyle name="Comma 17 2" xfId="1884" xr:uid="{00000000-0005-0000-0000-0000A7050000}"/>
    <cellStyle name="Comma 18" xfId="1885" xr:uid="{00000000-0005-0000-0000-0000A8050000}"/>
    <cellStyle name="Comma 18 2" xfId="1886" xr:uid="{00000000-0005-0000-0000-0000A9050000}"/>
    <cellStyle name="Comma 19" xfId="1887" xr:uid="{00000000-0005-0000-0000-0000AA050000}"/>
    <cellStyle name="Comma 19 2" xfId="1888" xr:uid="{00000000-0005-0000-0000-0000AB050000}"/>
    <cellStyle name="Comma 2" xfId="8" xr:uid="{00000000-0005-0000-0000-0000AC050000}"/>
    <cellStyle name="Comma 2 10" xfId="1890" xr:uid="{00000000-0005-0000-0000-0000AD050000}"/>
    <cellStyle name="Comma 2 11" xfId="1891" xr:uid="{00000000-0005-0000-0000-0000AE050000}"/>
    <cellStyle name="Comma 2 12" xfId="1892" xr:uid="{00000000-0005-0000-0000-0000AF050000}"/>
    <cellStyle name="Comma 2 13" xfId="1893" xr:uid="{00000000-0005-0000-0000-0000B0050000}"/>
    <cellStyle name="Comma 2 14" xfId="1894" xr:uid="{00000000-0005-0000-0000-0000B1050000}"/>
    <cellStyle name="Comma 2 15" xfId="1895" xr:uid="{00000000-0005-0000-0000-0000B2050000}"/>
    <cellStyle name="Comma 2 16" xfId="1896" xr:uid="{00000000-0005-0000-0000-0000B3050000}"/>
    <cellStyle name="Comma 2 17" xfId="1897" xr:uid="{00000000-0005-0000-0000-0000B4050000}"/>
    <cellStyle name="Comma 2 18" xfId="1898" xr:uid="{00000000-0005-0000-0000-0000B5050000}"/>
    <cellStyle name="Comma 2 19" xfId="1899" xr:uid="{00000000-0005-0000-0000-0000B6050000}"/>
    <cellStyle name="Comma 2 2" xfId="286" xr:uid="{00000000-0005-0000-0000-0000B7050000}"/>
    <cellStyle name="Comma 2 2 10" xfId="1901" xr:uid="{00000000-0005-0000-0000-0000B8050000}"/>
    <cellStyle name="Comma 2 2 11" xfId="1902" xr:uid="{00000000-0005-0000-0000-0000B9050000}"/>
    <cellStyle name="Comma 2 2 12" xfId="1903" xr:uid="{00000000-0005-0000-0000-0000BA050000}"/>
    <cellStyle name="Comma 2 2 13" xfId="1904" xr:uid="{00000000-0005-0000-0000-0000BB050000}"/>
    <cellStyle name="Comma 2 2 14" xfId="1905" xr:uid="{00000000-0005-0000-0000-0000BC050000}"/>
    <cellStyle name="Comma 2 2 15" xfId="1906" xr:uid="{00000000-0005-0000-0000-0000BD050000}"/>
    <cellStyle name="Comma 2 2 16" xfId="1907" xr:uid="{00000000-0005-0000-0000-0000BE050000}"/>
    <cellStyle name="Comma 2 2 17" xfId="1908" xr:uid="{00000000-0005-0000-0000-0000BF050000}"/>
    <cellStyle name="Comma 2 2 18" xfId="1909" xr:uid="{00000000-0005-0000-0000-0000C0050000}"/>
    <cellStyle name="Comma 2 2 19" xfId="1910" xr:uid="{00000000-0005-0000-0000-0000C1050000}"/>
    <cellStyle name="Comma 2 2 2" xfId="178" xr:uid="{00000000-0005-0000-0000-0000C2050000}"/>
    <cellStyle name="Comma 2 2 2 2" xfId="1912" xr:uid="{00000000-0005-0000-0000-0000C3050000}"/>
    <cellStyle name="Comma 2 2 2 3" xfId="1913" xr:uid="{00000000-0005-0000-0000-0000C4050000}"/>
    <cellStyle name="Comma 2 2 2 4" xfId="1914" xr:uid="{00000000-0005-0000-0000-0000C5050000}"/>
    <cellStyle name="Comma 2 2 2 5" xfId="1911" xr:uid="{00000000-0005-0000-0000-0000C6050000}"/>
    <cellStyle name="Comma 2 2 2 6" xfId="605" xr:uid="{00000000-0005-0000-0000-0000C7050000}"/>
    <cellStyle name="Comma 2 2 20" xfId="1915" xr:uid="{00000000-0005-0000-0000-0000C8050000}"/>
    <cellStyle name="Comma 2 2 21" xfId="1916" xr:uid="{00000000-0005-0000-0000-0000C9050000}"/>
    <cellStyle name="Comma 2 2 22" xfId="1917" xr:uid="{00000000-0005-0000-0000-0000CA050000}"/>
    <cellStyle name="Comma 2 2 23" xfId="1918" xr:uid="{00000000-0005-0000-0000-0000CB050000}"/>
    <cellStyle name="Comma 2 2 24" xfId="1919" xr:uid="{00000000-0005-0000-0000-0000CC050000}"/>
    <cellStyle name="Comma 2 2 25" xfId="1920" xr:uid="{00000000-0005-0000-0000-0000CD050000}"/>
    <cellStyle name="Comma 2 2 26" xfId="1921" xr:uid="{00000000-0005-0000-0000-0000CE050000}"/>
    <cellStyle name="Comma 2 2 27" xfId="1922" xr:uid="{00000000-0005-0000-0000-0000CF050000}"/>
    <cellStyle name="Comma 2 2 28" xfId="1923" xr:uid="{00000000-0005-0000-0000-0000D0050000}"/>
    <cellStyle name="Comma 2 2 29" xfId="1924" xr:uid="{00000000-0005-0000-0000-0000D1050000}"/>
    <cellStyle name="Comma 2 2 3" xfId="1925" xr:uid="{00000000-0005-0000-0000-0000D2050000}"/>
    <cellStyle name="Comma 2 2 30" xfId="1926" xr:uid="{00000000-0005-0000-0000-0000D3050000}"/>
    <cellStyle name="Comma 2 2 31" xfId="1927" xr:uid="{00000000-0005-0000-0000-0000D4050000}"/>
    <cellStyle name="Comma 2 2 32" xfId="1900" xr:uid="{00000000-0005-0000-0000-0000D5050000}"/>
    <cellStyle name="Comma 2 2 4" xfId="1928" xr:uid="{00000000-0005-0000-0000-0000D6050000}"/>
    <cellStyle name="Comma 2 2 5" xfId="1929" xr:uid="{00000000-0005-0000-0000-0000D7050000}"/>
    <cellStyle name="Comma 2 2 6" xfId="1930" xr:uid="{00000000-0005-0000-0000-0000D8050000}"/>
    <cellStyle name="Comma 2 2 7" xfId="1931" xr:uid="{00000000-0005-0000-0000-0000D9050000}"/>
    <cellStyle name="Comma 2 2 8" xfId="1932" xr:uid="{00000000-0005-0000-0000-0000DA050000}"/>
    <cellStyle name="Comma 2 2 9" xfId="1933" xr:uid="{00000000-0005-0000-0000-0000DB050000}"/>
    <cellStyle name="Comma 2 20" xfId="1934" xr:uid="{00000000-0005-0000-0000-0000DC050000}"/>
    <cellStyle name="Comma 2 21" xfId="1935" xr:uid="{00000000-0005-0000-0000-0000DD050000}"/>
    <cellStyle name="Comma 2 22" xfId="1936" xr:uid="{00000000-0005-0000-0000-0000DE050000}"/>
    <cellStyle name="Comma 2 23" xfId="1937" xr:uid="{00000000-0005-0000-0000-0000DF050000}"/>
    <cellStyle name="Comma 2 24" xfId="1938" xr:uid="{00000000-0005-0000-0000-0000E0050000}"/>
    <cellStyle name="Comma 2 25" xfId="1939" xr:uid="{00000000-0005-0000-0000-0000E1050000}"/>
    <cellStyle name="Comma 2 26" xfId="1940" xr:uid="{00000000-0005-0000-0000-0000E2050000}"/>
    <cellStyle name="Comma 2 27" xfId="1941" xr:uid="{00000000-0005-0000-0000-0000E3050000}"/>
    <cellStyle name="Comma 2 28" xfId="1942" xr:uid="{00000000-0005-0000-0000-0000E4050000}"/>
    <cellStyle name="Comma 2 29" xfId="1943" xr:uid="{00000000-0005-0000-0000-0000E5050000}"/>
    <cellStyle name="Comma 2 3" xfId="326" xr:uid="{00000000-0005-0000-0000-0000E6050000}"/>
    <cellStyle name="Comma 2 3 10" xfId="1944" xr:uid="{00000000-0005-0000-0000-0000E7050000}"/>
    <cellStyle name="Comma 2 3 11" xfId="1945" xr:uid="{00000000-0005-0000-0000-0000E8050000}"/>
    <cellStyle name="Comma 2 3 12" xfId="1946" xr:uid="{00000000-0005-0000-0000-0000E9050000}"/>
    <cellStyle name="Comma 2 3 13" xfId="380" xr:uid="{00000000-0005-0000-0000-0000EA050000}"/>
    <cellStyle name="Comma 2 3 2" xfId="572" xr:uid="{00000000-0005-0000-0000-0000EB050000}"/>
    <cellStyle name="Comma 2 3 2 2" xfId="1948" xr:uid="{00000000-0005-0000-0000-0000EC050000}"/>
    <cellStyle name="Comma 2 3 2 3" xfId="1949" xr:uid="{00000000-0005-0000-0000-0000ED050000}"/>
    <cellStyle name="Comma 2 3 2 4" xfId="1950" xr:uid="{00000000-0005-0000-0000-0000EE050000}"/>
    <cellStyle name="Comma 2 3 2 5" xfId="1947" xr:uid="{00000000-0005-0000-0000-0000EF050000}"/>
    <cellStyle name="Comma 2 3 3" xfId="453" xr:uid="{00000000-0005-0000-0000-0000F0050000}"/>
    <cellStyle name="Comma 2 3 3 2" xfId="597" xr:uid="{00000000-0005-0000-0000-0000F1050000}"/>
    <cellStyle name="Comma 2 3 4" xfId="1951" xr:uid="{00000000-0005-0000-0000-0000F2050000}"/>
    <cellStyle name="Comma 2 3 5" xfId="1952" xr:uid="{00000000-0005-0000-0000-0000F3050000}"/>
    <cellStyle name="Comma 2 3 6" xfId="1953" xr:uid="{00000000-0005-0000-0000-0000F4050000}"/>
    <cellStyle name="Comma 2 3 7" xfId="1954" xr:uid="{00000000-0005-0000-0000-0000F5050000}"/>
    <cellStyle name="Comma 2 3 8" xfId="1955" xr:uid="{00000000-0005-0000-0000-0000F6050000}"/>
    <cellStyle name="Comma 2 3 9" xfId="1956" xr:uid="{00000000-0005-0000-0000-0000F7050000}"/>
    <cellStyle name="Comma 2 30" xfId="1957" xr:uid="{00000000-0005-0000-0000-0000F8050000}"/>
    <cellStyle name="Comma 2 31" xfId="1958" xr:uid="{00000000-0005-0000-0000-0000F9050000}"/>
    <cellStyle name="Comma 2 32" xfId="1959" xr:uid="{00000000-0005-0000-0000-0000FA050000}"/>
    <cellStyle name="Comma 2 33" xfId="1960" xr:uid="{00000000-0005-0000-0000-0000FB050000}"/>
    <cellStyle name="Comma 2 34" xfId="1961" xr:uid="{00000000-0005-0000-0000-0000FC050000}"/>
    <cellStyle name="Comma 2 35" xfId="1962" xr:uid="{00000000-0005-0000-0000-0000FD050000}"/>
    <cellStyle name="Comma 2 36" xfId="1963" xr:uid="{00000000-0005-0000-0000-0000FE050000}"/>
    <cellStyle name="Comma 2 37" xfId="1964" xr:uid="{00000000-0005-0000-0000-0000FF050000}"/>
    <cellStyle name="Comma 2 38" xfId="1965" xr:uid="{00000000-0005-0000-0000-000000060000}"/>
    <cellStyle name="Comma 2 39" xfId="1966" xr:uid="{00000000-0005-0000-0000-000001060000}"/>
    <cellStyle name="Comma 2 4" xfId="483" xr:uid="{00000000-0005-0000-0000-000002060000}"/>
    <cellStyle name="Comma 2 4 2" xfId="1967" xr:uid="{00000000-0005-0000-0000-000003060000}"/>
    <cellStyle name="Comma 2 40" xfId="1968" xr:uid="{00000000-0005-0000-0000-000004060000}"/>
    <cellStyle name="Comma 2 41" xfId="1969" xr:uid="{00000000-0005-0000-0000-000005060000}"/>
    <cellStyle name="Comma 2 42" xfId="1970" xr:uid="{00000000-0005-0000-0000-000006060000}"/>
    <cellStyle name="Comma 2 43" xfId="1971" xr:uid="{00000000-0005-0000-0000-000007060000}"/>
    <cellStyle name="Comma 2 43 2" xfId="21159" xr:uid="{00000000-0005-0000-0000-000008060000}"/>
    <cellStyle name="Comma 2 44" xfId="1972" xr:uid="{00000000-0005-0000-0000-000009060000}"/>
    <cellStyle name="Comma 2 44 2" xfId="21160" xr:uid="{00000000-0005-0000-0000-00000A060000}"/>
    <cellStyle name="Comma 2 45" xfId="1973" xr:uid="{00000000-0005-0000-0000-00000B060000}"/>
    <cellStyle name="Comma 2 45 2" xfId="21161" xr:uid="{00000000-0005-0000-0000-00000C060000}"/>
    <cellStyle name="Comma 2 46" xfId="1974" xr:uid="{00000000-0005-0000-0000-00000D060000}"/>
    <cellStyle name="Comma 2 46 2" xfId="21162" xr:uid="{00000000-0005-0000-0000-00000E060000}"/>
    <cellStyle name="Comma 2 47" xfId="1975" xr:uid="{00000000-0005-0000-0000-00000F060000}"/>
    <cellStyle name="Comma 2 47 2" xfId="21163" xr:uid="{00000000-0005-0000-0000-000010060000}"/>
    <cellStyle name="Comma 2 48" xfId="1976" xr:uid="{00000000-0005-0000-0000-000011060000}"/>
    <cellStyle name="Comma 2 48 2" xfId="21164" xr:uid="{00000000-0005-0000-0000-000012060000}"/>
    <cellStyle name="Comma 2 49" xfId="1977" xr:uid="{00000000-0005-0000-0000-000013060000}"/>
    <cellStyle name="Comma 2 49 2" xfId="21165" xr:uid="{00000000-0005-0000-0000-000014060000}"/>
    <cellStyle name="Comma 2 5" xfId="1978" xr:uid="{00000000-0005-0000-0000-000015060000}"/>
    <cellStyle name="Comma 2 50" xfId="1979" xr:uid="{00000000-0005-0000-0000-000016060000}"/>
    <cellStyle name="Comma 2 50 2" xfId="21166" xr:uid="{00000000-0005-0000-0000-000017060000}"/>
    <cellStyle name="Comma 2 51" xfId="1980" xr:uid="{00000000-0005-0000-0000-000018060000}"/>
    <cellStyle name="Comma 2 51 2" xfId="21167" xr:uid="{00000000-0005-0000-0000-000019060000}"/>
    <cellStyle name="Comma 2 52" xfId="1981" xr:uid="{00000000-0005-0000-0000-00001A060000}"/>
    <cellStyle name="Comma 2 52 2" xfId="21168" xr:uid="{00000000-0005-0000-0000-00001B060000}"/>
    <cellStyle name="Comma 2 53" xfId="1982" xr:uid="{00000000-0005-0000-0000-00001C060000}"/>
    <cellStyle name="Comma 2 53 2" xfId="21169" xr:uid="{00000000-0005-0000-0000-00001D060000}"/>
    <cellStyle name="Comma 2 54" xfId="1983" xr:uid="{00000000-0005-0000-0000-00001E060000}"/>
    <cellStyle name="Comma 2 54 2" xfId="21170" xr:uid="{00000000-0005-0000-0000-00001F060000}"/>
    <cellStyle name="Comma 2 55" xfId="1984" xr:uid="{00000000-0005-0000-0000-000020060000}"/>
    <cellStyle name="Comma 2 55 2" xfId="21171" xr:uid="{00000000-0005-0000-0000-000021060000}"/>
    <cellStyle name="Comma 2 56" xfId="1889" xr:uid="{00000000-0005-0000-0000-000022060000}"/>
    <cellStyle name="Comma 2 56 2" xfId="37632" xr:uid="{00000000-0005-0000-0000-000023060000}"/>
    <cellStyle name="Comma 2 57" xfId="21158" xr:uid="{00000000-0005-0000-0000-000024060000}"/>
    <cellStyle name="Comma 2 6" xfId="1985" xr:uid="{00000000-0005-0000-0000-000025060000}"/>
    <cellStyle name="Comma 2 7" xfId="1986" xr:uid="{00000000-0005-0000-0000-000026060000}"/>
    <cellStyle name="Comma 2 8" xfId="1987" xr:uid="{00000000-0005-0000-0000-000027060000}"/>
    <cellStyle name="Comma 2 9" xfId="1988" xr:uid="{00000000-0005-0000-0000-000028060000}"/>
    <cellStyle name="Comma 20" xfId="1989" xr:uid="{00000000-0005-0000-0000-000029060000}"/>
    <cellStyle name="Comma 20 2" xfId="1990" xr:uid="{00000000-0005-0000-0000-00002A060000}"/>
    <cellStyle name="Comma 21" xfId="1991" xr:uid="{00000000-0005-0000-0000-00002B060000}"/>
    <cellStyle name="Comma 21 2" xfId="1992" xr:uid="{00000000-0005-0000-0000-00002C060000}"/>
    <cellStyle name="Comma 22" xfId="1993" xr:uid="{00000000-0005-0000-0000-00002D060000}"/>
    <cellStyle name="Comma 22 2" xfId="1994" xr:uid="{00000000-0005-0000-0000-00002E060000}"/>
    <cellStyle name="Comma 23" xfId="1995" xr:uid="{00000000-0005-0000-0000-00002F060000}"/>
    <cellStyle name="Comma 24" xfId="1996" xr:uid="{00000000-0005-0000-0000-000030060000}"/>
    <cellStyle name="Comma 25" xfId="1997" xr:uid="{00000000-0005-0000-0000-000031060000}"/>
    <cellStyle name="Comma 26" xfId="1998" xr:uid="{00000000-0005-0000-0000-000032060000}"/>
    <cellStyle name="Comma 27" xfId="1999" xr:uid="{00000000-0005-0000-0000-000033060000}"/>
    <cellStyle name="Comma 28" xfId="2000" xr:uid="{00000000-0005-0000-0000-000034060000}"/>
    <cellStyle name="Comma 29" xfId="2001" xr:uid="{00000000-0005-0000-0000-000035060000}"/>
    <cellStyle name="Comma 3" xfId="9" xr:uid="{00000000-0005-0000-0000-000036060000}"/>
    <cellStyle name="Comma 3 10" xfId="2002" xr:uid="{00000000-0005-0000-0000-000037060000}"/>
    <cellStyle name="Comma 3 11" xfId="2003" xr:uid="{00000000-0005-0000-0000-000038060000}"/>
    <cellStyle name="Comma 3 12" xfId="2004" xr:uid="{00000000-0005-0000-0000-000039060000}"/>
    <cellStyle name="Comma 3 13" xfId="2005" xr:uid="{00000000-0005-0000-0000-00003A060000}"/>
    <cellStyle name="Comma 3 14" xfId="2006" xr:uid="{00000000-0005-0000-0000-00003B060000}"/>
    <cellStyle name="Comma 3 15" xfId="2007" xr:uid="{00000000-0005-0000-0000-00003C060000}"/>
    <cellStyle name="Comma 3 16" xfId="2008" xr:uid="{00000000-0005-0000-0000-00003D060000}"/>
    <cellStyle name="Comma 3 17" xfId="2009" xr:uid="{00000000-0005-0000-0000-00003E060000}"/>
    <cellStyle name="Comma 3 18" xfId="2010" xr:uid="{00000000-0005-0000-0000-00003F060000}"/>
    <cellStyle name="Comma 3 19" xfId="2011" xr:uid="{00000000-0005-0000-0000-000040060000}"/>
    <cellStyle name="Comma 3 2" xfId="175" xr:uid="{00000000-0005-0000-0000-000041060000}"/>
    <cellStyle name="Comma 3 20" xfId="2012" xr:uid="{00000000-0005-0000-0000-000042060000}"/>
    <cellStyle name="Comma 3 21" xfId="2013" xr:uid="{00000000-0005-0000-0000-000043060000}"/>
    <cellStyle name="Comma 3 22" xfId="2014" xr:uid="{00000000-0005-0000-0000-000044060000}"/>
    <cellStyle name="Comma 3 23" xfId="2015" xr:uid="{00000000-0005-0000-0000-000045060000}"/>
    <cellStyle name="Comma 3 24" xfId="2016" xr:uid="{00000000-0005-0000-0000-000046060000}"/>
    <cellStyle name="Comma 3 25" xfId="2017" xr:uid="{00000000-0005-0000-0000-000047060000}"/>
    <cellStyle name="Comma 3 26" xfId="2018" xr:uid="{00000000-0005-0000-0000-000048060000}"/>
    <cellStyle name="Comma 3 27" xfId="2019" xr:uid="{00000000-0005-0000-0000-000049060000}"/>
    <cellStyle name="Comma 3 28" xfId="2020" xr:uid="{00000000-0005-0000-0000-00004A060000}"/>
    <cellStyle name="Comma 3 29" xfId="2021" xr:uid="{00000000-0005-0000-0000-00004B060000}"/>
    <cellStyle name="Comma 3 3" xfId="323" xr:uid="{00000000-0005-0000-0000-00004C060000}"/>
    <cellStyle name="Comma 3 3 2" xfId="2022" xr:uid="{00000000-0005-0000-0000-00004D060000}"/>
    <cellStyle name="Comma 3 30" xfId="2023" xr:uid="{00000000-0005-0000-0000-00004E060000}"/>
    <cellStyle name="Comma 3 30 2" xfId="21173" xr:uid="{00000000-0005-0000-0000-00004F060000}"/>
    <cellStyle name="Comma 3 31" xfId="2024" xr:uid="{00000000-0005-0000-0000-000050060000}"/>
    <cellStyle name="Comma 3 31 2" xfId="21174" xr:uid="{00000000-0005-0000-0000-000051060000}"/>
    <cellStyle name="Comma 3 32" xfId="2025" xr:uid="{00000000-0005-0000-0000-000052060000}"/>
    <cellStyle name="Comma 3 32 2" xfId="21175" xr:uid="{00000000-0005-0000-0000-000053060000}"/>
    <cellStyle name="Comma 3 33" xfId="2026" xr:uid="{00000000-0005-0000-0000-000054060000}"/>
    <cellStyle name="Comma 3 33 2" xfId="21176" xr:uid="{00000000-0005-0000-0000-000055060000}"/>
    <cellStyle name="Comma 3 34" xfId="2027" xr:uid="{00000000-0005-0000-0000-000056060000}"/>
    <cellStyle name="Comma 3 34 2" xfId="21177" xr:uid="{00000000-0005-0000-0000-000057060000}"/>
    <cellStyle name="Comma 3 35" xfId="2028" xr:uid="{00000000-0005-0000-0000-000058060000}"/>
    <cellStyle name="Comma 3 35 2" xfId="21178" xr:uid="{00000000-0005-0000-0000-000059060000}"/>
    <cellStyle name="Comma 3 36" xfId="2029" xr:uid="{00000000-0005-0000-0000-00005A060000}"/>
    <cellStyle name="Comma 3 36 2" xfId="21179" xr:uid="{00000000-0005-0000-0000-00005B060000}"/>
    <cellStyle name="Comma 3 37" xfId="2030" xr:uid="{00000000-0005-0000-0000-00005C060000}"/>
    <cellStyle name="Comma 3 37 2" xfId="21180" xr:uid="{00000000-0005-0000-0000-00005D060000}"/>
    <cellStyle name="Comma 3 38" xfId="2031" xr:uid="{00000000-0005-0000-0000-00005E060000}"/>
    <cellStyle name="Comma 3 38 2" xfId="21181" xr:uid="{00000000-0005-0000-0000-00005F060000}"/>
    <cellStyle name="Comma 3 39" xfId="2032" xr:uid="{00000000-0005-0000-0000-000060060000}"/>
    <cellStyle name="Comma 3 39 2" xfId="21182" xr:uid="{00000000-0005-0000-0000-000061060000}"/>
    <cellStyle name="Comma 3 4" xfId="2033" xr:uid="{00000000-0005-0000-0000-000062060000}"/>
    <cellStyle name="Comma 3 40" xfId="2034" xr:uid="{00000000-0005-0000-0000-000063060000}"/>
    <cellStyle name="Comma 3 40 2" xfId="21183" xr:uid="{00000000-0005-0000-0000-000064060000}"/>
    <cellStyle name="Comma 3 41" xfId="2035" xr:uid="{00000000-0005-0000-0000-000065060000}"/>
    <cellStyle name="Comma 3 41 2" xfId="21184" xr:uid="{00000000-0005-0000-0000-000066060000}"/>
    <cellStyle name="Comma 3 42" xfId="2036" xr:uid="{00000000-0005-0000-0000-000067060000}"/>
    <cellStyle name="Comma 3 42 2" xfId="21185" xr:uid="{00000000-0005-0000-0000-000068060000}"/>
    <cellStyle name="Comma 3 43" xfId="37633" xr:uid="{00000000-0005-0000-0000-000069060000}"/>
    <cellStyle name="Comma 3 44" xfId="21172" xr:uid="{00000000-0005-0000-0000-00006A060000}"/>
    <cellStyle name="Comma 3 5" xfId="2037" xr:uid="{00000000-0005-0000-0000-00006B060000}"/>
    <cellStyle name="Comma 3 6" xfId="2038" xr:uid="{00000000-0005-0000-0000-00006C060000}"/>
    <cellStyle name="Comma 3 7" xfId="2039" xr:uid="{00000000-0005-0000-0000-00006D060000}"/>
    <cellStyle name="Comma 3 8" xfId="2040" xr:uid="{00000000-0005-0000-0000-00006E060000}"/>
    <cellStyle name="Comma 3 9" xfId="2041" xr:uid="{00000000-0005-0000-0000-00006F060000}"/>
    <cellStyle name="Comma 30" xfId="2042" xr:uid="{00000000-0005-0000-0000-000070060000}"/>
    <cellStyle name="Comma 31" xfId="2043" xr:uid="{00000000-0005-0000-0000-000071060000}"/>
    <cellStyle name="Comma 31 2" xfId="2044" xr:uid="{00000000-0005-0000-0000-000072060000}"/>
    <cellStyle name="Comma 31 3" xfId="2045" xr:uid="{00000000-0005-0000-0000-000073060000}"/>
    <cellStyle name="Comma 31 4" xfId="2046" xr:uid="{00000000-0005-0000-0000-000074060000}"/>
    <cellStyle name="Comma 31 5" xfId="2047" xr:uid="{00000000-0005-0000-0000-000075060000}"/>
    <cellStyle name="Comma 31 6" xfId="2048" xr:uid="{00000000-0005-0000-0000-000076060000}"/>
    <cellStyle name="Comma 31 7" xfId="2049" xr:uid="{00000000-0005-0000-0000-000077060000}"/>
    <cellStyle name="Comma 32" xfId="2050" xr:uid="{00000000-0005-0000-0000-000078060000}"/>
    <cellStyle name="Comma 33" xfId="2051" xr:uid="{00000000-0005-0000-0000-000079060000}"/>
    <cellStyle name="Comma 34" xfId="2052" xr:uid="{00000000-0005-0000-0000-00007A060000}"/>
    <cellStyle name="Comma 35" xfId="2053" xr:uid="{00000000-0005-0000-0000-00007B060000}"/>
    <cellStyle name="Comma 36" xfId="2054" xr:uid="{00000000-0005-0000-0000-00007C060000}"/>
    <cellStyle name="Comma 37" xfId="2055" xr:uid="{00000000-0005-0000-0000-00007D060000}"/>
    <cellStyle name="Comma 38" xfId="2056" xr:uid="{00000000-0005-0000-0000-00007E060000}"/>
    <cellStyle name="Comma 39" xfId="2057" xr:uid="{00000000-0005-0000-0000-00007F060000}"/>
    <cellStyle name="Comma 39 2" xfId="2058" xr:uid="{00000000-0005-0000-0000-000080060000}"/>
    <cellStyle name="Comma 4" xfId="10" xr:uid="{00000000-0005-0000-0000-000081060000}"/>
    <cellStyle name="Comma 4 2" xfId="322" xr:uid="{00000000-0005-0000-0000-000082060000}"/>
    <cellStyle name="Comma 4 2 2" xfId="2059" xr:uid="{00000000-0005-0000-0000-000083060000}"/>
    <cellStyle name="Comma 4 3" xfId="309" xr:uid="{00000000-0005-0000-0000-000084060000}"/>
    <cellStyle name="Comma 4 4" xfId="2060" xr:uid="{00000000-0005-0000-0000-000085060000}"/>
    <cellStyle name="Comma 4 5" xfId="2061" xr:uid="{00000000-0005-0000-0000-000086060000}"/>
    <cellStyle name="Comma 4 6" xfId="21147" xr:uid="{00000000-0005-0000-0000-000087060000}"/>
    <cellStyle name="Comma 4 7" xfId="37601" xr:uid="{00000000-0005-0000-0000-000088060000}"/>
    <cellStyle name="Comma 40" xfId="2062" xr:uid="{00000000-0005-0000-0000-000089060000}"/>
    <cellStyle name="Comma 40 2" xfId="2063" xr:uid="{00000000-0005-0000-0000-00008A060000}"/>
    <cellStyle name="Comma 41" xfId="2064" xr:uid="{00000000-0005-0000-0000-00008B060000}"/>
    <cellStyle name="Comma 41 2" xfId="2065" xr:uid="{00000000-0005-0000-0000-00008C060000}"/>
    <cellStyle name="Comma 42" xfId="2066" xr:uid="{00000000-0005-0000-0000-00008D060000}"/>
    <cellStyle name="Comma 42 2" xfId="2067" xr:uid="{00000000-0005-0000-0000-00008E060000}"/>
    <cellStyle name="Comma 43" xfId="2068" xr:uid="{00000000-0005-0000-0000-00008F060000}"/>
    <cellStyle name="Comma 43 10" xfId="2069" xr:uid="{00000000-0005-0000-0000-000090060000}"/>
    <cellStyle name="Comma 43 2" xfId="2070" xr:uid="{00000000-0005-0000-0000-000091060000}"/>
    <cellStyle name="Comma 43 3" xfId="2071" xr:uid="{00000000-0005-0000-0000-000092060000}"/>
    <cellStyle name="Comma 43 4" xfId="2072" xr:uid="{00000000-0005-0000-0000-000093060000}"/>
    <cellStyle name="Comma 43 5" xfId="2073" xr:uid="{00000000-0005-0000-0000-000094060000}"/>
    <cellStyle name="Comma 43 6" xfId="2074" xr:uid="{00000000-0005-0000-0000-000095060000}"/>
    <cellStyle name="Comma 43 7" xfId="2075" xr:uid="{00000000-0005-0000-0000-000096060000}"/>
    <cellStyle name="Comma 43 8" xfId="2076" xr:uid="{00000000-0005-0000-0000-000097060000}"/>
    <cellStyle name="Comma 43 9" xfId="2077" xr:uid="{00000000-0005-0000-0000-000098060000}"/>
    <cellStyle name="Comma 44" xfId="2078" xr:uid="{00000000-0005-0000-0000-000099060000}"/>
    <cellStyle name="Comma 44 10" xfId="2079" xr:uid="{00000000-0005-0000-0000-00009A060000}"/>
    <cellStyle name="Comma 44 2" xfId="2080" xr:uid="{00000000-0005-0000-0000-00009B060000}"/>
    <cellStyle name="Comma 44 3" xfId="2081" xr:uid="{00000000-0005-0000-0000-00009C060000}"/>
    <cellStyle name="Comma 44 4" xfId="2082" xr:uid="{00000000-0005-0000-0000-00009D060000}"/>
    <cellStyle name="Comma 44 5" xfId="2083" xr:uid="{00000000-0005-0000-0000-00009E060000}"/>
    <cellStyle name="Comma 44 6" xfId="2084" xr:uid="{00000000-0005-0000-0000-00009F060000}"/>
    <cellStyle name="Comma 44 7" xfId="2085" xr:uid="{00000000-0005-0000-0000-0000A0060000}"/>
    <cellStyle name="Comma 44 8" xfId="2086" xr:uid="{00000000-0005-0000-0000-0000A1060000}"/>
    <cellStyle name="Comma 44 9" xfId="2087" xr:uid="{00000000-0005-0000-0000-0000A2060000}"/>
    <cellStyle name="Comma 45" xfId="2088" xr:uid="{00000000-0005-0000-0000-0000A3060000}"/>
    <cellStyle name="Comma 45 10" xfId="2089" xr:uid="{00000000-0005-0000-0000-0000A4060000}"/>
    <cellStyle name="Comma 45 2" xfId="2090" xr:uid="{00000000-0005-0000-0000-0000A5060000}"/>
    <cellStyle name="Comma 45 3" xfId="2091" xr:uid="{00000000-0005-0000-0000-0000A6060000}"/>
    <cellStyle name="Comma 45 4" xfId="2092" xr:uid="{00000000-0005-0000-0000-0000A7060000}"/>
    <cellStyle name="Comma 45 5" xfId="2093" xr:uid="{00000000-0005-0000-0000-0000A8060000}"/>
    <cellStyle name="Comma 45 6" xfId="2094" xr:uid="{00000000-0005-0000-0000-0000A9060000}"/>
    <cellStyle name="Comma 45 7" xfId="2095" xr:uid="{00000000-0005-0000-0000-0000AA060000}"/>
    <cellStyle name="Comma 45 8" xfId="2096" xr:uid="{00000000-0005-0000-0000-0000AB060000}"/>
    <cellStyle name="Comma 45 9" xfId="2097" xr:uid="{00000000-0005-0000-0000-0000AC060000}"/>
    <cellStyle name="Comma 46" xfId="2098" xr:uid="{00000000-0005-0000-0000-0000AD060000}"/>
    <cellStyle name="Comma 46 10" xfId="2099" xr:uid="{00000000-0005-0000-0000-0000AE060000}"/>
    <cellStyle name="Comma 46 2" xfId="2100" xr:uid="{00000000-0005-0000-0000-0000AF060000}"/>
    <cellStyle name="Comma 46 3" xfId="2101" xr:uid="{00000000-0005-0000-0000-0000B0060000}"/>
    <cellStyle name="Comma 46 4" xfId="2102" xr:uid="{00000000-0005-0000-0000-0000B1060000}"/>
    <cellStyle name="Comma 46 5" xfId="2103" xr:uid="{00000000-0005-0000-0000-0000B2060000}"/>
    <cellStyle name="Comma 46 6" xfId="2104" xr:uid="{00000000-0005-0000-0000-0000B3060000}"/>
    <cellStyle name="Comma 46 7" xfId="2105" xr:uid="{00000000-0005-0000-0000-0000B4060000}"/>
    <cellStyle name="Comma 46 8" xfId="2106" xr:uid="{00000000-0005-0000-0000-0000B5060000}"/>
    <cellStyle name="Comma 46 9" xfId="2107" xr:uid="{00000000-0005-0000-0000-0000B6060000}"/>
    <cellStyle name="Comma 47" xfId="2108" xr:uid="{00000000-0005-0000-0000-0000B7060000}"/>
    <cellStyle name="Comma 47 10" xfId="2109" xr:uid="{00000000-0005-0000-0000-0000B8060000}"/>
    <cellStyle name="Comma 47 2" xfId="2110" xr:uid="{00000000-0005-0000-0000-0000B9060000}"/>
    <cellStyle name="Comma 47 3" xfId="2111" xr:uid="{00000000-0005-0000-0000-0000BA060000}"/>
    <cellStyle name="Comma 47 4" xfId="2112" xr:uid="{00000000-0005-0000-0000-0000BB060000}"/>
    <cellStyle name="Comma 47 5" xfId="2113" xr:uid="{00000000-0005-0000-0000-0000BC060000}"/>
    <cellStyle name="Comma 47 6" xfId="2114" xr:uid="{00000000-0005-0000-0000-0000BD060000}"/>
    <cellStyle name="Comma 47 7" xfId="2115" xr:uid="{00000000-0005-0000-0000-0000BE060000}"/>
    <cellStyle name="Comma 47 8" xfId="2116" xr:uid="{00000000-0005-0000-0000-0000BF060000}"/>
    <cellStyle name="Comma 47 9" xfId="2117" xr:uid="{00000000-0005-0000-0000-0000C0060000}"/>
    <cellStyle name="Comma 48" xfId="2118" xr:uid="{00000000-0005-0000-0000-0000C1060000}"/>
    <cellStyle name="Comma 48 10" xfId="2119" xr:uid="{00000000-0005-0000-0000-0000C2060000}"/>
    <cellStyle name="Comma 48 2" xfId="2120" xr:uid="{00000000-0005-0000-0000-0000C3060000}"/>
    <cellStyle name="Comma 48 3" xfId="2121" xr:uid="{00000000-0005-0000-0000-0000C4060000}"/>
    <cellStyle name="Comma 48 4" xfId="2122" xr:uid="{00000000-0005-0000-0000-0000C5060000}"/>
    <cellStyle name="Comma 48 5" xfId="2123" xr:uid="{00000000-0005-0000-0000-0000C6060000}"/>
    <cellStyle name="Comma 48 6" xfId="2124" xr:uid="{00000000-0005-0000-0000-0000C7060000}"/>
    <cellStyle name="Comma 48 7" xfId="2125" xr:uid="{00000000-0005-0000-0000-0000C8060000}"/>
    <cellStyle name="Comma 48 8" xfId="2126" xr:uid="{00000000-0005-0000-0000-0000C9060000}"/>
    <cellStyle name="Comma 48 9" xfId="2127" xr:uid="{00000000-0005-0000-0000-0000CA060000}"/>
    <cellStyle name="Comma 49" xfId="671" xr:uid="{00000000-0005-0000-0000-0000CB060000}"/>
    <cellStyle name="Comma 49 2" xfId="2128" xr:uid="{00000000-0005-0000-0000-0000CC060000}"/>
    <cellStyle name="Comma 5" xfId="184" xr:uid="{00000000-0005-0000-0000-0000CD060000}"/>
    <cellStyle name="Comma 5 10" xfId="2130" xr:uid="{00000000-0005-0000-0000-0000CE060000}"/>
    <cellStyle name="Comma 5 10 2" xfId="2131" xr:uid="{00000000-0005-0000-0000-0000CF060000}"/>
    <cellStyle name="Comma 5 11" xfId="2132" xr:uid="{00000000-0005-0000-0000-0000D0060000}"/>
    <cellStyle name="Comma 5 11 2" xfId="2133" xr:uid="{00000000-0005-0000-0000-0000D1060000}"/>
    <cellStyle name="Comma 5 12" xfId="2134" xr:uid="{00000000-0005-0000-0000-0000D2060000}"/>
    <cellStyle name="Comma 5 12 2" xfId="2135" xr:uid="{00000000-0005-0000-0000-0000D3060000}"/>
    <cellStyle name="Comma 5 13" xfId="2136" xr:uid="{00000000-0005-0000-0000-0000D4060000}"/>
    <cellStyle name="Comma 5 13 2" xfId="2137" xr:uid="{00000000-0005-0000-0000-0000D5060000}"/>
    <cellStyle name="Comma 5 14" xfId="2138" xr:uid="{00000000-0005-0000-0000-0000D6060000}"/>
    <cellStyle name="Comma 5 14 2" xfId="2139" xr:uid="{00000000-0005-0000-0000-0000D7060000}"/>
    <cellStyle name="Comma 5 15" xfId="2140" xr:uid="{00000000-0005-0000-0000-0000D8060000}"/>
    <cellStyle name="Comma 5 15 2" xfId="2141" xr:uid="{00000000-0005-0000-0000-0000D9060000}"/>
    <cellStyle name="Comma 5 16" xfId="2142" xr:uid="{00000000-0005-0000-0000-0000DA060000}"/>
    <cellStyle name="Comma 5 16 2" xfId="2143" xr:uid="{00000000-0005-0000-0000-0000DB060000}"/>
    <cellStyle name="Comma 5 17" xfId="2144" xr:uid="{00000000-0005-0000-0000-0000DC060000}"/>
    <cellStyle name="Comma 5 17 2" xfId="2145" xr:uid="{00000000-0005-0000-0000-0000DD060000}"/>
    <cellStyle name="Comma 5 18" xfId="2146" xr:uid="{00000000-0005-0000-0000-0000DE060000}"/>
    <cellStyle name="Comma 5 19" xfId="2147" xr:uid="{00000000-0005-0000-0000-0000DF060000}"/>
    <cellStyle name="Comma 5 2" xfId="308" xr:uid="{00000000-0005-0000-0000-0000E0060000}"/>
    <cellStyle name="Comma 5 2 2" xfId="558" xr:uid="{00000000-0005-0000-0000-0000E1060000}"/>
    <cellStyle name="Comma 5 2 2 2" xfId="2149" xr:uid="{00000000-0005-0000-0000-0000E2060000}"/>
    <cellStyle name="Comma 5 2 3" xfId="2148" xr:uid="{00000000-0005-0000-0000-0000E3060000}"/>
    <cellStyle name="Comma 5 2 4" xfId="366" xr:uid="{00000000-0005-0000-0000-0000E4060000}"/>
    <cellStyle name="Comma 5 20" xfId="2150" xr:uid="{00000000-0005-0000-0000-0000E5060000}"/>
    <cellStyle name="Comma 5 21" xfId="2151" xr:uid="{00000000-0005-0000-0000-0000E6060000}"/>
    <cellStyle name="Comma 5 22" xfId="2152" xr:uid="{00000000-0005-0000-0000-0000E7060000}"/>
    <cellStyle name="Comma 5 23" xfId="2153" xr:uid="{00000000-0005-0000-0000-0000E8060000}"/>
    <cellStyle name="Comma 5 24" xfId="2129" xr:uid="{00000000-0005-0000-0000-0000E9060000}"/>
    <cellStyle name="Comma 5 3" xfId="469" xr:uid="{00000000-0005-0000-0000-0000EA060000}"/>
    <cellStyle name="Comma 5 3 2" xfId="2155" xr:uid="{00000000-0005-0000-0000-0000EB060000}"/>
    <cellStyle name="Comma 5 3 3" xfId="2154" xr:uid="{00000000-0005-0000-0000-0000EC060000}"/>
    <cellStyle name="Comma 5 4" xfId="2156" xr:uid="{00000000-0005-0000-0000-0000ED060000}"/>
    <cellStyle name="Comma 5 4 2" xfId="2157" xr:uid="{00000000-0005-0000-0000-0000EE060000}"/>
    <cellStyle name="Comma 5 5" xfId="2158" xr:uid="{00000000-0005-0000-0000-0000EF060000}"/>
    <cellStyle name="Comma 5 5 2" xfId="2159" xr:uid="{00000000-0005-0000-0000-0000F0060000}"/>
    <cellStyle name="Comma 5 6" xfId="2160" xr:uid="{00000000-0005-0000-0000-0000F1060000}"/>
    <cellStyle name="Comma 5 6 2" xfId="2161" xr:uid="{00000000-0005-0000-0000-0000F2060000}"/>
    <cellStyle name="Comma 5 7" xfId="2162" xr:uid="{00000000-0005-0000-0000-0000F3060000}"/>
    <cellStyle name="Comma 5 7 2" xfId="2163" xr:uid="{00000000-0005-0000-0000-0000F4060000}"/>
    <cellStyle name="Comma 5 8" xfId="2164" xr:uid="{00000000-0005-0000-0000-0000F5060000}"/>
    <cellStyle name="Comma 5 8 2" xfId="2165" xr:uid="{00000000-0005-0000-0000-0000F6060000}"/>
    <cellStyle name="Comma 5 9" xfId="2166" xr:uid="{00000000-0005-0000-0000-0000F7060000}"/>
    <cellStyle name="Comma 5 9 2" xfId="2167" xr:uid="{00000000-0005-0000-0000-0000F8060000}"/>
    <cellStyle name="Comma 50" xfId="21151" xr:uid="{00000000-0005-0000-0000-0000F9060000}"/>
    <cellStyle name="Comma 50 2" xfId="2168" xr:uid="{00000000-0005-0000-0000-0000FA060000}"/>
    <cellStyle name="Comma 51" xfId="21152" xr:uid="{00000000-0005-0000-0000-0000FB060000}"/>
    <cellStyle name="Comma 51 2" xfId="21154" xr:uid="{00000000-0005-0000-0000-0000FC060000}"/>
    <cellStyle name="Comma 52" xfId="2169" xr:uid="{00000000-0005-0000-0000-0000FD060000}"/>
    <cellStyle name="Comma 53" xfId="2170" xr:uid="{00000000-0005-0000-0000-0000FE060000}"/>
    <cellStyle name="Comma 59 2" xfId="2171" xr:uid="{00000000-0005-0000-0000-0000FF060000}"/>
    <cellStyle name="Comma 59 3" xfId="2172" xr:uid="{00000000-0005-0000-0000-000000070000}"/>
    <cellStyle name="Comma 6" xfId="313" xr:uid="{00000000-0005-0000-0000-000001070000}"/>
    <cellStyle name="Comma 6 10" xfId="2174" xr:uid="{00000000-0005-0000-0000-000002070000}"/>
    <cellStyle name="Comma 6 11" xfId="2175" xr:uid="{00000000-0005-0000-0000-000003070000}"/>
    <cellStyle name="Comma 6 12" xfId="2173" xr:uid="{00000000-0005-0000-0000-000004070000}"/>
    <cellStyle name="Comma 6 12 2" xfId="37634" xr:uid="{00000000-0005-0000-0000-000005070000}"/>
    <cellStyle name="Comma 6 13" xfId="330" xr:uid="{00000000-0005-0000-0000-000006070000}"/>
    <cellStyle name="Comma 6 2" xfId="464" xr:uid="{00000000-0005-0000-0000-000007070000}"/>
    <cellStyle name="Comma 6 2 2" xfId="2177" xr:uid="{00000000-0005-0000-0000-000008070000}"/>
    <cellStyle name="Comma 6 2 3" xfId="2176" xr:uid="{00000000-0005-0000-0000-000009070000}"/>
    <cellStyle name="Comma 6 3" xfId="2178" xr:uid="{00000000-0005-0000-0000-00000A070000}"/>
    <cellStyle name="Comma 6 3 2" xfId="2179" xr:uid="{00000000-0005-0000-0000-00000B070000}"/>
    <cellStyle name="Comma 6 4" xfId="2180" xr:uid="{00000000-0005-0000-0000-00000C070000}"/>
    <cellStyle name="Comma 6 4 2" xfId="2181" xr:uid="{00000000-0005-0000-0000-00000D070000}"/>
    <cellStyle name="Comma 6 5" xfId="2182" xr:uid="{00000000-0005-0000-0000-00000E070000}"/>
    <cellStyle name="Comma 6 5 2" xfId="2183" xr:uid="{00000000-0005-0000-0000-00000F070000}"/>
    <cellStyle name="Comma 6 6" xfId="2184" xr:uid="{00000000-0005-0000-0000-000010070000}"/>
    <cellStyle name="Comma 6 7" xfId="2185" xr:uid="{00000000-0005-0000-0000-000011070000}"/>
    <cellStyle name="Comma 6 8" xfId="2186" xr:uid="{00000000-0005-0000-0000-000012070000}"/>
    <cellStyle name="Comma 6 9" xfId="2187" xr:uid="{00000000-0005-0000-0000-000013070000}"/>
    <cellStyle name="Comma 60 2" xfId="2188" xr:uid="{00000000-0005-0000-0000-000014070000}"/>
    <cellStyle name="Comma 60 3" xfId="2189" xr:uid="{00000000-0005-0000-0000-000015070000}"/>
    <cellStyle name="Comma 7" xfId="319" xr:uid="{00000000-0005-0000-0000-000016070000}"/>
    <cellStyle name="Comma 7 10" xfId="2191" xr:uid="{00000000-0005-0000-0000-000017070000}"/>
    <cellStyle name="Comma 7 11" xfId="2192" xr:uid="{00000000-0005-0000-0000-000018070000}"/>
    <cellStyle name="Comma 7 12" xfId="2190" xr:uid="{00000000-0005-0000-0000-000019070000}"/>
    <cellStyle name="Comma 7 13" xfId="346" xr:uid="{00000000-0005-0000-0000-00001A070000}"/>
    <cellStyle name="Comma 7 2" xfId="536" xr:uid="{00000000-0005-0000-0000-00001B070000}"/>
    <cellStyle name="Comma 7 2 2" xfId="2194" xr:uid="{00000000-0005-0000-0000-00001C070000}"/>
    <cellStyle name="Comma 7 2 3" xfId="2193" xr:uid="{00000000-0005-0000-0000-00001D070000}"/>
    <cellStyle name="Comma 7 3" xfId="2195" xr:uid="{00000000-0005-0000-0000-00001E070000}"/>
    <cellStyle name="Comma 7 3 2" xfId="2196" xr:uid="{00000000-0005-0000-0000-00001F070000}"/>
    <cellStyle name="Comma 7 4" xfId="2197" xr:uid="{00000000-0005-0000-0000-000020070000}"/>
    <cellStyle name="Comma 7 4 2" xfId="2198" xr:uid="{00000000-0005-0000-0000-000021070000}"/>
    <cellStyle name="Comma 7 5" xfId="2199" xr:uid="{00000000-0005-0000-0000-000022070000}"/>
    <cellStyle name="Comma 7 5 2" xfId="2200" xr:uid="{00000000-0005-0000-0000-000023070000}"/>
    <cellStyle name="Comma 7 6" xfId="2201" xr:uid="{00000000-0005-0000-0000-000024070000}"/>
    <cellStyle name="Comma 7 7" xfId="2202" xr:uid="{00000000-0005-0000-0000-000025070000}"/>
    <cellStyle name="Comma 7 8" xfId="2203" xr:uid="{00000000-0005-0000-0000-000026070000}"/>
    <cellStyle name="Comma 7 9" xfId="2204" xr:uid="{00000000-0005-0000-0000-000027070000}"/>
    <cellStyle name="Comma 8" xfId="307" xr:uid="{00000000-0005-0000-0000-000028070000}"/>
    <cellStyle name="Comma 8 10" xfId="2206" xr:uid="{00000000-0005-0000-0000-000029070000}"/>
    <cellStyle name="Comma 8 11" xfId="2207" xr:uid="{00000000-0005-0000-0000-00002A070000}"/>
    <cellStyle name="Comma 8 12" xfId="2205" xr:uid="{00000000-0005-0000-0000-00002B070000}"/>
    <cellStyle name="Comma 8 13" xfId="349" xr:uid="{00000000-0005-0000-0000-00002C070000}"/>
    <cellStyle name="Comma 8 2" xfId="539" xr:uid="{00000000-0005-0000-0000-00002D070000}"/>
    <cellStyle name="Comma 8 2 2" xfId="2209" xr:uid="{00000000-0005-0000-0000-00002E070000}"/>
    <cellStyle name="Comma 8 2 3" xfId="2208" xr:uid="{00000000-0005-0000-0000-00002F070000}"/>
    <cellStyle name="Comma 8 3" xfId="2210" xr:uid="{00000000-0005-0000-0000-000030070000}"/>
    <cellStyle name="Comma 8 3 2" xfId="2211" xr:uid="{00000000-0005-0000-0000-000031070000}"/>
    <cellStyle name="Comma 8 4" xfId="2212" xr:uid="{00000000-0005-0000-0000-000032070000}"/>
    <cellStyle name="Comma 8 4 2" xfId="2213" xr:uid="{00000000-0005-0000-0000-000033070000}"/>
    <cellStyle name="Comma 8 5" xfId="2214" xr:uid="{00000000-0005-0000-0000-000034070000}"/>
    <cellStyle name="Comma 8 5 2" xfId="2215" xr:uid="{00000000-0005-0000-0000-000035070000}"/>
    <cellStyle name="Comma 8 6" xfId="2216" xr:uid="{00000000-0005-0000-0000-000036070000}"/>
    <cellStyle name="Comma 8 7" xfId="2217" xr:uid="{00000000-0005-0000-0000-000037070000}"/>
    <cellStyle name="Comma 8 8" xfId="2218" xr:uid="{00000000-0005-0000-0000-000038070000}"/>
    <cellStyle name="Comma 8 9" xfId="2219" xr:uid="{00000000-0005-0000-0000-000039070000}"/>
    <cellStyle name="Comma 9" xfId="312" xr:uid="{00000000-0005-0000-0000-00003A070000}"/>
    <cellStyle name="Comma 9 2" xfId="589" xr:uid="{00000000-0005-0000-0000-00003B070000}"/>
    <cellStyle name="Comma 9 2 2" xfId="2221" xr:uid="{00000000-0005-0000-0000-00003C070000}"/>
    <cellStyle name="Comma 9 3" xfId="2222" xr:uid="{00000000-0005-0000-0000-00003D070000}"/>
    <cellStyle name="Comma 9 4" xfId="2223" xr:uid="{00000000-0005-0000-0000-00003E070000}"/>
    <cellStyle name="Comma 9 5" xfId="2224" xr:uid="{00000000-0005-0000-0000-00003F070000}"/>
    <cellStyle name="Comma 9 6" xfId="2220" xr:uid="{00000000-0005-0000-0000-000040070000}"/>
    <cellStyle name="Comma 9 7" xfId="37635" xr:uid="{00000000-0005-0000-0000-000041070000}"/>
    <cellStyle name="Currency" xfId="37697" builtinId="4"/>
    <cellStyle name="Currency [0] 2" xfId="11" xr:uid="{00000000-0005-0000-0000-000043070000}"/>
    <cellStyle name="Currency [0] 2 2" xfId="207" xr:uid="{00000000-0005-0000-0000-000044070000}"/>
    <cellStyle name="Currency 10" xfId="12" xr:uid="{00000000-0005-0000-0000-000045070000}"/>
    <cellStyle name="Currency 11" xfId="199" xr:uid="{00000000-0005-0000-0000-000046070000}"/>
    <cellStyle name="Currency 11 2" xfId="384" xr:uid="{00000000-0005-0000-0000-000047070000}"/>
    <cellStyle name="Currency 11 2 2" xfId="576" xr:uid="{00000000-0005-0000-0000-000048070000}"/>
    <cellStyle name="Currency 11 2 3" xfId="2226" xr:uid="{00000000-0005-0000-0000-000049070000}"/>
    <cellStyle name="Currency 11 2 4" xfId="37637" xr:uid="{00000000-0005-0000-0000-00004A070000}"/>
    <cellStyle name="Currency 11 3" xfId="491" xr:uid="{00000000-0005-0000-0000-00004B070000}"/>
    <cellStyle name="Currency 11 3 2" xfId="2227" xr:uid="{00000000-0005-0000-0000-00004C070000}"/>
    <cellStyle name="Currency 11 3 3" xfId="37638" xr:uid="{00000000-0005-0000-0000-00004D070000}"/>
    <cellStyle name="Currency 11 4" xfId="2225" xr:uid="{00000000-0005-0000-0000-00004E070000}"/>
    <cellStyle name="Currency 11 5" xfId="37636" xr:uid="{00000000-0005-0000-0000-00004F070000}"/>
    <cellStyle name="Currency 12" xfId="201" xr:uid="{00000000-0005-0000-0000-000050070000}"/>
    <cellStyle name="Currency 12 2" xfId="386" xr:uid="{00000000-0005-0000-0000-000051070000}"/>
    <cellStyle name="Currency 12 2 2" xfId="578" xr:uid="{00000000-0005-0000-0000-000052070000}"/>
    <cellStyle name="Currency 12 2 3" xfId="2229" xr:uid="{00000000-0005-0000-0000-000053070000}"/>
    <cellStyle name="Currency 12 2 4" xfId="37640" xr:uid="{00000000-0005-0000-0000-000054070000}"/>
    <cellStyle name="Currency 12 3" xfId="505" xr:uid="{00000000-0005-0000-0000-000055070000}"/>
    <cellStyle name="Currency 12 3 2" xfId="2230" xr:uid="{00000000-0005-0000-0000-000056070000}"/>
    <cellStyle name="Currency 12 3 3" xfId="37641" xr:uid="{00000000-0005-0000-0000-000057070000}"/>
    <cellStyle name="Currency 12 4" xfId="2228" xr:uid="{00000000-0005-0000-0000-000058070000}"/>
    <cellStyle name="Currency 12 5" xfId="37639" xr:uid="{00000000-0005-0000-0000-000059070000}"/>
    <cellStyle name="Currency 13" xfId="182" xr:uid="{00000000-0005-0000-0000-00005A070000}"/>
    <cellStyle name="Currency 13 2" xfId="292" xr:uid="{00000000-0005-0000-0000-00005B070000}"/>
    <cellStyle name="Currency 14" xfId="289" xr:uid="{00000000-0005-0000-0000-00005C070000}"/>
    <cellStyle name="Currency 15" xfId="293" xr:uid="{00000000-0005-0000-0000-00005D070000}"/>
    <cellStyle name="Currency 16" xfId="295" xr:uid="{00000000-0005-0000-0000-00005E070000}"/>
    <cellStyle name="Currency 17" xfId="296" xr:uid="{00000000-0005-0000-0000-00005F070000}"/>
    <cellStyle name="Currency 18" xfId="297" xr:uid="{00000000-0005-0000-0000-000060070000}"/>
    <cellStyle name="Currency 19" xfId="298" xr:uid="{00000000-0005-0000-0000-000061070000}"/>
    <cellStyle name="Currency 2" xfId="13" xr:uid="{00000000-0005-0000-0000-000062070000}"/>
    <cellStyle name="Currency 2 10" xfId="2232" xr:uid="{00000000-0005-0000-0000-000063070000}"/>
    <cellStyle name="Currency 2 10 2" xfId="2233" xr:uid="{00000000-0005-0000-0000-000064070000}"/>
    <cellStyle name="Currency 2 10 2 2" xfId="2234" xr:uid="{00000000-0005-0000-0000-000065070000}"/>
    <cellStyle name="Currency 2 10 2 2 2" xfId="2235" xr:uid="{00000000-0005-0000-0000-000066070000}"/>
    <cellStyle name="Currency 2 10 2 2 3" xfId="2236" xr:uid="{00000000-0005-0000-0000-000067070000}"/>
    <cellStyle name="Currency 2 10 2 2 4" xfId="2237" xr:uid="{00000000-0005-0000-0000-000068070000}"/>
    <cellStyle name="Currency 2 10 2 3" xfId="2238" xr:uid="{00000000-0005-0000-0000-000069070000}"/>
    <cellStyle name="Currency 2 10 2 4" xfId="2239" xr:uid="{00000000-0005-0000-0000-00006A070000}"/>
    <cellStyle name="Currency 2 10 2 5" xfId="2240" xr:uid="{00000000-0005-0000-0000-00006B070000}"/>
    <cellStyle name="Currency 2 10 3" xfId="2241" xr:uid="{00000000-0005-0000-0000-00006C070000}"/>
    <cellStyle name="Currency 2 10 3 2" xfId="2242" xr:uid="{00000000-0005-0000-0000-00006D070000}"/>
    <cellStyle name="Currency 2 10 3 3" xfId="2243" xr:uid="{00000000-0005-0000-0000-00006E070000}"/>
    <cellStyle name="Currency 2 10 3 4" xfId="2244" xr:uid="{00000000-0005-0000-0000-00006F070000}"/>
    <cellStyle name="Currency 2 10 4" xfId="2245" xr:uid="{00000000-0005-0000-0000-000070070000}"/>
    <cellStyle name="Currency 2 10 5" xfId="2246" xr:uid="{00000000-0005-0000-0000-000071070000}"/>
    <cellStyle name="Currency 2 10 6" xfId="2247" xr:uid="{00000000-0005-0000-0000-000072070000}"/>
    <cellStyle name="Currency 2 11" xfId="2248" xr:uid="{00000000-0005-0000-0000-000073070000}"/>
    <cellStyle name="Currency 2 11 2" xfId="2249" xr:uid="{00000000-0005-0000-0000-000074070000}"/>
    <cellStyle name="Currency 2 11 2 2" xfId="2250" xr:uid="{00000000-0005-0000-0000-000075070000}"/>
    <cellStyle name="Currency 2 11 2 2 2" xfId="2251" xr:uid="{00000000-0005-0000-0000-000076070000}"/>
    <cellStyle name="Currency 2 11 2 2 3" xfId="2252" xr:uid="{00000000-0005-0000-0000-000077070000}"/>
    <cellStyle name="Currency 2 11 2 2 4" xfId="2253" xr:uid="{00000000-0005-0000-0000-000078070000}"/>
    <cellStyle name="Currency 2 11 2 3" xfId="2254" xr:uid="{00000000-0005-0000-0000-000079070000}"/>
    <cellStyle name="Currency 2 11 2 4" xfId="2255" xr:uid="{00000000-0005-0000-0000-00007A070000}"/>
    <cellStyle name="Currency 2 11 2 5" xfId="2256" xr:uid="{00000000-0005-0000-0000-00007B070000}"/>
    <cellStyle name="Currency 2 11 3" xfId="2257" xr:uid="{00000000-0005-0000-0000-00007C070000}"/>
    <cellStyle name="Currency 2 11 3 2" xfId="2258" xr:uid="{00000000-0005-0000-0000-00007D070000}"/>
    <cellStyle name="Currency 2 11 3 3" xfId="2259" xr:uid="{00000000-0005-0000-0000-00007E070000}"/>
    <cellStyle name="Currency 2 11 3 4" xfId="2260" xr:uid="{00000000-0005-0000-0000-00007F070000}"/>
    <cellStyle name="Currency 2 11 4" xfId="2261" xr:uid="{00000000-0005-0000-0000-000080070000}"/>
    <cellStyle name="Currency 2 11 5" xfId="2262" xr:uid="{00000000-0005-0000-0000-000081070000}"/>
    <cellStyle name="Currency 2 11 6" xfId="2263" xr:uid="{00000000-0005-0000-0000-000082070000}"/>
    <cellStyle name="Currency 2 12" xfId="2264" xr:uid="{00000000-0005-0000-0000-000083070000}"/>
    <cellStyle name="Currency 2 12 2" xfId="2265" xr:uid="{00000000-0005-0000-0000-000084070000}"/>
    <cellStyle name="Currency 2 12 2 2" xfId="2266" xr:uid="{00000000-0005-0000-0000-000085070000}"/>
    <cellStyle name="Currency 2 12 2 2 2" xfId="2267" xr:uid="{00000000-0005-0000-0000-000086070000}"/>
    <cellStyle name="Currency 2 12 2 2 3" xfId="2268" xr:uid="{00000000-0005-0000-0000-000087070000}"/>
    <cellStyle name="Currency 2 12 2 2 4" xfId="2269" xr:uid="{00000000-0005-0000-0000-000088070000}"/>
    <cellStyle name="Currency 2 12 2 3" xfId="2270" xr:uid="{00000000-0005-0000-0000-000089070000}"/>
    <cellStyle name="Currency 2 12 2 4" xfId="2271" xr:uid="{00000000-0005-0000-0000-00008A070000}"/>
    <cellStyle name="Currency 2 12 2 5" xfId="2272" xr:uid="{00000000-0005-0000-0000-00008B070000}"/>
    <cellStyle name="Currency 2 12 3" xfId="2273" xr:uid="{00000000-0005-0000-0000-00008C070000}"/>
    <cellStyle name="Currency 2 12 3 2" xfId="2274" xr:uid="{00000000-0005-0000-0000-00008D070000}"/>
    <cellStyle name="Currency 2 12 3 3" xfId="2275" xr:uid="{00000000-0005-0000-0000-00008E070000}"/>
    <cellStyle name="Currency 2 12 3 4" xfId="2276" xr:uid="{00000000-0005-0000-0000-00008F070000}"/>
    <cellStyle name="Currency 2 12 4" xfId="2277" xr:uid="{00000000-0005-0000-0000-000090070000}"/>
    <cellStyle name="Currency 2 12 5" xfId="2278" xr:uid="{00000000-0005-0000-0000-000091070000}"/>
    <cellStyle name="Currency 2 12 6" xfId="2279" xr:uid="{00000000-0005-0000-0000-000092070000}"/>
    <cellStyle name="Currency 2 13" xfId="2280" xr:uid="{00000000-0005-0000-0000-000093070000}"/>
    <cellStyle name="Currency 2 14" xfId="2281" xr:uid="{00000000-0005-0000-0000-000094070000}"/>
    <cellStyle name="Currency 2 15" xfId="2282" xr:uid="{00000000-0005-0000-0000-000095070000}"/>
    <cellStyle name="Currency 2 16" xfId="2283" xr:uid="{00000000-0005-0000-0000-000096070000}"/>
    <cellStyle name="Currency 2 17" xfId="2284" xr:uid="{00000000-0005-0000-0000-000097070000}"/>
    <cellStyle name="Currency 2 18" xfId="2285" xr:uid="{00000000-0005-0000-0000-000098070000}"/>
    <cellStyle name="Currency 2 19" xfId="2286" xr:uid="{00000000-0005-0000-0000-000099070000}"/>
    <cellStyle name="Currency 2 2" xfId="14" xr:uid="{00000000-0005-0000-0000-00009A070000}"/>
    <cellStyle name="Currency 2 2 10" xfId="2287" xr:uid="{00000000-0005-0000-0000-00009B070000}"/>
    <cellStyle name="Currency 2 2 11" xfId="2288" xr:uid="{00000000-0005-0000-0000-00009C070000}"/>
    <cellStyle name="Currency 2 2 12" xfId="2289" xr:uid="{00000000-0005-0000-0000-00009D070000}"/>
    <cellStyle name="Currency 2 2 13" xfId="2290" xr:uid="{00000000-0005-0000-0000-00009E070000}"/>
    <cellStyle name="Currency 2 2 14" xfId="2291" xr:uid="{00000000-0005-0000-0000-00009F070000}"/>
    <cellStyle name="Currency 2 2 15" xfId="2292" xr:uid="{00000000-0005-0000-0000-0000A0070000}"/>
    <cellStyle name="Currency 2 2 16" xfId="2293" xr:uid="{00000000-0005-0000-0000-0000A1070000}"/>
    <cellStyle name="Currency 2 2 17" xfId="2294" xr:uid="{00000000-0005-0000-0000-0000A2070000}"/>
    <cellStyle name="Currency 2 2 18" xfId="2295" xr:uid="{00000000-0005-0000-0000-0000A3070000}"/>
    <cellStyle name="Currency 2 2 19" xfId="2296" xr:uid="{00000000-0005-0000-0000-0000A4070000}"/>
    <cellStyle name="Currency 2 2 2" xfId="206" xr:uid="{00000000-0005-0000-0000-0000A5070000}"/>
    <cellStyle name="Currency 2 2 2 2" xfId="2298" xr:uid="{00000000-0005-0000-0000-0000A6070000}"/>
    <cellStyle name="Currency 2 2 2 3" xfId="2299" xr:uid="{00000000-0005-0000-0000-0000A7070000}"/>
    <cellStyle name="Currency 2 2 2 4" xfId="2300" xr:uid="{00000000-0005-0000-0000-0000A8070000}"/>
    <cellStyle name="Currency 2 2 2 5" xfId="2297" xr:uid="{00000000-0005-0000-0000-0000A9070000}"/>
    <cellStyle name="Currency 2 2 20" xfId="2301" xr:uid="{00000000-0005-0000-0000-0000AA070000}"/>
    <cellStyle name="Currency 2 2 21" xfId="2302" xr:uid="{00000000-0005-0000-0000-0000AB070000}"/>
    <cellStyle name="Currency 2 2 22" xfId="2303" xr:uid="{00000000-0005-0000-0000-0000AC070000}"/>
    <cellStyle name="Currency 2 2 23" xfId="2304" xr:uid="{00000000-0005-0000-0000-0000AD070000}"/>
    <cellStyle name="Currency 2 2 24" xfId="2305" xr:uid="{00000000-0005-0000-0000-0000AE070000}"/>
    <cellStyle name="Currency 2 2 25" xfId="2306" xr:uid="{00000000-0005-0000-0000-0000AF070000}"/>
    <cellStyle name="Currency 2 2 26" xfId="2307" xr:uid="{00000000-0005-0000-0000-0000B0070000}"/>
    <cellStyle name="Currency 2 2 27" xfId="2308" xr:uid="{00000000-0005-0000-0000-0000B1070000}"/>
    <cellStyle name="Currency 2 2 28" xfId="2309" xr:uid="{00000000-0005-0000-0000-0000B2070000}"/>
    <cellStyle name="Currency 2 2 29" xfId="2310" xr:uid="{00000000-0005-0000-0000-0000B3070000}"/>
    <cellStyle name="Currency 2 2 3" xfId="2311" xr:uid="{00000000-0005-0000-0000-0000B4070000}"/>
    <cellStyle name="Currency 2 2 30" xfId="2312" xr:uid="{00000000-0005-0000-0000-0000B5070000}"/>
    <cellStyle name="Currency 2 2 31" xfId="2313" xr:uid="{00000000-0005-0000-0000-0000B6070000}"/>
    <cellStyle name="Currency 2 2 4" xfId="2314" xr:uid="{00000000-0005-0000-0000-0000B7070000}"/>
    <cellStyle name="Currency 2 2 5" xfId="2315" xr:uid="{00000000-0005-0000-0000-0000B8070000}"/>
    <cellStyle name="Currency 2 2 6" xfId="2316" xr:uid="{00000000-0005-0000-0000-0000B9070000}"/>
    <cellStyle name="Currency 2 2 7" xfId="2317" xr:uid="{00000000-0005-0000-0000-0000BA070000}"/>
    <cellStyle name="Currency 2 2 8" xfId="2318" xr:uid="{00000000-0005-0000-0000-0000BB070000}"/>
    <cellStyle name="Currency 2 2 9" xfId="2319" xr:uid="{00000000-0005-0000-0000-0000BC070000}"/>
    <cellStyle name="Currency 2 20" xfId="2320" xr:uid="{00000000-0005-0000-0000-0000BD070000}"/>
    <cellStyle name="Currency 2 21" xfId="2321" xr:uid="{00000000-0005-0000-0000-0000BE070000}"/>
    <cellStyle name="Currency 2 22" xfId="2322" xr:uid="{00000000-0005-0000-0000-0000BF070000}"/>
    <cellStyle name="Currency 2 23" xfId="2323" xr:uid="{00000000-0005-0000-0000-0000C0070000}"/>
    <cellStyle name="Currency 2 24" xfId="2324" xr:uid="{00000000-0005-0000-0000-0000C1070000}"/>
    <cellStyle name="Currency 2 25" xfId="2325" xr:uid="{00000000-0005-0000-0000-0000C2070000}"/>
    <cellStyle name="Currency 2 26" xfId="2326" xr:uid="{00000000-0005-0000-0000-0000C3070000}"/>
    <cellStyle name="Currency 2 27" xfId="2327" xr:uid="{00000000-0005-0000-0000-0000C4070000}"/>
    <cellStyle name="Currency 2 28" xfId="2328" xr:uid="{00000000-0005-0000-0000-0000C5070000}"/>
    <cellStyle name="Currency 2 29" xfId="2329" xr:uid="{00000000-0005-0000-0000-0000C6070000}"/>
    <cellStyle name="Currency 2 3" xfId="284" xr:uid="{00000000-0005-0000-0000-0000C7070000}"/>
    <cellStyle name="Currency 2 3 10" xfId="2331" xr:uid="{00000000-0005-0000-0000-0000C8070000}"/>
    <cellStyle name="Currency 2 3 11" xfId="2332" xr:uid="{00000000-0005-0000-0000-0000C9070000}"/>
    <cellStyle name="Currency 2 3 12" xfId="2333" xr:uid="{00000000-0005-0000-0000-0000CA070000}"/>
    <cellStyle name="Currency 2 3 13" xfId="2334" xr:uid="{00000000-0005-0000-0000-0000CB070000}"/>
    <cellStyle name="Currency 2 3 14" xfId="2335" xr:uid="{00000000-0005-0000-0000-0000CC070000}"/>
    <cellStyle name="Currency 2 3 15" xfId="2336" xr:uid="{00000000-0005-0000-0000-0000CD070000}"/>
    <cellStyle name="Currency 2 3 16" xfId="2337" xr:uid="{00000000-0005-0000-0000-0000CE070000}"/>
    <cellStyle name="Currency 2 3 17" xfId="2338" xr:uid="{00000000-0005-0000-0000-0000CF070000}"/>
    <cellStyle name="Currency 2 3 18" xfId="2339" xr:uid="{00000000-0005-0000-0000-0000D0070000}"/>
    <cellStyle name="Currency 2 3 19" xfId="2340" xr:uid="{00000000-0005-0000-0000-0000D1070000}"/>
    <cellStyle name="Currency 2 3 2" xfId="2341" xr:uid="{00000000-0005-0000-0000-0000D2070000}"/>
    <cellStyle name="Currency 2 3 2 2" xfId="2342" xr:uid="{00000000-0005-0000-0000-0000D3070000}"/>
    <cellStyle name="Currency 2 3 2 3" xfId="2343" xr:uid="{00000000-0005-0000-0000-0000D4070000}"/>
    <cellStyle name="Currency 2 3 2 4" xfId="2344" xr:uid="{00000000-0005-0000-0000-0000D5070000}"/>
    <cellStyle name="Currency 2 3 20" xfId="2345" xr:uid="{00000000-0005-0000-0000-0000D6070000}"/>
    <cellStyle name="Currency 2 3 21" xfId="2346" xr:uid="{00000000-0005-0000-0000-0000D7070000}"/>
    <cellStyle name="Currency 2 3 22" xfId="2347" xr:uid="{00000000-0005-0000-0000-0000D8070000}"/>
    <cellStyle name="Currency 2 3 23" xfId="2348" xr:uid="{00000000-0005-0000-0000-0000D9070000}"/>
    <cellStyle name="Currency 2 3 24" xfId="2349" xr:uid="{00000000-0005-0000-0000-0000DA070000}"/>
    <cellStyle name="Currency 2 3 25" xfId="2350" xr:uid="{00000000-0005-0000-0000-0000DB070000}"/>
    <cellStyle name="Currency 2 3 26" xfId="2351" xr:uid="{00000000-0005-0000-0000-0000DC070000}"/>
    <cellStyle name="Currency 2 3 27" xfId="2352" xr:uid="{00000000-0005-0000-0000-0000DD070000}"/>
    <cellStyle name="Currency 2 3 28" xfId="2353" xr:uid="{00000000-0005-0000-0000-0000DE070000}"/>
    <cellStyle name="Currency 2 3 29" xfId="2354" xr:uid="{00000000-0005-0000-0000-0000DF070000}"/>
    <cellStyle name="Currency 2 3 3" xfId="2355" xr:uid="{00000000-0005-0000-0000-0000E0070000}"/>
    <cellStyle name="Currency 2 3 30" xfId="2356" xr:uid="{00000000-0005-0000-0000-0000E1070000}"/>
    <cellStyle name="Currency 2 3 31" xfId="2357" xr:uid="{00000000-0005-0000-0000-0000E2070000}"/>
    <cellStyle name="Currency 2 3 32" xfId="2330" xr:uid="{00000000-0005-0000-0000-0000E3070000}"/>
    <cellStyle name="Currency 2 3 4" xfId="2358" xr:uid="{00000000-0005-0000-0000-0000E4070000}"/>
    <cellStyle name="Currency 2 3 5" xfId="2359" xr:uid="{00000000-0005-0000-0000-0000E5070000}"/>
    <cellStyle name="Currency 2 3 6" xfId="2360" xr:uid="{00000000-0005-0000-0000-0000E6070000}"/>
    <cellStyle name="Currency 2 3 7" xfId="2361" xr:uid="{00000000-0005-0000-0000-0000E7070000}"/>
    <cellStyle name="Currency 2 3 8" xfId="2362" xr:uid="{00000000-0005-0000-0000-0000E8070000}"/>
    <cellStyle name="Currency 2 3 9" xfId="2363" xr:uid="{00000000-0005-0000-0000-0000E9070000}"/>
    <cellStyle name="Currency 2 30" xfId="2364" xr:uid="{00000000-0005-0000-0000-0000EA070000}"/>
    <cellStyle name="Currency 2 31" xfId="2365" xr:uid="{00000000-0005-0000-0000-0000EB070000}"/>
    <cellStyle name="Currency 2 32" xfId="2366" xr:uid="{00000000-0005-0000-0000-0000EC070000}"/>
    <cellStyle name="Currency 2 33" xfId="2367" xr:uid="{00000000-0005-0000-0000-0000ED070000}"/>
    <cellStyle name="Currency 2 34" xfId="2368" xr:uid="{00000000-0005-0000-0000-0000EE070000}"/>
    <cellStyle name="Currency 2 35" xfId="2369" xr:uid="{00000000-0005-0000-0000-0000EF070000}"/>
    <cellStyle name="Currency 2 36" xfId="2370" xr:uid="{00000000-0005-0000-0000-0000F0070000}"/>
    <cellStyle name="Currency 2 37" xfId="21148" xr:uid="{00000000-0005-0000-0000-0000F1070000}"/>
    <cellStyle name="Currency 2 37 2" xfId="37606" xr:uid="{00000000-0005-0000-0000-0000F2070000}"/>
    <cellStyle name="Currency 2 38" xfId="2231" xr:uid="{00000000-0005-0000-0000-0000F3070000}"/>
    <cellStyle name="Currency 2 4" xfId="381" xr:uid="{00000000-0005-0000-0000-0000F4070000}"/>
    <cellStyle name="Currency 2 4 2" xfId="573" xr:uid="{00000000-0005-0000-0000-0000F5070000}"/>
    <cellStyle name="Currency 2 4 3" xfId="2371" xr:uid="{00000000-0005-0000-0000-0000F6070000}"/>
    <cellStyle name="Currency 2 5" xfId="484" xr:uid="{00000000-0005-0000-0000-0000F7070000}"/>
    <cellStyle name="Currency 2 5 2" xfId="2372" xr:uid="{00000000-0005-0000-0000-0000F8070000}"/>
    <cellStyle name="Currency 2 6" xfId="2373" xr:uid="{00000000-0005-0000-0000-0000F9070000}"/>
    <cellStyle name="Currency 2 7" xfId="2374" xr:uid="{00000000-0005-0000-0000-0000FA070000}"/>
    <cellStyle name="Currency 2 8" xfId="2375" xr:uid="{00000000-0005-0000-0000-0000FB070000}"/>
    <cellStyle name="Currency 2 9" xfId="2376" xr:uid="{00000000-0005-0000-0000-0000FC070000}"/>
    <cellStyle name="Currency 20" xfId="299" xr:uid="{00000000-0005-0000-0000-0000FD070000}"/>
    <cellStyle name="Currency 21" xfId="300" xr:uid="{00000000-0005-0000-0000-0000FE070000}"/>
    <cellStyle name="Currency 22" xfId="301" xr:uid="{00000000-0005-0000-0000-0000FF070000}"/>
    <cellStyle name="Currency 23" xfId="321" xr:uid="{00000000-0005-0000-0000-000000080000}"/>
    <cellStyle name="Currency 23 2" xfId="537" xr:uid="{00000000-0005-0000-0000-000001080000}"/>
    <cellStyle name="Currency 23 2 2" xfId="2378" xr:uid="{00000000-0005-0000-0000-000002080000}"/>
    <cellStyle name="Currency 23 3" xfId="2377" xr:uid="{00000000-0005-0000-0000-000003080000}"/>
    <cellStyle name="Currency 23 4" xfId="347" xr:uid="{00000000-0005-0000-0000-000004080000}"/>
    <cellStyle name="Currency 24" xfId="352" xr:uid="{00000000-0005-0000-0000-000005080000}"/>
    <cellStyle name="Currency 24 2" xfId="542" xr:uid="{00000000-0005-0000-0000-000006080000}"/>
    <cellStyle name="Currency 24 3" xfId="2379" xr:uid="{00000000-0005-0000-0000-000007080000}"/>
    <cellStyle name="Currency 25" xfId="432" xr:uid="{00000000-0005-0000-0000-000008080000}"/>
    <cellStyle name="Currency 25 2" xfId="590" xr:uid="{00000000-0005-0000-0000-000009080000}"/>
    <cellStyle name="Currency 25 3" xfId="2380" xr:uid="{00000000-0005-0000-0000-00000A080000}"/>
    <cellStyle name="Currency 26" xfId="437" xr:uid="{00000000-0005-0000-0000-00000B080000}"/>
    <cellStyle name="Currency 26 2" xfId="595" xr:uid="{00000000-0005-0000-0000-00000C080000}"/>
    <cellStyle name="Currency 26 3" xfId="2381" xr:uid="{00000000-0005-0000-0000-00000D080000}"/>
    <cellStyle name="Currency 27" xfId="662" xr:uid="{00000000-0005-0000-0000-00000E080000}"/>
    <cellStyle name="Currency 27 2" xfId="2382" xr:uid="{00000000-0005-0000-0000-00000F080000}"/>
    <cellStyle name="Currency 28" xfId="668" xr:uid="{00000000-0005-0000-0000-000010080000}"/>
    <cellStyle name="Currency 28 2" xfId="2383" xr:uid="{00000000-0005-0000-0000-000011080000}"/>
    <cellStyle name="Currency 29" xfId="2384" xr:uid="{00000000-0005-0000-0000-000012080000}"/>
    <cellStyle name="Currency 29 2" xfId="37642" xr:uid="{00000000-0005-0000-0000-000013080000}"/>
    <cellStyle name="Currency 3" xfId="15" xr:uid="{00000000-0005-0000-0000-000014080000}"/>
    <cellStyle name="Currency 3 10" xfId="2385" xr:uid="{00000000-0005-0000-0000-000015080000}"/>
    <cellStyle name="Currency 3 11" xfId="2386" xr:uid="{00000000-0005-0000-0000-000016080000}"/>
    <cellStyle name="Currency 3 12" xfId="2387" xr:uid="{00000000-0005-0000-0000-000017080000}"/>
    <cellStyle name="Currency 3 13" xfId="2388" xr:uid="{00000000-0005-0000-0000-000018080000}"/>
    <cellStyle name="Currency 3 14" xfId="2389" xr:uid="{00000000-0005-0000-0000-000019080000}"/>
    <cellStyle name="Currency 3 15" xfId="2390" xr:uid="{00000000-0005-0000-0000-00001A080000}"/>
    <cellStyle name="Currency 3 16" xfId="2391" xr:uid="{00000000-0005-0000-0000-00001B080000}"/>
    <cellStyle name="Currency 3 17" xfId="2392" xr:uid="{00000000-0005-0000-0000-00001C080000}"/>
    <cellStyle name="Currency 3 18" xfId="2393" xr:uid="{00000000-0005-0000-0000-00001D080000}"/>
    <cellStyle name="Currency 3 19" xfId="2394" xr:uid="{00000000-0005-0000-0000-00001E080000}"/>
    <cellStyle name="Currency 3 2" xfId="283" xr:uid="{00000000-0005-0000-0000-00001F080000}"/>
    <cellStyle name="Currency 3 2 2" xfId="2395" xr:uid="{00000000-0005-0000-0000-000020080000}"/>
    <cellStyle name="Currency 3 2 3" xfId="2396" xr:uid="{00000000-0005-0000-0000-000021080000}"/>
    <cellStyle name="Currency 3 2 4" xfId="2397" xr:uid="{00000000-0005-0000-0000-000022080000}"/>
    <cellStyle name="Currency 3 3" xfId="317" xr:uid="{00000000-0005-0000-0000-000023080000}"/>
    <cellStyle name="Currency 3 3 2" xfId="2398" xr:uid="{00000000-0005-0000-0000-000024080000}"/>
    <cellStyle name="Currency 3 4" xfId="2399" xr:uid="{00000000-0005-0000-0000-000025080000}"/>
    <cellStyle name="Currency 3 5" xfId="2400" xr:uid="{00000000-0005-0000-0000-000026080000}"/>
    <cellStyle name="Currency 3 6" xfId="2401" xr:uid="{00000000-0005-0000-0000-000027080000}"/>
    <cellStyle name="Currency 3 7" xfId="2402" xr:uid="{00000000-0005-0000-0000-000028080000}"/>
    <cellStyle name="Currency 3 8" xfId="2403" xr:uid="{00000000-0005-0000-0000-000029080000}"/>
    <cellStyle name="Currency 3 9" xfId="2404" xr:uid="{00000000-0005-0000-0000-00002A080000}"/>
    <cellStyle name="Currency 30" xfId="2405" xr:uid="{00000000-0005-0000-0000-00002B080000}"/>
    <cellStyle name="Currency 30 2" xfId="37643" xr:uid="{00000000-0005-0000-0000-00002C080000}"/>
    <cellStyle name="Currency 31" xfId="2406" xr:uid="{00000000-0005-0000-0000-00002D080000}"/>
    <cellStyle name="Currency 31 2" xfId="37644" xr:uid="{00000000-0005-0000-0000-00002E080000}"/>
    <cellStyle name="Currency 32" xfId="2407" xr:uid="{00000000-0005-0000-0000-00002F080000}"/>
    <cellStyle name="Currency 32 2" xfId="37645" xr:uid="{00000000-0005-0000-0000-000030080000}"/>
    <cellStyle name="Currency 33" xfId="2408" xr:uid="{00000000-0005-0000-0000-000031080000}"/>
    <cellStyle name="Currency 33 2" xfId="37646" xr:uid="{00000000-0005-0000-0000-000032080000}"/>
    <cellStyle name="Currency 34" xfId="2409" xr:uid="{00000000-0005-0000-0000-000033080000}"/>
    <cellStyle name="Currency 34 2" xfId="37647" xr:uid="{00000000-0005-0000-0000-000034080000}"/>
    <cellStyle name="Currency 35" xfId="2410" xr:uid="{00000000-0005-0000-0000-000035080000}"/>
    <cellStyle name="Currency 35 2" xfId="37648" xr:uid="{00000000-0005-0000-0000-000036080000}"/>
    <cellStyle name="Currency 36" xfId="2411" xr:uid="{00000000-0005-0000-0000-000037080000}"/>
    <cellStyle name="Currency 36 2" xfId="37649" xr:uid="{00000000-0005-0000-0000-000038080000}"/>
    <cellStyle name="Currency 37" xfId="672" xr:uid="{00000000-0005-0000-0000-000039080000}"/>
    <cellStyle name="Currency 38" xfId="20741" xr:uid="{00000000-0005-0000-0000-00003A080000}"/>
    <cellStyle name="Currency 39" xfId="37604" xr:uid="{00000000-0005-0000-0000-00003B080000}"/>
    <cellStyle name="Currency 4" xfId="16" xr:uid="{00000000-0005-0000-0000-00003C080000}"/>
    <cellStyle name="Currency 4 2" xfId="208" xr:uid="{00000000-0005-0000-0000-00003D080000}"/>
    <cellStyle name="Currency 4 2 2" xfId="176" xr:uid="{00000000-0005-0000-0000-00003E080000}"/>
    <cellStyle name="Currency 4 3" xfId="285" xr:uid="{00000000-0005-0000-0000-00003F080000}"/>
    <cellStyle name="Currency 4 4" xfId="37650" xr:uid="{00000000-0005-0000-0000-000040080000}"/>
    <cellStyle name="Currency 40" xfId="37695" xr:uid="{00000000-0005-0000-0000-000041080000}"/>
    <cellStyle name="Currency 41" xfId="37696" xr:uid="{00000000-0005-0000-0000-000042080000}"/>
    <cellStyle name="Currency 42" xfId="37694" xr:uid="{00000000-0005-0000-0000-000043080000}"/>
    <cellStyle name="Currency 43" xfId="37596" xr:uid="{00000000-0005-0000-0000-000044080000}"/>
    <cellStyle name="Currency 44" xfId="37693" xr:uid="{00000000-0005-0000-0000-000045080000}"/>
    <cellStyle name="Currency 45" xfId="37595" xr:uid="{00000000-0005-0000-0000-000046080000}"/>
    <cellStyle name="Currency 46" xfId="37692" xr:uid="{00000000-0005-0000-0000-000047080000}"/>
    <cellStyle name="Currency 47" xfId="37600" xr:uid="{00000000-0005-0000-0000-000048080000}"/>
    <cellStyle name="Currency 48" xfId="37691" xr:uid="{00000000-0005-0000-0000-000049080000}"/>
    <cellStyle name="Currency 5" xfId="17" xr:uid="{00000000-0005-0000-0000-00004A080000}"/>
    <cellStyle name="Currency 5 10" xfId="2412" xr:uid="{00000000-0005-0000-0000-00004B080000}"/>
    <cellStyle name="Currency 5 11" xfId="37651" xr:uid="{00000000-0005-0000-0000-00004C080000}"/>
    <cellStyle name="Currency 5 2" xfId="209" xr:uid="{00000000-0005-0000-0000-00004D080000}"/>
    <cellStyle name="Currency 5 2 2" xfId="2414" xr:uid="{00000000-0005-0000-0000-00004E080000}"/>
    <cellStyle name="Currency 5 2 3" xfId="2415" xr:uid="{00000000-0005-0000-0000-00004F080000}"/>
    <cellStyle name="Currency 5 2 4" xfId="2416" xr:uid="{00000000-0005-0000-0000-000050080000}"/>
    <cellStyle name="Currency 5 2 5" xfId="2413" xr:uid="{00000000-0005-0000-0000-000051080000}"/>
    <cellStyle name="Currency 5 3" xfId="2417" xr:uid="{00000000-0005-0000-0000-000052080000}"/>
    <cellStyle name="Currency 5 4" xfId="2418" xr:uid="{00000000-0005-0000-0000-000053080000}"/>
    <cellStyle name="Currency 5 5" xfId="2419" xr:uid="{00000000-0005-0000-0000-000054080000}"/>
    <cellStyle name="Currency 5 6" xfId="2420" xr:uid="{00000000-0005-0000-0000-000055080000}"/>
    <cellStyle name="Currency 5 7" xfId="2421" xr:uid="{00000000-0005-0000-0000-000056080000}"/>
    <cellStyle name="Currency 5 8" xfId="2422" xr:uid="{00000000-0005-0000-0000-000057080000}"/>
    <cellStyle name="Currency 5 9" xfId="2423" xr:uid="{00000000-0005-0000-0000-000058080000}"/>
    <cellStyle name="Currency 6" xfId="18" xr:uid="{00000000-0005-0000-0000-000059080000}"/>
    <cellStyle name="Currency 6 2" xfId="210" xr:uid="{00000000-0005-0000-0000-00005A080000}"/>
    <cellStyle name="Currency 7" xfId="19" xr:uid="{00000000-0005-0000-0000-00005B080000}"/>
    <cellStyle name="Currency 7 2" xfId="211" xr:uid="{00000000-0005-0000-0000-00005C080000}"/>
    <cellStyle name="Currency 8" xfId="20" xr:uid="{00000000-0005-0000-0000-00005D080000}"/>
    <cellStyle name="Currency 8 2" xfId="316" xr:uid="{00000000-0005-0000-0000-00005E080000}"/>
    <cellStyle name="Currency 9" xfId="21" xr:uid="{00000000-0005-0000-0000-00005F080000}"/>
    <cellStyle name="Currency 9 2" xfId="314" xr:uid="{00000000-0005-0000-0000-000060080000}"/>
    <cellStyle name="Data Field" xfId="22" xr:uid="{00000000-0005-0000-0000-000061080000}"/>
    <cellStyle name="Data Field 2" xfId="212" xr:uid="{00000000-0005-0000-0000-000062080000}"/>
    <cellStyle name="Data Name" xfId="23" xr:uid="{00000000-0005-0000-0000-000063080000}"/>
    <cellStyle name="Data Name 2" xfId="213" xr:uid="{00000000-0005-0000-0000-000064080000}"/>
    <cellStyle name="Explanatory Text" xfId="149" builtinId="53" customBuiltin="1"/>
    <cellStyle name="Explanatory Text 10 2" xfId="2424" xr:uid="{00000000-0005-0000-0000-000066080000}"/>
    <cellStyle name="Explanatory Text 10 3" xfId="2425" xr:uid="{00000000-0005-0000-0000-000067080000}"/>
    <cellStyle name="Explanatory Text 11 2" xfId="2426" xr:uid="{00000000-0005-0000-0000-000068080000}"/>
    <cellStyle name="Explanatory Text 11 3" xfId="2427" xr:uid="{00000000-0005-0000-0000-000069080000}"/>
    <cellStyle name="Explanatory Text 12 2" xfId="2428" xr:uid="{00000000-0005-0000-0000-00006A080000}"/>
    <cellStyle name="Explanatory Text 12 3" xfId="2429" xr:uid="{00000000-0005-0000-0000-00006B080000}"/>
    <cellStyle name="Explanatory Text 13 2" xfId="2430" xr:uid="{00000000-0005-0000-0000-00006C080000}"/>
    <cellStyle name="Explanatory Text 13 3" xfId="2431" xr:uid="{00000000-0005-0000-0000-00006D080000}"/>
    <cellStyle name="Explanatory Text 14 2" xfId="2432" xr:uid="{00000000-0005-0000-0000-00006E080000}"/>
    <cellStyle name="Explanatory Text 14 3" xfId="2433" xr:uid="{00000000-0005-0000-0000-00006F080000}"/>
    <cellStyle name="Explanatory Text 15" xfId="2434" xr:uid="{00000000-0005-0000-0000-000070080000}"/>
    <cellStyle name="Explanatory Text 15 2" xfId="2435" xr:uid="{00000000-0005-0000-0000-000071080000}"/>
    <cellStyle name="Explanatory Text 15 3" xfId="2436" xr:uid="{00000000-0005-0000-0000-000072080000}"/>
    <cellStyle name="Explanatory Text 15 4" xfId="2437" xr:uid="{00000000-0005-0000-0000-000073080000}"/>
    <cellStyle name="Explanatory Text 15 5" xfId="2438" xr:uid="{00000000-0005-0000-0000-000074080000}"/>
    <cellStyle name="Explanatory Text 15 6" xfId="2439" xr:uid="{00000000-0005-0000-0000-000075080000}"/>
    <cellStyle name="Explanatory Text 15 7" xfId="2440" xr:uid="{00000000-0005-0000-0000-000076080000}"/>
    <cellStyle name="Explanatory Text 16" xfId="2441" xr:uid="{00000000-0005-0000-0000-000077080000}"/>
    <cellStyle name="Explanatory Text 17" xfId="2442" xr:uid="{00000000-0005-0000-0000-000078080000}"/>
    <cellStyle name="Explanatory Text 18" xfId="2443" xr:uid="{00000000-0005-0000-0000-000079080000}"/>
    <cellStyle name="Explanatory Text 19" xfId="2444" xr:uid="{00000000-0005-0000-0000-00007A080000}"/>
    <cellStyle name="Explanatory Text 2" xfId="404" xr:uid="{00000000-0005-0000-0000-00007B080000}"/>
    <cellStyle name="Explanatory Text 2 2" xfId="603" xr:uid="{00000000-0005-0000-0000-00007C080000}"/>
    <cellStyle name="Explanatory Text 2 2 2" xfId="2445" xr:uid="{00000000-0005-0000-0000-00007D080000}"/>
    <cellStyle name="Explanatory Text 2 3" xfId="2446" xr:uid="{00000000-0005-0000-0000-00007E080000}"/>
    <cellStyle name="Explanatory Text 20" xfId="2447" xr:uid="{00000000-0005-0000-0000-00007F080000}"/>
    <cellStyle name="Explanatory Text 21" xfId="2448" xr:uid="{00000000-0005-0000-0000-000080080000}"/>
    <cellStyle name="Explanatory Text 22" xfId="2449" xr:uid="{00000000-0005-0000-0000-000081080000}"/>
    <cellStyle name="Explanatory Text 3" xfId="645" xr:uid="{00000000-0005-0000-0000-000082080000}"/>
    <cellStyle name="Explanatory Text 3 2" xfId="2450" xr:uid="{00000000-0005-0000-0000-000083080000}"/>
    <cellStyle name="Explanatory Text 3 3" xfId="2451" xr:uid="{00000000-0005-0000-0000-000084080000}"/>
    <cellStyle name="Explanatory Text 4 2" xfId="2452" xr:uid="{00000000-0005-0000-0000-000085080000}"/>
    <cellStyle name="Explanatory Text 4 3" xfId="2453" xr:uid="{00000000-0005-0000-0000-000086080000}"/>
    <cellStyle name="Explanatory Text 5 2" xfId="2454" xr:uid="{00000000-0005-0000-0000-000087080000}"/>
    <cellStyle name="Explanatory Text 5 3" xfId="2455" xr:uid="{00000000-0005-0000-0000-000088080000}"/>
    <cellStyle name="Explanatory Text 6 2" xfId="2456" xr:uid="{00000000-0005-0000-0000-000089080000}"/>
    <cellStyle name="Explanatory Text 6 3" xfId="2457" xr:uid="{00000000-0005-0000-0000-00008A080000}"/>
    <cellStyle name="Explanatory Text 7 2" xfId="2458" xr:uid="{00000000-0005-0000-0000-00008B080000}"/>
    <cellStyle name="Explanatory Text 7 3" xfId="2459" xr:uid="{00000000-0005-0000-0000-00008C080000}"/>
    <cellStyle name="Explanatory Text 8 2" xfId="2460" xr:uid="{00000000-0005-0000-0000-00008D080000}"/>
    <cellStyle name="Explanatory Text 8 3" xfId="2461" xr:uid="{00000000-0005-0000-0000-00008E080000}"/>
    <cellStyle name="Explanatory Text 9 2" xfId="2462" xr:uid="{00000000-0005-0000-0000-00008F080000}"/>
    <cellStyle name="Explanatory Text 9 3" xfId="2463" xr:uid="{00000000-0005-0000-0000-000090080000}"/>
    <cellStyle name="Followed Hyperlink" xfId="291" builtinId="9" customBuiltin="1"/>
    <cellStyle name="Followed Hyperlink 2" xfId="646" xr:uid="{00000000-0005-0000-0000-000092080000}"/>
    <cellStyle name="Good" xfId="142" builtinId="26" customBuiltin="1"/>
    <cellStyle name="Good 10 2" xfId="2464" xr:uid="{00000000-0005-0000-0000-000094080000}"/>
    <cellStyle name="Good 10 3" xfId="2465" xr:uid="{00000000-0005-0000-0000-000095080000}"/>
    <cellStyle name="Good 11 2" xfId="2466" xr:uid="{00000000-0005-0000-0000-000096080000}"/>
    <cellStyle name="Good 11 3" xfId="2467" xr:uid="{00000000-0005-0000-0000-000097080000}"/>
    <cellStyle name="Good 12 2" xfId="2468" xr:uid="{00000000-0005-0000-0000-000098080000}"/>
    <cellStyle name="Good 12 3" xfId="2469" xr:uid="{00000000-0005-0000-0000-000099080000}"/>
    <cellStyle name="Good 13 2" xfId="2470" xr:uid="{00000000-0005-0000-0000-00009A080000}"/>
    <cellStyle name="Good 13 3" xfId="2471" xr:uid="{00000000-0005-0000-0000-00009B080000}"/>
    <cellStyle name="Good 14 2" xfId="2472" xr:uid="{00000000-0005-0000-0000-00009C080000}"/>
    <cellStyle name="Good 14 3" xfId="2473" xr:uid="{00000000-0005-0000-0000-00009D080000}"/>
    <cellStyle name="Good 15" xfId="2474" xr:uid="{00000000-0005-0000-0000-00009E080000}"/>
    <cellStyle name="Good 15 2" xfId="2475" xr:uid="{00000000-0005-0000-0000-00009F080000}"/>
    <cellStyle name="Good 15 3" xfId="2476" xr:uid="{00000000-0005-0000-0000-0000A0080000}"/>
    <cellStyle name="Good 15 4" xfId="2477" xr:uid="{00000000-0005-0000-0000-0000A1080000}"/>
    <cellStyle name="Good 15 5" xfId="2478" xr:uid="{00000000-0005-0000-0000-0000A2080000}"/>
    <cellStyle name="Good 15 6" xfId="2479" xr:uid="{00000000-0005-0000-0000-0000A3080000}"/>
    <cellStyle name="Good 15 7" xfId="2480" xr:uid="{00000000-0005-0000-0000-0000A4080000}"/>
    <cellStyle name="Good 16" xfId="2481" xr:uid="{00000000-0005-0000-0000-0000A5080000}"/>
    <cellStyle name="Good 17" xfId="2482" xr:uid="{00000000-0005-0000-0000-0000A6080000}"/>
    <cellStyle name="Good 18" xfId="2483" xr:uid="{00000000-0005-0000-0000-0000A7080000}"/>
    <cellStyle name="Good 19" xfId="2484" xr:uid="{00000000-0005-0000-0000-0000A8080000}"/>
    <cellStyle name="Good 2" xfId="394" xr:uid="{00000000-0005-0000-0000-0000A9080000}"/>
    <cellStyle name="Good 2 2" xfId="517" xr:uid="{00000000-0005-0000-0000-0000AA080000}"/>
    <cellStyle name="Good 2 2 2" xfId="2485" xr:uid="{00000000-0005-0000-0000-0000AB080000}"/>
    <cellStyle name="Good 2 3" xfId="2486" xr:uid="{00000000-0005-0000-0000-0000AC080000}"/>
    <cellStyle name="Good 20" xfId="2487" xr:uid="{00000000-0005-0000-0000-0000AD080000}"/>
    <cellStyle name="Good 21" xfId="2488" xr:uid="{00000000-0005-0000-0000-0000AE080000}"/>
    <cellStyle name="Good 22" xfId="2489" xr:uid="{00000000-0005-0000-0000-0000AF080000}"/>
    <cellStyle name="Good 3" xfId="647" xr:uid="{00000000-0005-0000-0000-0000B0080000}"/>
    <cellStyle name="Good 3 2" xfId="2490" xr:uid="{00000000-0005-0000-0000-0000B1080000}"/>
    <cellStyle name="Good 3 3" xfId="2491" xr:uid="{00000000-0005-0000-0000-0000B2080000}"/>
    <cellStyle name="Good 4 2" xfId="2492" xr:uid="{00000000-0005-0000-0000-0000B3080000}"/>
    <cellStyle name="Good 4 3" xfId="2493" xr:uid="{00000000-0005-0000-0000-0000B4080000}"/>
    <cellStyle name="Good 5 2" xfId="2494" xr:uid="{00000000-0005-0000-0000-0000B5080000}"/>
    <cellStyle name="Good 5 3" xfId="2495" xr:uid="{00000000-0005-0000-0000-0000B6080000}"/>
    <cellStyle name="Good 6 2" xfId="2496" xr:uid="{00000000-0005-0000-0000-0000B7080000}"/>
    <cellStyle name="Good 6 3" xfId="2497" xr:uid="{00000000-0005-0000-0000-0000B8080000}"/>
    <cellStyle name="Good 7 2" xfId="2498" xr:uid="{00000000-0005-0000-0000-0000B9080000}"/>
    <cellStyle name="Good 7 3" xfId="2499" xr:uid="{00000000-0005-0000-0000-0000BA080000}"/>
    <cellStyle name="Good 8 2" xfId="2500" xr:uid="{00000000-0005-0000-0000-0000BB080000}"/>
    <cellStyle name="Good 8 3" xfId="2501" xr:uid="{00000000-0005-0000-0000-0000BC080000}"/>
    <cellStyle name="Good 9 2" xfId="2502" xr:uid="{00000000-0005-0000-0000-0000BD080000}"/>
    <cellStyle name="Good 9 3" xfId="2503" xr:uid="{00000000-0005-0000-0000-0000BE080000}"/>
    <cellStyle name="Heading 1" xfId="138" builtinId="16" customBuiltin="1"/>
    <cellStyle name="Heading 1 10 2" xfId="2504" xr:uid="{00000000-0005-0000-0000-0000C0080000}"/>
    <cellStyle name="Heading 1 10 3" xfId="2505" xr:uid="{00000000-0005-0000-0000-0000C1080000}"/>
    <cellStyle name="Heading 1 11 2" xfId="2506" xr:uid="{00000000-0005-0000-0000-0000C2080000}"/>
    <cellStyle name="Heading 1 11 3" xfId="2507" xr:uid="{00000000-0005-0000-0000-0000C3080000}"/>
    <cellStyle name="Heading 1 12 2" xfId="2508" xr:uid="{00000000-0005-0000-0000-0000C4080000}"/>
    <cellStyle name="Heading 1 12 3" xfId="2509" xr:uid="{00000000-0005-0000-0000-0000C5080000}"/>
    <cellStyle name="Heading 1 13 2" xfId="2510" xr:uid="{00000000-0005-0000-0000-0000C6080000}"/>
    <cellStyle name="Heading 1 13 3" xfId="2511" xr:uid="{00000000-0005-0000-0000-0000C7080000}"/>
    <cellStyle name="Heading 1 14 2" xfId="2512" xr:uid="{00000000-0005-0000-0000-0000C8080000}"/>
    <cellStyle name="Heading 1 14 3" xfId="2513" xr:uid="{00000000-0005-0000-0000-0000C9080000}"/>
    <cellStyle name="Heading 1 15" xfId="2514" xr:uid="{00000000-0005-0000-0000-0000CA080000}"/>
    <cellStyle name="Heading 1 15 2" xfId="2515" xr:uid="{00000000-0005-0000-0000-0000CB080000}"/>
    <cellStyle name="Heading 1 15 3" xfId="2516" xr:uid="{00000000-0005-0000-0000-0000CC080000}"/>
    <cellStyle name="Heading 1 15 4" xfId="2517" xr:uid="{00000000-0005-0000-0000-0000CD080000}"/>
    <cellStyle name="Heading 1 15 5" xfId="2518" xr:uid="{00000000-0005-0000-0000-0000CE080000}"/>
    <cellStyle name="Heading 1 15 6" xfId="2519" xr:uid="{00000000-0005-0000-0000-0000CF080000}"/>
    <cellStyle name="Heading 1 15 7" xfId="2520" xr:uid="{00000000-0005-0000-0000-0000D0080000}"/>
    <cellStyle name="Heading 1 16" xfId="2521" xr:uid="{00000000-0005-0000-0000-0000D1080000}"/>
    <cellStyle name="Heading 1 17" xfId="2522" xr:uid="{00000000-0005-0000-0000-0000D2080000}"/>
    <cellStyle name="Heading 1 18" xfId="2523" xr:uid="{00000000-0005-0000-0000-0000D3080000}"/>
    <cellStyle name="Heading 1 19" xfId="2524" xr:uid="{00000000-0005-0000-0000-0000D4080000}"/>
    <cellStyle name="Heading 1 2" xfId="390" xr:uid="{00000000-0005-0000-0000-0000D5080000}"/>
    <cellStyle name="Heading 1 2 2" xfId="494" xr:uid="{00000000-0005-0000-0000-0000D6080000}"/>
    <cellStyle name="Heading 1 2 2 2" xfId="2525" xr:uid="{00000000-0005-0000-0000-0000D7080000}"/>
    <cellStyle name="Heading 1 2 3" xfId="2526" xr:uid="{00000000-0005-0000-0000-0000D8080000}"/>
    <cellStyle name="Heading 1 20" xfId="2527" xr:uid="{00000000-0005-0000-0000-0000D9080000}"/>
    <cellStyle name="Heading 1 21" xfId="2528" xr:uid="{00000000-0005-0000-0000-0000DA080000}"/>
    <cellStyle name="Heading 1 22" xfId="2529" xr:uid="{00000000-0005-0000-0000-0000DB080000}"/>
    <cellStyle name="Heading 1 3" xfId="648" xr:uid="{00000000-0005-0000-0000-0000DC080000}"/>
    <cellStyle name="Heading 1 3 2" xfId="2530" xr:uid="{00000000-0005-0000-0000-0000DD080000}"/>
    <cellStyle name="Heading 1 3 3" xfId="2531" xr:uid="{00000000-0005-0000-0000-0000DE080000}"/>
    <cellStyle name="Heading 1 4 2" xfId="2532" xr:uid="{00000000-0005-0000-0000-0000DF080000}"/>
    <cellStyle name="Heading 1 4 3" xfId="2533" xr:uid="{00000000-0005-0000-0000-0000E0080000}"/>
    <cellStyle name="Heading 1 5 2" xfId="2534" xr:uid="{00000000-0005-0000-0000-0000E1080000}"/>
    <cellStyle name="Heading 1 5 3" xfId="2535" xr:uid="{00000000-0005-0000-0000-0000E2080000}"/>
    <cellStyle name="Heading 1 6 2" xfId="2536" xr:uid="{00000000-0005-0000-0000-0000E3080000}"/>
    <cellStyle name="Heading 1 6 3" xfId="2537" xr:uid="{00000000-0005-0000-0000-0000E4080000}"/>
    <cellStyle name="Heading 1 7 2" xfId="2538" xr:uid="{00000000-0005-0000-0000-0000E5080000}"/>
    <cellStyle name="Heading 1 7 3" xfId="2539" xr:uid="{00000000-0005-0000-0000-0000E6080000}"/>
    <cellStyle name="Heading 1 8 2" xfId="2540" xr:uid="{00000000-0005-0000-0000-0000E7080000}"/>
    <cellStyle name="Heading 1 8 3" xfId="2541" xr:uid="{00000000-0005-0000-0000-0000E8080000}"/>
    <cellStyle name="Heading 1 9 2" xfId="2542" xr:uid="{00000000-0005-0000-0000-0000E9080000}"/>
    <cellStyle name="Heading 1 9 3" xfId="2543" xr:uid="{00000000-0005-0000-0000-0000EA080000}"/>
    <cellStyle name="Heading 2" xfId="139" builtinId="17" customBuiltin="1"/>
    <cellStyle name="Heading 2 10 2" xfId="2544" xr:uid="{00000000-0005-0000-0000-0000EC080000}"/>
    <cellStyle name="Heading 2 10 3" xfId="2545" xr:uid="{00000000-0005-0000-0000-0000ED080000}"/>
    <cellStyle name="Heading 2 11 2" xfId="2546" xr:uid="{00000000-0005-0000-0000-0000EE080000}"/>
    <cellStyle name="Heading 2 11 3" xfId="2547" xr:uid="{00000000-0005-0000-0000-0000EF080000}"/>
    <cellStyle name="Heading 2 12 2" xfId="2548" xr:uid="{00000000-0005-0000-0000-0000F0080000}"/>
    <cellStyle name="Heading 2 12 3" xfId="2549" xr:uid="{00000000-0005-0000-0000-0000F1080000}"/>
    <cellStyle name="Heading 2 13 2" xfId="2550" xr:uid="{00000000-0005-0000-0000-0000F2080000}"/>
    <cellStyle name="Heading 2 13 3" xfId="2551" xr:uid="{00000000-0005-0000-0000-0000F3080000}"/>
    <cellStyle name="Heading 2 14 2" xfId="2552" xr:uid="{00000000-0005-0000-0000-0000F4080000}"/>
    <cellStyle name="Heading 2 14 3" xfId="2553" xr:uid="{00000000-0005-0000-0000-0000F5080000}"/>
    <cellStyle name="Heading 2 15" xfId="2554" xr:uid="{00000000-0005-0000-0000-0000F6080000}"/>
    <cellStyle name="Heading 2 15 2" xfId="2555" xr:uid="{00000000-0005-0000-0000-0000F7080000}"/>
    <cellStyle name="Heading 2 15 3" xfId="2556" xr:uid="{00000000-0005-0000-0000-0000F8080000}"/>
    <cellStyle name="Heading 2 15 4" xfId="2557" xr:uid="{00000000-0005-0000-0000-0000F9080000}"/>
    <cellStyle name="Heading 2 15 5" xfId="2558" xr:uid="{00000000-0005-0000-0000-0000FA080000}"/>
    <cellStyle name="Heading 2 15 6" xfId="2559" xr:uid="{00000000-0005-0000-0000-0000FB080000}"/>
    <cellStyle name="Heading 2 15 7" xfId="2560" xr:uid="{00000000-0005-0000-0000-0000FC080000}"/>
    <cellStyle name="Heading 2 16" xfId="2561" xr:uid="{00000000-0005-0000-0000-0000FD080000}"/>
    <cellStyle name="Heading 2 17" xfId="2562" xr:uid="{00000000-0005-0000-0000-0000FE080000}"/>
    <cellStyle name="Heading 2 18" xfId="2563" xr:uid="{00000000-0005-0000-0000-0000FF080000}"/>
    <cellStyle name="Heading 2 19" xfId="2564" xr:uid="{00000000-0005-0000-0000-000000090000}"/>
    <cellStyle name="Heading 2 2" xfId="391" xr:uid="{00000000-0005-0000-0000-000001090000}"/>
    <cellStyle name="Heading 2 2 10" xfId="2565" xr:uid="{00000000-0005-0000-0000-000002090000}"/>
    <cellStyle name="Heading 2 2 2" xfId="497" xr:uid="{00000000-0005-0000-0000-000003090000}"/>
    <cellStyle name="Heading 2 2 2 2" xfId="2566" xr:uid="{00000000-0005-0000-0000-000004090000}"/>
    <cellStyle name="Heading 2 2 3" xfId="2567" xr:uid="{00000000-0005-0000-0000-000005090000}"/>
    <cellStyle name="Heading 2 2 4" xfId="2568" xr:uid="{00000000-0005-0000-0000-000006090000}"/>
    <cellStyle name="Heading 2 2 5" xfId="2569" xr:uid="{00000000-0005-0000-0000-000007090000}"/>
    <cellStyle name="Heading 2 2 6" xfId="2570" xr:uid="{00000000-0005-0000-0000-000008090000}"/>
    <cellStyle name="Heading 2 2 7" xfId="2571" xr:uid="{00000000-0005-0000-0000-000009090000}"/>
    <cellStyle name="Heading 2 2 8" xfId="2572" xr:uid="{00000000-0005-0000-0000-00000A090000}"/>
    <cellStyle name="Heading 2 2 9" xfId="2573" xr:uid="{00000000-0005-0000-0000-00000B090000}"/>
    <cellStyle name="Heading 2 20" xfId="2574" xr:uid="{00000000-0005-0000-0000-00000C090000}"/>
    <cellStyle name="Heading 2 21" xfId="2575" xr:uid="{00000000-0005-0000-0000-00000D090000}"/>
    <cellStyle name="Heading 2 22" xfId="2576" xr:uid="{00000000-0005-0000-0000-00000E090000}"/>
    <cellStyle name="Heading 2 3" xfId="649" xr:uid="{00000000-0005-0000-0000-00000F090000}"/>
    <cellStyle name="Heading 2 3 2" xfId="2577" xr:uid="{00000000-0005-0000-0000-000010090000}"/>
    <cellStyle name="Heading 2 3 3" xfId="2578" xr:uid="{00000000-0005-0000-0000-000011090000}"/>
    <cellStyle name="Heading 2 4 2" xfId="2579" xr:uid="{00000000-0005-0000-0000-000012090000}"/>
    <cellStyle name="Heading 2 4 3" xfId="2580" xr:uid="{00000000-0005-0000-0000-000013090000}"/>
    <cellStyle name="Heading 2 5 2" xfId="2581" xr:uid="{00000000-0005-0000-0000-000014090000}"/>
    <cellStyle name="Heading 2 5 3" xfId="2582" xr:uid="{00000000-0005-0000-0000-000015090000}"/>
    <cellStyle name="Heading 2 6 2" xfId="2583" xr:uid="{00000000-0005-0000-0000-000016090000}"/>
    <cellStyle name="Heading 2 6 3" xfId="2584" xr:uid="{00000000-0005-0000-0000-000017090000}"/>
    <cellStyle name="Heading 2 7 2" xfId="2585" xr:uid="{00000000-0005-0000-0000-000018090000}"/>
    <cellStyle name="Heading 2 7 3" xfId="2586" xr:uid="{00000000-0005-0000-0000-000019090000}"/>
    <cellStyle name="Heading 2 8 2" xfId="2587" xr:uid="{00000000-0005-0000-0000-00001A090000}"/>
    <cellStyle name="Heading 2 8 3" xfId="2588" xr:uid="{00000000-0005-0000-0000-00001B090000}"/>
    <cellStyle name="Heading 2 9 2" xfId="2589" xr:uid="{00000000-0005-0000-0000-00001C090000}"/>
    <cellStyle name="Heading 2 9 3" xfId="2590" xr:uid="{00000000-0005-0000-0000-00001D090000}"/>
    <cellStyle name="Heading 3" xfId="140" builtinId="18" customBuiltin="1"/>
    <cellStyle name="Heading 3 10 2" xfId="2591" xr:uid="{00000000-0005-0000-0000-00001F090000}"/>
    <cellStyle name="Heading 3 10 3" xfId="2592" xr:uid="{00000000-0005-0000-0000-000020090000}"/>
    <cellStyle name="Heading 3 11 2" xfId="2593" xr:uid="{00000000-0005-0000-0000-000021090000}"/>
    <cellStyle name="Heading 3 11 3" xfId="2594" xr:uid="{00000000-0005-0000-0000-000022090000}"/>
    <cellStyle name="Heading 3 12 2" xfId="2595" xr:uid="{00000000-0005-0000-0000-000023090000}"/>
    <cellStyle name="Heading 3 12 3" xfId="2596" xr:uid="{00000000-0005-0000-0000-000024090000}"/>
    <cellStyle name="Heading 3 13 2" xfId="2597" xr:uid="{00000000-0005-0000-0000-000025090000}"/>
    <cellStyle name="Heading 3 13 3" xfId="2598" xr:uid="{00000000-0005-0000-0000-000026090000}"/>
    <cellStyle name="Heading 3 14 2" xfId="2599" xr:uid="{00000000-0005-0000-0000-000027090000}"/>
    <cellStyle name="Heading 3 14 3" xfId="2600" xr:uid="{00000000-0005-0000-0000-000028090000}"/>
    <cellStyle name="Heading 3 15" xfId="2601" xr:uid="{00000000-0005-0000-0000-000029090000}"/>
    <cellStyle name="Heading 3 15 2" xfId="2602" xr:uid="{00000000-0005-0000-0000-00002A090000}"/>
    <cellStyle name="Heading 3 15 3" xfId="2603" xr:uid="{00000000-0005-0000-0000-00002B090000}"/>
    <cellStyle name="Heading 3 15 4" xfId="2604" xr:uid="{00000000-0005-0000-0000-00002C090000}"/>
    <cellStyle name="Heading 3 15 5" xfId="2605" xr:uid="{00000000-0005-0000-0000-00002D090000}"/>
    <cellStyle name="Heading 3 15 6" xfId="2606" xr:uid="{00000000-0005-0000-0000-00002E090000}"/>
    <cellStyle name="Heading 3 15 7" xfId="2607" xr:uid="{00000000-0005-0000-0000-00002F090000}"/>
    <cellStyle name="Heading 3 16" xfId="2608" xr:uid="{00000000-0005-0000-0000-000030090000}"/>
    <cellStyle name="Heading 3 17" xfId="2609" xr:uid="{00000000-0005-0000-0000-000031090000}"/>
    <cellStyle name="Heading 3 18" xfId="2610" xr:uid="{00000000-0005-0000-0000-000032090000}"/>
    <cellStyle name="Heading 3 19" xfId="2611" xr:uid="{00000000-0005-0000-0000-000033090000}"/>
    <cellStyle name="Heading 3 2" xfId="392" xr:uid="{00000000-0005-0000-0000-000034090000}"/>
    <cellStyle name="Heading 3 2 2" xfId="448" xr:uid="{00000000-0005-0000-0000-000035090000}"/>
    <cellStyle name="Heading 3 2 2 2" xfId="2612" xr:uid="{00000000-0005-0000-0000-000036090000}"/>
    <cellStyle name="Heading 3 2 3" xfId="2613" xr:uid="{00000000-0005-0000-0000-000037090000}"/>
    <cellStyle name="Heading 3 20" xfId="2614" xr:uid="{00000000-0005-0000-0000-000038090000}"/>
    <cellStyle name="Heading 3 21" xfId="2615" xr:uid="{00000000-0005-0000-0000-000039090000}"/>
    <cellStyle name="Heading 3 22" xfId="2616" xr:uid="{00000000-0005-0000-0000-00003A090000}"/>
    <cellStyle name="Heading 3 3" xfId="650" xr:uid="{00000000-0005-0000-0000-00003B090000}"/>
    <cellStyle name="Heading 3 3 2" xfId="2617" xr:uid="{00000000-0005-0000-0000-00003C090000}"/>
    <cellStyle name="Heading 3 3 3" xfId="2618" xr:uid="{00000000-0005-0000-0000-00003D090000}"/>
    <cellStyle name="Heading 3 4 2" xfId="2619" xr:uid="{00000000-0005-0000-0000-00003E090000}"/>
    <cellStyle name="Heading 3 4 3" xfId="2620" xr:uid="{00000000-0005-0000-0000-00003F090000}"/>
    <cellStyle name="Heading 3 5 2" xfId="2621" xr:uid="{00000000-0005-0000-0000-000040090000}"/>
    <cellStyle name="Heading 3 5 3" xfId="2622" xr:uid="{00000000-0005-0000-0000-000041090000}"/>
    <cellStyle name="Heading 3 6 2" xfId="2623" xr:uid="{00000000-0005-0000-0000-000042090000}"/>
    <cellStyle name="Heading 3 6 3" xfId="2624" xr:uid="{00000000-0005-0000-0000-000043090000}"/>
    <cellStyle name="Heading 3 7 2" xfId="2625" xr:uid="{00000000-0005-0000-0000-000044090000}"/>
    <cellStyle name="Heading 3 7 3" xfId="2626" xr:uid="{00000000-0005-0000-0000-000045090000}"/>
    <cellStyle name="Heading 3 8 2" xfId="2627" xr:uid="{00000000-0005-0000-0000-000046090000}"/>
    <cellStyle name="Heading 3 8 3" xfId="2628" xr:uid="{00000000-0005-0000-0000-000047090000}"/>
    <cellStyle name="Heading 3 9 2" xfId="2629" xr:uid="{00000000-0005-0000-0000-000048090000}"/>
    <cellStyle name="Heading 3 9 3" xfId="2630" xr:uid="{00000000-0005-0000-0000-000049090000}"/>
    <cellStyle name="Heading 4" xfId="141" builtinId="19" customBuiltin="1"/>
    <cellStyle name="Heading 4 10 2" xfId="2631" xr:uid="{00000000-0005-0000-0000-00004B090000}"/>
    <cellStyle name="Heading 4 10 3" xfId="2632" xr:uid="{00000000-0005-0000-0000-00004C090000}"/>
    <cellStyle name="Heading 4 11 2" xfId="2633" xr:uid="{00000000-0005-0000-0000-00004D090000}"/>
    <cellStyle name="Heading 4 11 3" xfId="2634" xr:uid="{00000000-0005-0000-0000-00004E090000}"/>
    <cellStyle name="Heading 4 12 2" xfId="2635" xr:uid="{00000000-0005-0000-0000-00004F090000}"/>
    <cellStyle name="Heading 4 12 3" xfId="2636" xr:uid="{00000000-0005-0000-0000-000050090000}"/>
    <cellStyle name="Heading 4 13 2" xfId="2637" xr:uid="{00000000-0005-0000-0000-000051090000}"/>
    <cellStyle name="Heading 4 13 3" xfId="2638" xr:uid="{00000000-0005-0000-0000-000052090000}"/>
    <cellStyle name="Heading 4 14 2" xfId="2639" xr:uid="{00000000-0005-0000-0000-000053090000}"/>
    <cellStyle name="Heading 4 14 3" xfId="2640" xr:uid="{00000000-0005-0000-0000-000054090000}"/>
    <cellStyle name="Heading 4 15" xfId="2641" xr:uid="{00000000-0005-0000-0000-000055090000}"/>
    <cellStyle name="Heading 4 15 2" xfId="2642" xr:uid="{00000000-0005-0000-0000-000056090000}"/>
    <cellStyle name="Heading 4 15 3" xfId="2643" xr:uid="{00000000-0005-0000-0000-000057090000}"/>
    <cellStyle name="Heading 4 15 4" xfId="2644" xr:uid="{00000000-0005-0000-0000-000058090000}"/>
    <cellStyle name="Heading 4 15 5" xfId="2645" xr:uid="{00000000-0005-0000-0000-000059090000}"/>
    <cellStyle name="Heading 4 15 6" xfId="2646" xr:uid="{00000000-0005-0000-0000-00005A090000}"/>
    <cellStyle name="Heading 4 15 7" xfId="2647" xr:uid="{00000000-0005-0000-0000-00005B090000}"/>
    <cellStyle name="Heading 4 16" xfId="2648" xr:uid="{00000000-0005-0000-0000-00005C090000}"/>
    <cellStyle name="Heading 4 17" xfId="2649" xr:uid="{00000000-0005-0000-0000-00005D090000}"/>
    <cellStyle name="Heading 4 18" xfId="2650" xr:uid="{00000000-0005-0000-0000-00005E090000}"/>
    <cellStyle name="Heading 4 19" xfId="2651" xr:uid="{00000000-0005-0000-0000-00005F090000}"/>
    <cellStyle name="Heading 4 2" xfId="393" xr:uid="{00000000-0005-0000-0000-000060090000}"/>
    <cellStyle name="Heading 4 2 2" xfId="604" xr:uid="{00000000-0005-0000-0000-000061090000}"/>
    <cellStyle name="Heading 4 2 2 2" xfId="2652" xr:uid="{00000000-0005-0000-0000-000062090000}"/>
    <cellStyle name="Heading 4 2 3" xfId="2653" xr:uid="{00000000-0005-0000-0000-000063090000}"/>
    <cellStyle name="Heading 4 20" xfId="2654" xr:uid="{00000000-0005-0000-0000-000064090000}"/>
    <cellStyle name="Heading 4 21" xfId="2655" xr:uid="{00000000-0005-0000-0000-000065090000}"/>
    <cellStyle name="Heading 4 22" xfId="2656" xr:uid="{00000000-0005-0000-0000-000066090000}"/>
    <cellStyle name="Heading 4 3" xfId="651" xr:uid="{00000000-0005-0000-0000-000067090000}"/>
    <cellStyle name="Heading 4 3 2" xfId="2657" xr:uid="{00000000-0005-0000-0000-000068090000}"/>
    <cellStyle name="Heading 4 3 3" xfId="2658" xr:uid="{00000000-0005-0000-0000-000069090000}"/>
    <cellStyle name="Heading 4 4 2" xfId="2659" xr:uid="{00000000-0005-0000-0000-00006A090000}"/>
    <cellStyle name="Heading 4 4 3" xfId="2660" xr:uid="{00000000-0005-0000-0000-00006B090000}"/>
    <cellStyle name="Heading 4 5 2" xfId="2661" xr:uid="{00000000-0005-0000-0000-00006C090000}"/>
    <cellStyle name="Heading 4 5 3" xfId="2662" xr:uid="{00000000-0005-0000-0000-00006D090000}"/>
    <cellStyle name="Heading 4 6 2" xfId="2663" xr:uid="{00000000-0005-0000-0000-00006E090000}"/>
    <cellStyle name="Heading 4 6 3" xfId="2664" xr:uid="{00000000-0005-0000-0000-00006F090000}"/>
    <cellStyle name="Heading 4 7 2" xfId="2665" xr:uid="{00000000-0005-0000-0000-000070090000}"/>
    <cellStyle name="Heading 4 7 3" xfId="2666" xr:uid="{00000000-0005-0000-0000-000071090000}"/>
    <cellStyle name="Heading 4 8 2" xfId="2667" xr:uid="{00000000-0005-0000-0000-000072090000}"/>
    <cellStyle name="Heading 4 8 3" xfId="2668" xr:uid="{00000000-0005-0000-0000-000073090000}"/>
    <cellStyle name="Heading 4 9 2" xfId="2669" xr:uid="{00000000-0005-0000-0000-000074090000}"/>
    <cellStyle name="Heading 4 9 3" xfId="2670" xr:uid="{00000000-0005-0000-0000-000075090000}"/>
    <cellStyle name="Hyperlink" xfId="290" builtinId="8" customBuiltin="1"/>
    <cellStyle name="Hyperlink 2" xfId="24" xr:uid="{00000000-0005-0000-0000-000077090000}"/>
    <cellStyle name="Hyperlink 3" xfId="25" xr:uid="{00000000-0005-0000-0000-000078090000}"/>
    <cellStyle name="Hyperlink 4" xfId="304" xr:uid="{00000000-0005-0000-0000-000079090000}"/>
    <cellStyle name="Hyperlink 5" xfId="302" xr:uid="{00000000-0005-0000-0000-00007A090000}"/>
    <cellStyle name="Hyperlink 6" xfId="652" xr:uid="{00000000-0005-0000-0000-00007B090000}"/>
    <cellStyle name="Hyperlink 6 2" xfId="2671" xr:uid="{00000000-0005-0000-0000-00007C090000}"/>
    <cellStyle name="Input" xfId="1" builtinId="20" customBuiltin="1"/>
    <cellStyle name="Input 10 2" xfId="2672" xr:uid="{00000000-0005-0000-0000-00007E090000}"/>
    <cellStyle name="Input 10 3" xfId="2673" xr:uid="{00000000-0005-0000-0000-00007F090000}"/>
    <cellStyle name="Input 11 2" xfId="2674" xr:uid="{00000000-0005-0000-0000-000080090000}"/>
    <cellStyle name="Input 11 3" xfId="2675" xr:uid="{00000000-0005-0000-0000-000081090000}"/>
    <cellStyle name="Input 12 2" xfId="2676" xr:uid="{00000000-0005-0000-0000-000082090000}"/>
    <cellStyle name="Input 12 3" xfId="2677" xr:uid="{00000000-0005-0000-0000-000083090000}"/>
    <cellStyle name="Input 13 2" xfId="2678" xr:uid="{00000000-0005-0000-0000-000084090000}"/>
    <cellStyle name="Input 13 3" xfId="2679" xr:uid="{00000000-0005-0000-0000-000085090000}"/>
    <cellStyle name="Input 14 2" xfId="2680" xr:uid="{00000000-0005-0000-0000-000086090000}"/>
    <cellStyle name="Input 14 3" xfId="2681" xr:uid="{00000000-0005-0000-0000-000087090000}"/>
    <cellStyle name="Input 15" xfId="2682" xr:uid="{00000000-0005-0000-0000-000088090000}"/>
    <cellStyle name="Input 15 2" xfId="2683" xr:uid="{00000000-0005-0000-0000-000089090000}"/>
    <cellStyle name="Input 15 3" xfId="2684" xr:uid="{00000000-0005-0000-0000-00008A090000}"/>
    <cellStyle name="Input 15 4" xfId="2685" xr:uid="{00000000-0005-0000-0000-00008B090000}"/>
    <cellStyle name="Input 15 5" xfId="2686" xr:uid="{00000000-0005-0000-0000-00008C090000}"/>
    <cellStyle name="Input 15 6" xfId="2687" xr:uid="{00000000-0005-0000-0000-00008D090000}"/>
    <cellStyle name="Input 15 7" xfId="2688" xr:uid="{00000000-0005-0000-0000-00008E090000}"/>
    <cellStyle name="Input 16" xfId="2689" xr:uid="{00000000-0005-0000-0000-00008F090000}"/>
    <cellStyle name="Input 17" xfId="2690" xr:uid="{00000000-0005-0000-0000-000090090000}"/>
    <cellStyle name="Input 18" xfId="2691" xr:uid="{00000000-0005-0000-0000-000091090000}"/>
    <cellStyle name="Input 19" xfId="2692" xr:uid="{00000000-0005-0000-0000-000092090000}"/>
    <cellStyle name="Input 2" xfId="397" xr:uid="{00000000-0005-0000-0000-000093090000}"/>
    <cellStyle name="Input 2 2" xfId="600" xr:uid="{00000000-0005-0000-0000-000094090000}"/>
    <cellStyle name="Input 2 2 2" xfId="2693" xr:uid="{00000000-0005-0000-0000-000095090000}"/>
    <cellStyle name="Input 2 3" xfId="2694" xr:uid="{00000000-0005-0000-0000-000096090000}"/>
    <cellStyle name="Input 20" xfId="2695" xr:uid="{00000000-0005-0000-0000-000097090000}"/>
    <cellStyle name="Input 21" xfId="2696" xr:uid="{00000000-0005-0000-0000-000098090000}"/>
    <cellStyle name="Input 22" xfId="2697" xr:uid="{00000000-0005-0000-0000-000099090000}"/>
    <cellStyle name="Input 3" xfId="653" xr:uid="{00000000-0005-0000-0000-00009A090000}"/>
    <cellStyle name="Input 3 2" xfId="2698" xr:uid="{00000000-0005-0000-0000-00009B090000}"/>
    <cellStyle name="Input 3 3" xfId="2699" xr:uid="{00000000-0005-0000-0000-00009C090000}"/>
    <cellStyle name="Input 4 2" xfId="2700" xr:uid="{00000000-0005-0000-0000-00009D090000}"/>
    <cellStyle name="Input 4 3" xfId="2701" xr:uid="{00000000-0005-0000-0000-00009E090000}"/>
    <cellStyle name="Input 5 2" xfId="2702" xr:uid="{00000000-0005-0000-0000-00009F090000}"/>
    <cellStyle name="Input 5 3" xfId="2703" xr:uid="{00000000-0005-0000-0000-0000A0090000}"/>
    <cellStyle name="Input 6 2" xfId="2704" xr:uid="{00000000-0005-0000-0000-0000A1090000}"/>
    <cellStyle name="Input 6 3" xfId="2705" xr:uid="{00000000-0005-0000-0000-0000A2090000}"/>
    <cellStyle name="Input 7 2" xfId="2706" xr:uid="{00000000-0005-0000-0000-0000A3090000}"/>
    <cellStyle name="Input 7 3" xfId="2707" xr:uid="{00000000-0005-0000-0000-0000A4090000}"/>
    <cellStyle name="Input 8 2" xfId="2708" xr:uid="{00000000-0005-0000-0000-0000A5090000}"/>
    <cellStyle name="Input 8 3" xfId="2709" xr:uid="{00000000-0005-0000-0000-0000A6090000}"/>
    <cellStyle name="Input 9 2" xfId="2710" xr:uid="{00000000-0005-0000-0000-0000A7090000}"/>
    <cellStyle name="Input 9 3" xfId="2711" xr:uid="{00000000-0005-0000-0000-0000A8090000}"/>
    <cellStyle name="Linked Cell" xfId="146" builtinId="24" customBuiltin="1"/>
    <cellStyle name="Linked Cell 10 2" xfId="2712" xr:uid="{00000000-0005-0000-0000-0000AA090000}"/>
    <cellStyle name="Linked Cell 10 3" xfId="2713" xr:uid="{00000000-0005-0000-0000-0000AB090000}"/>
    <cellStyle name="Linked Cell 11 2" xfId="2714" xr:uid="{00000000-0005-0000-0000-0000AC090000}"/>
    <cellStyle name="Linked Cell 11 3" xfId="2715" xr:uid="{00000000-0005-0000-0000-0000AD090000}"/>
    <cellStyle name="Linked Cell 12 2" xfId="2716" xr:uid="{00000000-0005-0000-0000-0000AE090000}"/>
    <cellStyle name="Linked Cell 12 3" xfId="2717" xr:uid="{00000000-0005-0000-0000-0000AF090000}"/>
    <cellStyle name="Linked Cell 13 2" xfId="2718" xr:uid="{00000000-0005-0000-0000-0000B0090000}"/>
    <cellStyle name="Linked Cell 13 3" xfId="2719" xr:uid="{00000000-0005-0000-0000-0000B1090000}"/>
    <cellStyle name="Linked Cell 14 2" xfId="2720" xr:uid="{00000000-0005-0000-0000-0000B2090000}"/>
    <cellStyle name="Linked Cell 14 3" xfId="2721" xr:uid="{00000000-0005-0000-0000-0000B3090000}"/>
    <cellStyle name="Linked Cell 15" xfId="2722" xr:uid="{00000000-0005-0000-0000-0000B4090000}"/>
    <cellStyle name="Linked Cell 15 2" xfId="2723" xr:uid="{00000000-0005-0000-0000-0000B5090000}"/>
    <cellStyle name="Linked Cell 15 3" xfId="2724" xr:uid="{00000000-0005-0000-0000-0000B6090000}"/>
    <cellStyle name="Linked Cell 15 4" xfId="2725" xr:uid="{00000000-0005-0000-0000-0000B7090000}"/>
    <cellStyle name="Linked Cell 15 5" xfId="2726" xr:uid="{00000000-0005-0000-0000-0000B8090000}"/>
    <cellStyle name="Linked Cell 15 6" xfId="2727" xr:uid="{00000000-0005-0000-0000-0000B9090000}"/>
    <cellStyle name="Linked Cell 15 7" xfId="2728" xr:uid="{00000000-0005-0000-0000-0000BA090000}"/>
    <cellStyle name="Linked Cell 16" xfId="2729" xr:uid="{00000000-0005-0000-0000-0000BB090000}"/>
    <cellStyle name="Linked Cell 17" xfId="2730" xr:uid="{00000000-0005-0000-0000-0000BC090000}"/>
    <cellStyle name="Linked Cell 18" xfId="2731" xr:uid="{00000000-0005-0000-0000-0000BD090000}"/>
    <cellStyle name="Linked Cell 19" xfId="2732" xr:uid="{00000000-0005-0000-0000-0000BE090000}"/>
    <cellStyle name="Linked Cell 2" xfId="400" xr:uid="{00000000-0005-0000-0000-0000BF090000}"/>
    <cellStyle name="Linked Cell 2 2" xfId="495" xr:uid="{00000000-0005-0000-0000-0000C0090000}"/>
    <cellStyle name="Linked Cell 2 2 2" xfId="2733" xr:uid="{00000000-0005-0000-0000-0000C1090000}"/>
    <cellStyle name="Linked Cell 2 3" xfId="2734" xr:uid="{00000000-0005-0000-0000-0000C2090000}"/>
    <cellStyle name="Linked Cell 20" xfId="2735" xr:uid="{00000000-0005-0000-0000-0000C3090000}"/>
    <cellStyle name="Linked Cell 21" xfId="2736" xr:uid="{00000000-0005-0000-0000-0000C4090000}"/>
    <cellStyle name="Linked Cell 22" xfId="2737" xr:uid="{00000000-0005-0000-0000-0000C5090000}"/>
    <cellStyle name="Linked Cell 3" xfId="654" xr:uid="{00000000-0005-0000-0000-0000C6090000}"/>
    <cellStyle name="Linked Cell 3 2" xfId="2738" xr:uid="{00000000-0005-0000-0000-0000C7090000}"/>
    <cellStyle name="Linked Cell 3 3" xfId="2739" xr:uid="{00000000-0005-0000-0000-0000C8090000}"/>
    <cellStyle name="Linked Cell 4 2" xfId="2740" xr:uid="{00000000-0005-0000-0000-0000C9090000}"/>
    <cellStyle name="Linked Cell 4 3" xfId="2741" xr:uid="{00000000-0005-0000-0000-0000CA090000}"/>
    <cellStyle name="Linked Cell 5 2" xfId="2742" xr:uid="{00000000-0005-0000-0000-0000CB090000}"/>
    <cellStyle name="Linked Cell 5 3" xfId="2743" xr:uid="{00000000-0005-0000-0000-0000CC090000}"/>
    <cellStyle name="Linked Cell 6 2" xfId="2744" xr:uid="{00000000-0005-0000-0000-0000CD090000}"/>
    <cellStyle name="Linked Cell 6 3" xfId="2745" xr:uid="{00000000-0005-0000-0000-0000CE090000}"/>
    <cellStyle name="Linked Cell 7 2" xfId="2746" xr:uid="{00000000-0005-0000-0000-0000CF090000}"/>
    <cellStyle name="Linked Cell 7 3" xfId="2747" xr:uid="{00000000-0005-0000-0000-0000D0090000}"/>
    <cellStyle name="Linked Cell 8 2" xfId="2748" xr:uid="{00000000-0005-0000-0000-0000D1090000}"/>
    <cellStyle name="Linked Cell 8 3" xfId="2749" xr:uid="{00000000-0005-0000-0000-0000D2090000}"/>
    <cellStyle name="Linked Cell 9 2" xfId="2750" xr:uid="{00000000-0005-0000-0000-0000D3090000}"/>
    <cellStyle name="Linked Cell 9 3" xfId="2751" xr:uid="{00000000-0005-0000-0000-0000D4090000}"/>
    <cellStyle name="Neutral" xfId="144" builtinId="28" customBuiltin="1"/>
    <cellStyle name="Neutral 10 2" xfId="2752" xr:uid="{00000000-0005-0000-0000-0000D6090000}"/>
    <cellStyle name="Neutral 10 3" xfId="2753" xr:uid="{00000000-0005-0000-0000-0000D7090000}"/>
    <cellStyle name="Neutral 11 2" xfId="2754" xr:uid="{00000000-0005-0000-0000-0000D8090000}"/>
    <cellStyle name="Neutral 11 3" xfId="2755" xr:uid="{00000000-0005-0000-0000-0000D9090000}"/>
    <cellStyle name="Neutral 12 2" xfId="2756" xr:uid="{00000000-0005-0000-0000-0000DA090000}"/>
    <cellStyle name="Neutral 12 3" xfId="2757" xr:uid="{00000000-0005-0000-0000-0000DB090000}"/>
    <cellStyle name="Neutral 13 2" xfId="2758" xr:uid="{00000000-0005-0000-0000-0000DC090000}"/>
    <cellStyle name="Neutral 13 3" xfId="2759" xr:uid="{00000000-0005-0000-0000-0000DD090000}"/>
    <cellStyle name="Neutral 14 2" xfId="2760" xr:uid="{00000000-0005-0000-0000-0000DE090000}"/>
    <cellStyle name="Neutral 14 3" xfId="2761" xr:uid="{00000000-0005-0000-0000-0000DF090000}"/>
    <cellStyle name="Neutral 15" xfId="2762" xr:uid="{00000000-0005-0000-0000-0000E0090000}"/>
    <cellStyle name="Neutral 15 2" xfId="2763" xr:uid="{00000000-0005-0000-0000-0000E1090000}"/>
    <cellStyle name="Neutral 15 3" xfId="2764" xr:uid="{00000000-0005-0000-0000-0000E2090000}"/>
    <cellStyle name="Neutral 15 4" xfId="2765" xr:uid="{00000000-0005-0000-0000-0000E3090000}"/>
    <cellStyle name="Neutral 15 5" xfId="2766" xr:uid="{00000000-0005-0000-0000-0000E4090000}"/>
    <cellStyle name="Neutral 15 6" xfId="2767" xr:uid="{00000000-0005-0000-0000-0000E5090000}"/>
    <cellStyle name="Neutral 15 7" xfId="2768" xr:uid="{00000000-0005-0000-0000-0000E6090000}"/>
    <cellStyle name="Neutral 16" xfId="2769" xr:uid="{00000000-0005-0000-0000-0000E7090000}"/>
    <cellStyle name="Neutral 17" xfId="2770" xr:uid="{00000000-0005-0000-0000-0000E8090000}"/>
    <cellStyle name="Neutral 18" xfId="2771" xr:uid="{00000000-0005-0000-0000-0000E9090000}"/>
    <cellStyle name="Neutral 19" xfId="2772" xr:uid="{00000000-0005-0000-0000-0000EA090000}"/>
    <cellStyle name="Neutral 2" xfId="396" xr:uid="{00000000-0005-0000-0000-0000EB090000}"/>
    <cellStyle name="Neutral 2 2" xfId="519" xr:uid="{00000000-0005-0000-0000-0000EC090000}"/>
    <cellStyle name="Neutral 2 2 2" xfId="2773" xr:uid="{00000000-0005-0000-0000-0000ED090000}"/>
    <cellStyle name="Neutral 2 3" xfId="2774" xr:uid="{00000000-0005-0000-0000-0000EE090000}"/>
    <cellStyle name="Neutral 20" xfId="2775" xr:uid="{00000000-0005-0000-0000-0000EF090000}"/>
    <cellStyle name="Neutral 21" xfId="2776" xr:uid="{00000000-0005-0000-0000-0000F0090000}"/>
    <cellStyle name="Neutral 22" xfId="2777" xr:uid="{00000000-0005-0000-0000-0000F1090000}"/>
    <cellStyle name="Neutral 3" xfId="655" xr:uid="{00000000-0005-0000-0000-0000F2090000}"/>
    <cellStyle name="Neutral 3 2" xfId="2778" xr:uid="{00000000-0005-0000-0000-0000F3090000}"/>
    <cellStyle name="Neutral 3 3" xfId="2779" xr:uid="{00000000-0005-0000-0000-0000F4090000}"/>
    <cellStyle name="Neutral 4 2" xfId="2780" xr:uid="{00000000-0005-0000-0000-0000F5090000}"/>
    <cellStyle name="Neutral 4 3" xfId="2781" xr:uid="{00000000-0005-0000-0000-0000F6090000}"/>
    <cellStyle name="Neutral 5 2" xfId="2782" xr:uid="{00000000-0005-0000-0000-0000F7090000}"/>
    <cellStyle name="Neutral 5 3" xfId="2783" xr:uid="{00000000-0005-0000-0000-0000F8090000}"/>
    <cellStyle name="Neutral 6 2" xfId="2784" xr:uid="{00000000-0005-0000-0000-0000F9090000}"/>
    <cellStyle name="Neutral 6 3" xfId="2785" xr:uid="{00000000-0005-0000-0000-0000FA090000}"/>
    <cellStyle name="Neutral 7 2" xfId="2786" xr:uid="{00000000-0005-0000-0000-0000FB090000}"/>
    <cellStyle name="Neutral 7 3" xfId="2787" xr:uid="{00000000-0005-0000-0000-0000FC090000}"/>
    <cellStyle name="Neutral 8 2" xfId="2788" xr:uid="{00000000-0005-0000-0000-0000FD090000}"/>
    <cellStyle name="Neutral 8 3" xfId="2789" xr:uid="{00000000-0005-0000-0000-0000FE090000}"/>
    <cellStyle name="Neutral 9 2" xfId="2790" xr:uid="{00000000-0005-0000-0000-0000FF090000}"/>
    <cellStyle name="Neutral 9 3" xfId="2791" xr:uid="{00000000-0005-0000-0000-0000000A0000}"/>
    <cellStyle name="Normal" xfId="0" builtinId="0"/>
    <cellStyle name="Normal 10" xfId="26" xr:uid="{00000000-0005-0000-0000-0000020A0000}"/>
    <cellStyle name="Normal 10 10" xfId="2792" xr:uid="{00000000-0005-0000-0000-0000030A0000}"/>
    <cellStyle name="Normal 10 11" xfId="2793" xr:uid="{00000000-0005-0000-0000-0000040A0000}"/>
    <cellStyle name="Normal 10 12" xfId="2794" xr:uid="{00000000-0005-0000-0000-0000050A0000}"/>
    <cellStyle name="Normal 10 2" xfId="27" xr:uid="{00000000-0005-0000-0000-0000060A0000}"/>
    <cellStyle name="Normal 10 2 2" xfId="215" xr:uid="{00000000-0005-0000-0000-0000070A0000}"/>
    <cellStyle name="Normal 10 2 3" xfId="37652" xr:uid="{00000000-0005-0000-0000-0000080A0000}"/>
    <cellStyle name="Normal 10 2 4" xfId="21186" xr:uid="{00000000-0005-0000-0000-0000090A0000}"/>
    <cellStyle name="Normal 10 3" xfId="214" xr:uid="{00000000-0005-0000-0000-00000A0A0000}"/>
    <cellStyle name="Normal 10 3 2" xfId="2795" xr:uid="{00000000-0005-0000-0000-00000B0A0000}"/>
    <cellStyle name="Normal 10 4" xfId="2796" xr:uid="{00000000-0005-0000-0000-00000C0A0000}"/>
    <cellStyle name="Normal 10 5" xfId="2797" xr:uid="{00000000-0005-0000-0000-00000D0A0000}"/>
    <cellStyle name="Normal 10 6" xfId="2798" xr:uid="{00000000-0005-0000-0000-00000E0A0000}"/>
    <cellStyle name="Normal 10 7" xfId="2799" xr:uid="{00000000-0005-0000-0000-00000F0A0000}"/>
    <cellStyle name="Normal 10 8" xfId="2800" xr:uid="{00000000-0005-0000-0000-0000100A0000}"/>
    <cellStyle name="Normal 10 9" xfId="2801" xr:uid="{00000000-0005-0000-0000-0000110A0000}"/>
    <cellStyle name="Normal 100" xfId="2802" xr:uid="{00000000-0005-0000-0000-0000120A0000}"/>
    <cellStyle name="Normal 101" xfId="327" xr:uid="{00000000-0005-0000-0000-0000130A0000}"/>
    <cellStyle name="Normal 101 2" xfId="21153" xr:uid="{00000000-0005-0000-0000-0000140A0000}"/>
    <cellStyle name="Normal 102" xfId="2803" xr:uid="{00000000-0005-0000-0000-0000150A0000}"/>
    <cellStyle name="Normal 103" xfId="2804" xr:uid="{00000000-0005-0000-0000-0000160A0000}"/>
    <cellStyle name="Normal 104" xfId="37698" xr:uid="{00000000-0005-0000-0000-0000170A0000}"/>
    <cellStyle name="Normal 11" xfId="28" xr:uid="{00000000-0005-0000-0000-0000180A0000}"/>
    <cellStyle name="Normal 11 2" xfId="216" xr:uid="{00000000-0005-0000-0000-0000190A0000}"/>
    <cellStyle name="Normal 11 2 2" xfId="2805" xr:uid="{00000000-0005-0000-0000-00001A0A0000}"/>
    <cellStyle name="Normal 11 3" xfId="2806" xr:uid="{00000000-0005-0000-0000-00001B0A0000}"/>
    <cellStyle name="Normal 11 4" xfId="2807" xr:uid="{00000000-0005-0000-0000-00001C0A0000}"/>
    <cellStyle name="Normal 11 5" xfId="2808" xr:uid="{00000000-0005-0000-0000-00001D0A0000}"/>
    <cellStyle name="Normal 11 6" xfId="2809" xr:uid="{00000000-0005-0000-0000-00001E0A0000}"/>
    <cellStyle name="Normal 11 7" xfId="2810" xr:uid="{00000000-0005-0000-0000-00001F0A0000}"/>
    <cellStyle name="Normal 11 8" xfId="2811" xr:uid="{00000000-0005-0000-0000-0000200A0000}"/>
    <cellStyle name="Normal 11 9" xfId="2812" xr:uid="{00000000-0005-0000-0000-0000210A0000}"/>
    <cellStyle name="Normal 12" xfId="29" xr:uid="{00000000-0005-0000-0000-0000220A0000}"/>
    <cellStyle name="Normal 12 2" xfId="217" xr:uid="{00000000-0005-0000-0000-0000230A0000}"/>
    <cellStyle name="Normal 12 2 2" xfId="2813" xr:uid="{00000000-0005-0000-0000-0000240A0000}"/>
    <cellStyle name="Normal 12 3" xfId="2814" xr:uid="{00000000-0005-0000-0000-0000250A0000}"/>
    <cellStyle name="Normal 12 4" xfId="2815" xr:uid="{00000000-0005-0000-0000-0000260A0000}"/>
    <cellStyle name="Normal 12 5" xfId="2816" xr:uid="{00000000-0005-0000-0000-0000270A0000}"/>
    <cellStyle name="Normal 12 6" xfId="2817" xr:uid="{00000000-0005-0000-0000-0000280A0000}"/>
    <cellStyle name="Normal 12 7" xfId="2818" xr:uid="{00000000-0005-0000-0000-0000290A0000}"/>
    <cellStyle name="Normal 12 8" xfId="37653" xr:uid="{00000000-0005-0000-0000-00002A0A0000}"/>
    <cellStyle name="Normal 13" xfId="30" xr:uid="{00000000-0005-0000-0000-00002B0A0000}"/>
    <cellStyle name="Normal 13 2" xfId="218" xr:uid="{00000000-0005-0000-0000-00002C0A0000}"/>
    <cellStyle name="Normal 13 2 2" xfId="2819" xr:uid="{00000000-0005-0000-0000-00002D0A0000}"/>
    <cellStyle name="Normal 13 3" xfId="2820" xr:uid="{00000000-0005-0000-0000-00002E0A0000}"/>
    <cellStyle name="Normal 13 4" xfId="2821" xr:uid="{00000000-0005-0000-0000-00002F0A0000}"/>
    <cellStyle name="Normal 13 5" xfId="2822" xr:uid="{00000000-0005-0000-0000-0000300A0000}"/>
    <cellStyle name="Normal 13 6" xfId="2823" xr:uid="{00000000-0005-0000-0000-0000310A0000}"/>
    <cellStyle name="Normal 13 7" xfId="2824" xr:uid="{00000000-0005-0000-0000-0000320A0000}"/>
    <cellStyle name="Normal 13 8" xfId="2825" xr:uid="{00000000-0005-0000-0000-0000330A0000}"/>
    <cellStyle name="Normal 13 9" xfId="2826" xr:uid="{00000000-0005-0000-0000-0000340A0000}"/>
    <cellStyle name="Normal 14" xfId="31" xr:uid="{00000000-0005-0000-0000-0000350A0000}"/>
    <cellStyle name="Normal 14 2" xfId="219" xr:uid="{00000000-0005-0000-0000-0000360A0000}"/>
    <cellStyle name="Normal 14 2 2" xfId="2827" xr:uid="{00000000-0005-0000-0000-0000370A0000}"/>
    <cellStyle name="Normal 14 3" xfId="2828" xr:uid="{00000000-0005-0000-0000-0000380A0000}"/>
    <cellStyle name="Normal 14 4" xfId="2829" xr:uid="{00000000-0005-0000-0000-0000390A0000}"/>
    <cellStyle name="Normal 14 5" xfId="2830" xr:uid="{00000000-0005-0000-0000-00003A0A0000}"/>
    <cellStyle name="Normal 14 6" xfId="2831" xr:uid="{00000000-0005-0000-0000-00003B0A0000}"/>
    <cellStyle name="Normal 14 7" xfId="2832" xr:uid="{00000000-0005-0000-0000-00003C0A0000}"/>
    <cellStyle name="Normal 14 8" xfId="2833" xr:uid="{00000000-0005-0000-0000-00003D0A0000}"/>
    <cellStyle name="Normal 14 9" xfId="2834" xr:uid="{00000000-0005-0000-0000-00003E0A0000}"/>
    <cellStyle name="Normal 15" xfId="32" xr:uid="{00000000-0005-0000-0000-00003F0A0000}"/>
    <cellStyle name="Normal 15 2" xfId="2835" xr:uid="{00000000-0005-0000-0000-0000400A0000}"/>
    <cellStyle name="Normal 15 3" xfId="2836" xr:uid="{00000000-0005-0000-0000-0000410A0000}"/>
    <cellStyle name="Normal 15 4" xfId="2837" xr:uid="{00000000-0005-0000-0000-0000420A0000}"/>
    <cellStyle name="Normal 15 5" xfId="2838" xr:uid="{00000000-0005-0000-0000-0000430A0000}"/>
    <cellStyle name="Normal 15 6" xfId="2839" xr:uid="{00000000-0005-0000-0000-0000440A0000}"/>
    <cellStyle name="Normal 15 7" xfId="2840" xr:uid="{00000000-0005-0000-0000-0000450A0000}"/>
    <cellStyle name="Normal 15 8" xfId="37654" xr:uid="{00000000-0005-0000-0000-0000460A0000}"/>
    <cellStyle name="Normal 16" xfId="33" xr:uid="{00000000-0005-0000-0000-0000470A0000}"/>
    <cellStyle name="Normal 16 2" xfId="220" xr:uid="{00000000-0005-0000-0000-0000480A0000}"/>
    <cellStyle name="Normal 16 3" xfId="2841" xr:uid="{00000000-0005-0000-0000-0000490A0000}"/>
    <cellStyle name="Normal 16 4" xfId="21187" xr:uid="{00000000-0005-0000-0000-00004A0A0000}"/>
    <cellStyle name="Normal 17" xfId="180" xr:uid="{00000000-0005-0000-0000-00004B0A0000}"/>
    <cellStyle name="Normal 17 2" xfId="2843" xr:uid="{00000000-0005-0000-0000-00004C0A0000}"/>
    <cellStyle name="Normal 17 3" xfId="2844" xr:uid="{00000000-0005-0000-0000-00004D0A0000}"/>
    <cellStyle name="Normal 17 4" xfId="2842" xr:uid="{00000000-0005-0000-0000-00004E0A0000}"/>
    <cellStyle name="Normal 18" xfId="34" xr:uid="{00000000-0005-0000-0000-00004F0A0000}"/>
    <cellStyle name="Normal 18 2" xfId="221" xr:uid="{00000000-0005-0000-0000-0000500A0000}"/>
    <cellStyle name="Normal 18 2 2" xfId="2845" xr:uid="{00000000-0005-0000-0000-0000510A0000}"/>
    <cellStyle name="Normal 18 3" xfId="2846" xr:uid="{00000000-0005-0000-0000-0000520A0000}"/>
    <cellStyle name="Normal 18 4" xfId="2847" xr:uid="{00000000-0005-0000-0000-0000530A0000}"/>
    <cellStyle name="Normal 18 5" xfId="2848" xr:uid="{00000000-0005-0000-0000-0000540A0000}"/>
    <cellStyle name="Normal 18 6" xfId="2849" xr:uid="{00000000-0005-0000-0000-0000550A0000}"/>
    <cellStyle name="Normal 18 7" xfId="2850" xr:uid="{00000000-0005-0000-0000-0000560A0000}"/>
    <cellStyle name="Normal 18 8" xfId="2851" xr:uid="{00000000-0005-0000-0000-0000570A0000}"/>
    <cellStyle name="Normal 18 9" xfId="2852" xr:uid="{00000000-0005-0000-0000-0000580A0000}"/>
    <cellStyle name="Normal 19" xfId="35" xr:uid="{00000000-0005-0000-0000-0000590A0000}"/>
    <cellStyle name="Normal 19 2" xfId="222" xr:uid="{00000000-0005-0000-0000-00005A0A0000}"/>
    <cellStyle name="Normal 19 3" xfId="2853" xr:uid="{00000000-0005-0000-0000-00005B0A0000}"/>
    <cellStyle name="Normal 19 4" xfId="21188" xr:uid="{00000000-0005-0000-0000-00005C0A0000}"/>
    <cellStyle name="Normal 2" xfId="7" xr:uid="{00000000-0005-0000-0000-00005D0A0000}"/>
    <cellStyle name="Normal 2 10" xfId="2854" xr:uid="{00000000-0005-0000-0000-00005E0A0000}"/>
    <cellStyle name="Normal 2 10 2" xfId="2855" xr:uid="{00000000-0005-0000-0000-00005F0A0000}"/>
    <cellStyle name="Normal 2 10 2 2" xfId="2856" xr:uid="{00000000-0005-0000-0000-0000600A0000}"/>
    <cellStyle name="Normal 2 10 3" xfId="2857" xr:uid="{00000000-0005-0000-0000-0000610A0000}"/>
    <cellStyle name="Normal 2 10 3 2" xfId="2858" xr:uid="{00000000-0005-0000-0000-0000620A0000}"/>
    <cellStyle name="Normal 2 10 4" xfId="2859" xr:uid="{00000000-0005-0000-0000-0000630A0000}"/>
    <cellStyle name="Normal 2 10 4 2" xfId="2860" xr:uid="{00000000-0005-0000-0000-0000640A0000}"/>
    <cellStyle name="Normal 2 10 5" xfId="2861" xr:uid="{00000000-0005-0000-0000-0000650A0000}"/>
    <cellStyle name="Normal 2 10 5 2" xfId="2862" xr:uid="{00000000-0005-0000-0000-0000660A0000}"/>
    <cellStyle name="Normal 2 10 6" xfId="2863" xr:uid="{00000000-0005-0000-0000-0000670A0000}"/>
    <cellStyle name="Normal 2 10 6 2" xfId="2864" xr:uid="{00000000-0005-0000-0000-0000680A0000}"/>
    <cellStyle name="Normal 2 10 7" xfId="2865" xr:uid="{00000000-0005-0000-0000-0000690A0000}"/>
    <cellStyle name="Normal 2 10 7 2" xfId="2866" xr:uid="{00000000-0005-0000-0000-00006A0A0000}"/>
    <cellStyle name="Normal 2 10 8" xfId="2867" xr:uid="{00000000-0005-0000-0000-00006B0A0000}"/>
    <cellStyle name="Normal 2 11" xfId="2868" xr:uid="{00000000-0005-0000-0000-00006C0A0000}"/>
    <cellStyle name="Normal 2 11 2" xfId="2869" xr:uid="{00000000-0005-0000-0000-00006D0A0000}"/>
    <cellStyle name="Normal 2 11 2 2" xfId="2870" xr:uid="{00000000-0005-0000-0000-00006E0A0000}"/>
    <cellStyle name="Normal 2 11 3" xfId="2871" xr:uid="{00000000-0005-0000-0000-00006F0A0000}"/>
    <cellStyle name="Normal 2 11 3 2" xfId="2872" xr:uid="{00000000-0005-0000-0000-0000700A0000}"/>
    <cellStyle name="Normal 2 11 4" xfId="2873" xr:uid="{00000000-0005-0000-0000-0000710A0000}"/>
    <cellStyle name="Normal 2 11 4 2" xfId="2874" xr:uid="{00000000-0005-0000-0000-0000720A0000}"/>
    <cellStyle name="Normal 2 11 5" xfId="2875" xr:uid="{00000000-0005-0000-0000-0000730A0000}"/>
    <cellStyle name="Normal 2 11 5 2" xfId="2876" xr:uid="{00000000-0005-0000-0000-0000740A0000}"/>
    <cellStyle name="Normal 2 11 6" xfId="2877" xr:uid="{00000000-0005-0000-0000-0000750A0000}"/>
    <cellStyle name="Normal 2 11 6 2" xfId="2878" xr:uid="{00000000-0005-0000-0000-0000760A0000}"/>
    <cellStyle name="Normal 2 11 7" xfId="2879" xr:uid="{00000000-0005-0000-0000-0000770A0000}"/>
    <cellStyle name="Normal 2 11 7 2" xfId="2880" xr:uid="{00000000-0005-0000-0000-0000780A0000}"/>
    <cellStyle name="Normal 2 11 8" xfId="2881" xr:uid="{00000000-0005-0000-0000-0000790A0000}"/>
    <cellStyle name="Normal 2 12" xfId="2882" xr:uid="{00000000-0005-0000-0000-00007A0A0000}"/>
    <cellStyle name="Normal 2 12 2" xfId="2883" xr:uid="{00000000-0005-0000-0000-00007B0A0000}"/>
    <cellStyle name="Normal 2 12 2 2" xfId="2884" xr:uid="{00000000-0005-0000-0000-00007C0A0000}"/>
    <cellStyle name="Normal 2 12 3" xfId="2885" xr:uid="{00000000-0005-0000-0000-00007D0A0000}"/>
    <cellStyle name="Normal 2 12 3 2" xfId="2886" xr:uid="{00000000-0005-0000-0000-00007E0A0000}"/>
    <cellStyle name="Normal 2 12 4" xfId="2887" xr:uid="{00000000-0005-0000-0000-00007F0A0000}"/>
    <cellStyle name="Normal 2 12 4 2" xfId="2888" xr:uid="{00000000-0005-0000-0000-0000800A0000}"/>
    <cellStyle name="Normal 2 12 5" xfId="2889" xr:uid="{00000000-0005-0000-0000-0000810A0000}"/>
    <cellStyle name="Normal 2 12 5 2" xfId="2890" xr:uid="{00000000-0005-0000-0000-0000820A0000}"/>
    <cellStyle name="Normal 2 12 6" xfId="2891" xr:uid="{00000000-0005-0000-0000-0000830A0000}"/>
    <cellStyle name="Normal 2 12 6 2" xfId="2892" xr:uid="{00000000-0005-0000-0000-0000840A0000}"/>
    <cellStyle name="Normal 2 12 7" xfId="2893" xr:uid="{00000000-0005-0000-0000-0000850A0000}"/>
    <cellStyle name="Normal 2 12 7 2" xfId="2894" xr:uid="{00000000-0005-0000-0000-0000860A0000}"/>
    <cellStyle name="Normal 2 12 8" xfId="2895" xr:uid="{00000000-0005-0000-0000-0000870A0000}"/>
    <cellStyle name="Normal 2 13" xfId="2896" xr:uid="{00000000-0005-0000-0000-0000880A0000}"/>
    <cellStyle name="Normal 2 13 2" xfId="2897" xr:uid="{00000000-0005-0000-0000-0000890A0000}"/>
    <cellStyle name="Normal 2 13 2 2" xfId="2898" xr:uid="{00000000-0005-0000-0000-00008A0A0000}"/>
    <cellStyle name="Normal 2 13 3" xfId="2899" xr:uid="{00000000-0005-0000-0000-00008B0A0000}"/>
    <cellStyle name="Normal 2 13 3 2" xfId="2900" xr:uid="{00000000-0005-0000-0000-00008C0A0000}"/>
    <cellStyle name="Normal 2 13 4" xfId="2901" xr:uid="{00000000-0005-0000-0000-00008D0A0000}"/>
    <cellStyle name="Normal 2 13 4 2" xfId="2902" xr:uid="{00000000-0005-0000-0000-00008E0A0000}"/>
    <cellStyle name="Normal 2 13 5" xfId="2903" xr:uid="{00000000-0005-0000-0000-00008F0A0000}"/>
    <cellStyle name="Normal 2 13 5 2" xfId="2904" xr:uid="{00000000-0005-0000-0000-0000900A0000}"/>
    <cellStyle name="Normal 2 13 6" xfId="2905" xr:uid="{00000000-0005-0000-0000-0000910A0000}"/>
    <cellStyle name="Normal 2 13 6 2" xfId="2906" xr:uid="{00000000-0005-0000-0000-0000920A0000}"/>
    <cellStyle name="Normal 2 13 7" xfId="2907" xr:uid="{00000000-0005-0000-0000-0000930A0000}"/>
    <cellStyle name="Normal 2 13 7 2" xfId="2908" xr:uid="{00000000-0005-0000-0000-0000940A0000}"/>
    <cellStyle name="Normal 2 13 8" xfId="2909" xr:uid="{00000000-0005-0000-0000-0000950A0000}"/>
    <cellStyle name="Normal 2 14" xfId="2910" xr:uid="{00000000-0005-0000-0000-0000960A0000}"/>
    <cellStyle name="Normal 2 14 2" xfId="2911" xr:uid="{00000000-0005-0000-0000-0000970A0000}"/>
    <cellStyle name="Normal 2 15" xfId="2912" xr:uid="{00000000-0005-0000-0000-0000980A0000}"/>
    <cellStyle name="Normal 2 15 2" xfId="2913" xr:uid="{00000000-0005-0000-0000-0000990A0000}"/>
    <cellStyle name="Normal 2 16" xfId="2914" xr:uid="{00000000-0005-0000-0000-00009A0A0000}"/>
    <cellStyle name="Normal 2 16 2" xfId="2915" xr:uid="{00000000-0005-0000-0000-00009B0A0000}"/>
    <cellStyle name="Normal 2 17" xfId="2916" xr:uid="{00000000-0005-0000-0000-00009C0A0000}"/>
    <cellStyle name="Normal 2 17 2" xfId="2917" xr:uid="{00000000-0005-0000-0000-00009D0A0000}"/>
    <cellStyle name="Normal 2 18" xfId="2918" xr:uid="{00000000-0005-0000-0000-00009E0A0000}"/>
    <cellStyle name="Normal 2 18 2" xfId="2919" xr:uid="{00000000-0005-0000-0000-00009F0A0000}"/>
    <cellStyle name="Normal 2 18 2 2" xfId="2920" xr:uid="{00000000-0005-0000-0000-0000A00A0000}"/>
    <cellStyle name="Normal 2 18 2 3" xfId="2921" xr:uid="{00000000-0005-0000-0000-0000A10A0000}"/>
    <cellStyle name="Normal 2 18 2 4" xfId="2922" xr:uid="{00000000-0005-0000-0000-0000A20A0000}"/>
    <cellStyle name="Normal 2 18 3" xfId="2923" xr:uid="{00000000-0005-0000-0000-0000A30A0000}"/>
    <cellStyle name="Normal 2 18 4" xfId="2924" xr:uid="{00000000-0005-0000-0000-0000A40A0000}"/>
    <cellStyle name="Normal 2 18 5" xfId="2925" xr:uid="{00000000-0005-0000-0000-0000A50A0000}"/>
    <cellStyle name="Normal 2 18 6" xfId="2926" xr:uid="{00000000-0005-0000-0000-0000A60A0000}"/>
    <cellStyle name="Normal 2 18 7" xfId="2927" xr:uid="{00000000-0005-0000-0000-0000A70A0000}"/>
    <cellStyle name="Normal 2 18 8" xfId="2928" xr:uid="{00000000-0005-0000-0000-0000A80A0000}"/>
    <cellStyle name="Normal 2 18 9" xfId="2929" xr:uid="{00000000-0005-0000-0000-0000A90A0000}"/>
    <cellStyle name="Normal 2 19" xfId="2930" xr:uid="{00000000-0005-0000-0000-0000AA0A0000}"/>
    <cellStyle name="Normal 2 19 2" xfId="2931" xr:uid="{00000000-0005-0000-0000-0000AB0A0000}"/>
    <cellStyle name="Normal 2 19 2 2" xfId="2932" xr:uid="{00000000-0005-0000-0000-0000AC0A0000}"/>
    <cellStyle name="Normal 2 19 2 3" xfId="2933" xr:uid="{00000000-0005-0000-0000-0000AD0A0000}"/>
    <cellStyle name="Normal 2 19 2 4" xfId="2934" xr:uid="{00000000-0005-0000-0000-0000AE0A0000}"/>
    <cellStyle name="Normal 2 19 3" xfId="2935" xr:uid="{00000000-0005-0000-0000-0000AF0A0000}"/>
    <cellStyle name="Normal 2 19 4" xfId="2936" xr:uid="{00000000-0005-0000-0000-0000B00A0000}"/>
    <cellStyle name="Normal 2 19 5" xfId="2937" xr:uid="{00000000-0005-0000-0000-0000B10A0000}"/>
    <cellStyle name="Normal 2 19 6" xfId="2938" xr:uid="{00000000-0005-0000-0000-0000B20A0000}"/>
    <cellStyle name="Normal 2 19 7" xfId="2939" xr:uid="{00000000-0005-0000-0000-0000B30A0000}"/>
    <cellStyle name="Normal 2 19 8" xfId="2940" xr:uid="{00000000-0005-0000-0000-0000B40A0000}"/>
    <cellStyle name="Normal 2 19 9" xfId="2941" xr:uid="{00000000-0005-0000-0000-0000B50A0000}"/>
    <cellStyle name="Normal 2 2" xfId="36" xr:uid="{00000000-0005-0000-0000-0000B60A0000}"/>
    <cellStyle name="Normal 2 2 10" xfId="318" xr:uid="{00000000-0005-0000-0000-0000B70A0000}"/>
    <cellStyle name="Normal 2 2 11" xfId="2942" xr:uid="{00000000-0005-0000-0000-0000B80A0000}"/>
    <cellStyle name="Normal 2 2 12" xfId="2943" xr:uid="{00000000-0005-0000-0000-0000B90A0000}"/>
    <cellStyle name="Normal 2 2 13" xfId="2944" xr:uid="{00000000-0005-0000-0000-0000BA0A0000}"/>
    <cellStyle name="Normal 2 2 14" xfId="2945" xr:uid="{00000000-0005-0000-0000-0000BB0A0000}"/>
    <cellStyle name="Normal 2 2 15" xfId="2946" xr:uid="{00000000-0005-0000-0000-0000BC0A0000}"/>
    <cellStyle name="Normal 2 2 16" xfId="2947" xr:uid="{00000000-0005-0000-0000-0000BD0A0000}"/>
    <cellStyle name="Normal 2 2 17" xfId="2948" xr:uid="{00000000-0005-0000-0000-0000BE0A0000}"/>
    <cellStyle name="Normal 2 2 18" xfId="2949" xr:uid="{00000000-0005-0000-0000-0000BF0A0000}"/>
    <cellStyle name="Normal 2 2 19" xfId="2950" xr:uid="{00000000-0005-0000-0000-0000C00A0000}"/>
    <cellStyle name="Normal 2 2 2" xfId="37" xr:uid="{00000000-0005-0000-0000-0000C10A0000}"/>
    <cellStyle name="Normal 2 2 2 10" xfId="2951" xr:uid="{00000000-0005-0000-0000-0000C20A0000}"/>
    <cellStyle name="Normal 2 2 2 11" xfId="2952" xr:uid="{00000000-0005-0000-0000-0000C30A0000}"/>
    <cellStyle name="Normal 2 2 2 12" xfId="2953" xr:uid="{00000000-0005-0000-0000-0000C40A0000}"/>
    <cellStyle name="Normal 2 2 2 13" xfId="2954" xr:uid="{00000000-0005-0000-0000-0000C50A0000}"/>
    <cellStyle name="Normal 2 2 2 14" xfId="2955" xr:uid="{00000000-0005-0000-0000-0000C60A0000}"/>
    <cellStyle name="Normal 2 2 2 15" xfId="2956" xr:uid="{00000000-0005-0000-0000-0000C70A0000}"/>
    <cellStyle name="Normal 2 2 2 16" xfId="2957" xr:uid="{00000000-0005-0000-0000-0000C80A0000}"/>
    <cellStyle name="Normal 2 2 2 17" xfId="2958" xr:uid="{00000000-0005-0000-0000-0000C90A0000}"/>
    <cellStyle name="Normal 2 2 2 18" xfId="2959" xr:uid="{00000000-0005-0000-0000-0000CA0A0000}"/>
    <cellStyle name="Normal 2 2 2 19" xfId="2960" xr:uid="{00000000-0005-0000-0000-0000CB0A0000}"/>
    <cellStyle name="Normal 2 2 2 2" xfId="460" xr:uid="{00000000-0005-0000-0000-0000CC0A0000}"/>
    <cellStyle name="Normal 2 2 2 2 10" xfId="2961" xr:uid="{00000000-0005-0000-0000-0000CD0A0000}"/>
    <cellStyle name="Normal 2 2 2 2 11" xfId="2962" xr:uid="{00000000-0005-0000-0000-0000CE0A0000}"/>
    <cellStyle name="Normal 2 2 2 2 12" xfId="2963" xr:uid="{00000000-0005-0000-0000-0000CF0A0000}"/>
    <cellStyle name="Normal 2 2 2 2 13" xfId="2964" xr:uid="{00000000-0005-0000-0000-0000D00A0000}"/>
    <cellStyle name="Normal 2 2 2 2 14" xfId="2965" xr:uid="{00000000-0005-0000-0000-0000D10A0000}"/>
    <cellStyle name="Normal 2 2 2 2 15" xfId="2966" xr:uid="{00000000-0005-0000-0000-0000D20A0000}"/>
    <cellStyle name="Normal 2 2 2 2 15 2" xfId="2967" xr:uid="{00000000-0005-0000-0000-0000D30A0000}"/>
    <cellStyle name="Normal 2 2 2 2 15 3" xfId="2968" xr:uid="{00000000-0005-0000-0000-0000D40A0000}"/>
    <cellStyle name="Normal 2 2 2 2 16" xfId="2969" xr:uid="{00000000-0005-0000-0000-0000D50A0000}"/>
    <cellStyle name="Normal 2 2 2 2 17" xfId="2970" xr:uid="{00000000-0005-0000-0000-0000D60A0000}"/>
    <cellStyle name="Normal 2 2 2 2 18" xfId="2971" xr:uid="{00000000-0005-0000-0000-0000D70A0000}"/>
    <cellStyle name="Normal 2 2 2 2 18 2" xfId="2972" xr:uid="{00000000-0005-0000-0000-0000D80A0000}"/>
    <cellStyle name="Normal 2 2 2 2 18 3" xfId="2973" xr:uid="{00000000-0005-0000-0000-0000D90A0000}"/>
    <cellStyle name="Normal 2 2 2 2 19" xfId="2974" xr:uid="{00000000-0005-0000-0000-0000DA0A0000}"/>
    <cellStyle name="Normal 2 2 2 2 19 2" xfId="2975" xr:uid="{00000000-0005-0000-0000-0000DB0A0000}"/>
    <cellStyle name="Normal 2 2 2 2 19 3" xfId="2976" xr:uid="{00000000-0005-0000-0000-0000DC0A0000}"/>
    <cellStyle name="Normal 2 2 2 2 2" xfId="2977" xr:uid="{00000000-0005-0000-0000-0000DD0A0000}"/>
    <cellStyle name="Normal 2 2 2 2 2 10" xfId="2978" xr:uid="{00000000-0005-0000-0000-0000DE0A0000}"/>
    <cellStyle name="Normal 2 2 2 2 2 11" xfId="2979" xr:uid="{00000000-0005-0000-0000-0000DF0A0000}"/>
    <cellStyle name="Normal 2 2 2 2 2 12" xfId="2980" xr:uid="{00000000-0005-0000-0000-0000E00A0000}"/>
    <cellStyle name="Normal 2 2 2 2 2 13" xfId="2981" xr:uid="{00000000-0005-0000-0000-0000E10A0000}"/>
    <cellStyle name="Normal 2 2 2 2 2 14" xfId="2982" xr:uid="{00000000-0005-0000-0000-0000E20A0000}"/>
    <cellStyle name="Normal 2 2 2 2 2 15" xfId="2983" xr:uid="{00000000-0005-0000-0000-0000E30A0000}"/>
    <cellStyle name="Normal 2 2 2 2 2 16" xfId="2984" xr:uid="{00000000-0005-0000-0000-0000E40A0000}"/>
    <cellStyle name="Normal 2 2 2 2 2 17" xfId="2985" xr:uid="{00000000-0005-0000-0000-0000E50A0000}"/>
    <cellStyle name="Normal 2 2 2 2 2 18" xfId="2986" xr:uid="{00000000-0005-0000-0000-0000E60A0000}"/>
    <cellStyle name="Normal 2 2 2 2 2 19" xfId="2987" xr:uid="{00000000-0005-0000-0000-0000E70A0000}"/>
    <cellStyle name="Normal 2 2 2 2 2 2" xfId="2988" xr:uid="{00000000-0005-0000-0000-0000E80A0000}"/>
    <cellStyle name="Normal 2 2 2 2 2 2 10" xfId="2989" xr:uid="{00000000-0005-0000-0000-0000E90A0000}"/>
    <cellStyle name="Normal 2 2 2 2 2 2 11" xfId="2990" xr:uid="{00000000-0005-0000-0000-0000EA0A0000}"/>
    <cellStyle name="Normal 2 2 2 2 2 2 12" xfId="2991" xr:uid="{00000000-0005-0000-0000-0000EB0A0000}"/>
    <cellStyle name="Normal 2 2 2 2 2 2 13" xfId="2992" xr:uid="{00000000-0005-0000-0000-0000EC0A0000}"/>
    <cellStyle name="Normal 2 2 2 2 2 2 14" xfId="2993" xr:uid="{00000000-0005-0000-0000-0000ED0A0000}"/>
    <cellStyle name="Normal 2 2 2 2 2 2 15" xfId="2994" xr:uid="{00000000-0005-0000-0000-0000EE0A0000}"/>
    <cellStyle name="Normal 2 2 2 2 2 2 16" xfId="2995" xr:uid="{00000000-0005-0000-0000-0000EF0A0000}"/>
    <cellStyle name="Normal 2 2 2 2 2 2 17" xfId="2996" xr:uid="{00000000-0005-0000-0000-0000F00A0000}"/>
    <cellStyle name="Normal 2 2 2 2 2 2 2" xfId="2997" xr:uid="{00000000-0005-0000-0000-0000F10A0000}"/>
    <cellStyle name="Normal 2 2 2 2 2 2 2 10" xfId="2998" xr:uid="{00000000-0005-0000-0000-0000F20A0000}"/>
    <cellStyle name="Normal 2 2 2 2 2 2 2 2" xfId="2999" xr:uid="{00000000-0005-0000-0000-0000F30A0000}"/>
    <cellStyle name="Normal 2 2 2 2 2 2 2 2 2" xfId="3000" xr:uid="{00000000-0005-0000-0000-0000F40A0000}"/>
    <cellStyle name="Normal 2 2 2 2 2 2 2 2 2 10" xfId="3001" xr:uid="{00000000-0005-0000-0000-0000F50A0000}"/>
    <cellStyle name="Normal 2 2 2 2 2 2 2 2 2 10 2" xfId="21190" xr:uid="{00000000-0005-0000-0000-0000F60A0000}"/>
    <cellStyle name="Normal 2 2 2 2 2 2 2 2 2 11" xfId="3002" xr:uid="{00000000-0005-0000-0000-0000F70A0000}"/>
    <cellStyle name="Normal 2 2 2 2 2 2 2 2 2 11 2" xfId="21191" xr:uid="{00000000-0005-0000-0000-0000F80A0000}"/>
    <cellStyle name="Normal 2 2 2 2 2 2 2 2 2 12" xfId="3003" xr:uid="{00000000-0005-0000-0000-0000F90A0000}"/>
    <cellStyle name="Normal 2 2 2 2 2 2 2 2 2 12 2" xfId="21192" xr:uid="{00000000-0005-0000-0000-0000FA0A0000}"/>
    <cellStyle name="Normal 2 2 2 2 2 2 2 2 2 13" xfId="3004" xr:uid="{00000000-0005-0000-0000-0000FB0A0000}"/>
    <cellStyle name="Normal 2 2 2 2 2 2 2 2 2 13 2" xfId="21193" xr:uid="{00000000-0005-0000-0000-0000FC0A0000}"/>
    <cellStyle name="Normal 2 2 2 2 2 2 2 2 2 14" xfId="3005" xr:uid="{00000000-0005-0000-0000-0000FD0A0000}"/>
    <cellStyle name="Normal 2 2 2 2 2 2 2 2 2 14 2" xfId="21194" xr:uid="{00000000-0005-0000-0000-0000FE0A0000}"/>
    <cellStyle name="Normal 2 2 2 2 2 2 2 2 2 15" xfId="21189" xr:uid="{00000000-0005-0000-0000-0000FF0A0000}"/>
    <cellStyle name="Normal 2 2 2 2 2 2 2 2 2 2" xfId="3006" xr:uid="{00000000-0005-0000-0000-0000000B0000}"/>
    <cellStyle name="Normal 2 2 2 2 2 2 2 2 2 2 2" xfId="21195" xr:uid="{00000000-0005-0000-0000-0000010B0000}"/>
    <cellStyle name="Normal 2 2 2 2 2 2 2 2 2 3" xfId="3007" xr:uid="{00000000-0005-0000-0000-0000020B0000}"/>
    <cellStyle name="Normal 2 2 2 2 2 2 2 2 2 3 2" xfId="21196" xr:uid="{00000000-0005-0000-0000-0000030B0000}"/>
    <cellStyle name="Normal 2 2 2 2 2 2 2 2 2 4" xfId="3008" xr:uid="{00000000-0005-0000-0000-0000040B0000}"/>
    <cellStyle name="Normal 2 2 2 2 2 2 2 2 2 4 2" xfId="21197" xr:uid="{00000000-0005-0000-0000-0000050B0000}"/>
    <cellStyle name="Normal 2 2 2 2 2 2 2 2 2 5" xfId="3009" xr:uid="{00000000-0005-0000-0000-0000060B0000}"/>
    <cellStyle name="Normal 2 2 2 2 2 2 2 2 2 5 2" xfId="21198" xr:uid="{00000000-0005-0000-0000-0000070B0000}"/>
    <cellStyle name="Normal 2 2 2 2 2 2 2 2 2 6" xfId="3010" xr:uid="{00000000-0005-0000-0000-0000080B0000}"/>
    <cellStyle name="Normal 2 2 2 2 2 2 2 2 2 6 2" xfId="21199" xr:uid="{00000000-0005-0000-0000-0000090B0000}"/>
    <cellStyle name="Normal 2 2 2 2 2 2 2 2 2 7" xfId="3011" xr:uid="{00000000-0005-0000-0000-00000A0B0000}"/>
    <cellStyle name="Normal 2 2 2 2 2 2 2 2 2 7 2" xfId="21200" xr:uid="{00000000-0005-0000-0000-00000B0B0000}"/>
    <cellStyle name="Normal 2 2 2 2 2 2 2 2 2 8" xfId="3012" xr:uid="{00000000-0005-0000-0000-00000C0B0000}"/>
    <cellStyle name="Normal 2 2 2 2 2 2 2 2 2 8 2" xfId="21201" xr:uid="{00000000-0005-0000-0000-00000D0B0000}"/>
    <cellStyle name="Normal 2 2 2 2 2 2 2 2 2 9" xfId="3013" xr:uid="{00000000-0005-0000-0000-00000E0B0000}"/>
    <cellStyle name="Normal 2 2 2 2 2 2 2 2 2 9 2" xfId="21202" xr:uid="{00000000-0005-0000-0000-00000F0B0000}"/>
    <cellStyle name="Normal 2 2 2 2 2 2 2 3" xfId="3014" xr:uid="{00000000-0005-0000-0000-0000100B0000}"/>
    <cellStyle name="Normal 2 2 2 2 2 2 2 4" xfId="3015" xr:uid="{00000000-0005-0000-0000-0000110B0000}"/>
    <cellStyle name="Normal 2 2 2 2 2 2 2 5" xfId="3016" xr:uid="{00000000-0005-0000-0000-0000120B0000}"/>
    <cellStyle name="Normal 2 2 2 2 2 2 2 6" xfId="3017" xr:uid="{00000000-0005-0000-0000-0000130B0000}"/>
    <cellStyle name="Normal 2 2 2 2 2 2 2 7" xfId="3018" xr:uid="{00000000-0005-0000-0000-0000140B0000}"/>
    <cellStyle name="Normal 2 2 2 2 2 2 2 8" xfId="3019" xr:uid="{00000000-0005-0000-0000-0000150B0000}"/>
    <cellStyle name="Normal 2 2 2 2 2 2 2 9" xfId="3020" xr:uid="{00000000-0005-0000-0000-0000160B0000}"/>
    <cellStyle name="Normal 2 2 2 2 2 2 3" xfId="3021" xr:uid="{00000000-0005-0000-0000-0000170B0000}"/>
    <cellStyle name="Normal 2 2 2 2 2 2 4" xfId="3022" xr:uid="{00000000-0005-0000-0000-0000180B0000}"/>
    <cellStyle name="Normal 2 2 2 2 2 2 5" xfId="3023" xr:uid="{00000000-0005-0000-0000-0000190B0000}"/>
    <cellStyle name="Normal 2 2 2 2 2 2 6" xfId="3024" xr:uid="{00000000-0005-0000-0000-00001A0B0000}"/>
    <cellStyle name="Normal 2 2 2 2 2 2 7" xfId="3025" xr:uid="{00000000-0005-0000-0000-00001B0B0000}"/>
    <cellStyle name="Normal 2 2 2 2 2 2 8" xfId="3026" xr:uid="{00000000-0005-0000-0000-00001C0B0000}"/>
    <cellStyle name="Normal 2 2 2 2 2 2 9" xfId="3027" xr:uid="{00000000-0005-0000-0000-00001D0B0000}"/>
    <cellStyle name="Normal 2 2 2 2 2 3" xfId="3028" xr:uid="{00000000-0005-0000-0000-00001E0B0000}"/>
    <cellStyle name="Normal 2 2 2 2 2 4" xfId="3029" xr:uid="{00000000-0005-0000-0000-00001F0B0000}"/>
    <cellStyle name="Normal 2 2 2 2 2 5" xfId="3030" xr:uid="{00000000-0005-0000-0000-0000200B0000}"/>
    <cellStyle name="Normal 2 2 2 2 2 5 2" xfId="3031" xr:uid="{00000000-0005-0000-0000-0000210B0000}"/>
    <cellStyle name="Normal 2 2 2 2 2 5 3" xfId="3032" xr:uid="{00000000-0005-0000-0000-0000220B0000}"/>
    <cellStyle name="Normal 2 2 2 2 2 6" xfId="3033" xr:uid="{00000000-0005-0000-0000-0000230B0000}"/>
    <cellStyle name="Normal 2 2 2 2 2 6 2" xfId="3034" xr:uid="{00000000-0005-0000-0000-0000240B0000}"/>
    <cellStyle name="Normal 2 2 2 2 2 6 3" xfId="3035" xr:uid="{00000000-0005-0000-0000-0000250B0000}"/>
    <cellStyle name="Normal 2 2 2 2 2 7" xfId="3036" xr:uid="{00000000-0005-0000-0000-0000260B0000}"/>
    <cellStyle name="Normal 2 2 2 2 2 7 2" xfId="3037" xr:uid="{00000000-0005-0000-0000-0000270B0000}"/>
    <cellStyle name="Normal 2 2 2 2 2 7 3" xfId="3038" xr:uid="{00000000-0005-0000-0000-0000280B0000}"/>
    <cellStyle name="Normal 2 2 2 2 2 8" xfId="3039" xr:uid="{00000000-0005-0000-0000-0000290B0000}"/>
    <cellStyle name="Normal 2 2 2 2 2 8 2" xfId="3040" xr:uid="{00000000-0005-0000-0000-00002A0B0000}"/>
    <cellStyle name="Normal 2 2 2 2 2 8 3" xfId="3041" xr:uid="{00000000-0005-0000-0000-00002B0B0000}"/>
    <cellStyle name="Normal 2 2 2 2 2 9" xfId="3042" xr:uid="{00000000-0005-0000-0000-00002C0B0000}"/>
    <cellStyle name="Normal 2 2 2 2 2 9 2" xfId="3043" xr:uid="{00000000-0005-0000-0000-00002D0B0000}"/>
    <cellStyle name="Normal 2 2 2 2 2 9 3" xfId="3044" xr:uid="{00000000-0005-0000-0000-00002E0B0000}"/>
    <cellStyle name="Normal 2 2 2 2 20" xfId="3045" xr:uid="{00000000-0005-0000-0000-00002F0B0000}"/>
    <cellStyle name="Normal 2 2 2 2 20 2" xfId="3046" xr:uid="{00000000-0005-0000-0000-0000300B0000}"/>
    <cellStyle name="Normal 2 2 2 2 20 3" xfId="3047" xr:uid="{00000000-0005-0000-0000-0000310B0000}"/>
    <cellStyle name="Normal 2 2 2 2 21" xfId="3048" xr:uid="{00000000-0005-0000-0000-0000320B0000}"/>
    <cellStyle name="Normal 2 2 2 2 21 2" xfId="3049" xr:uid="{00000000-0005-0000-0000-0000330B0000}"/>
    <cellStyle name="Normal 2 2 2 2 21 3" xfId="3050" xr:uid="{00000000-0005-0000-0000-0000340B0000}"/>
    <cellStyle name="Normal 2 2 2 2 22" xfId="3051" xr:uid="{00000000-0005-0000-0000-0000350B0000}"/>
    <cellStyle name="Normal 2 2 2 2 23" xfId="3052" xr:uid="{00000000-0005-0000-0000-0000360B0000}"/>
    <cellStyle name="Normal 2 2 2 2 24" xfId="3053" xr:uid="{00000000-0005-0000-0000-0000370B0000}"/>
    <cellStyle name="Normal 2 2 2 2 25" xfId="3054" xr:uid="{00000000-0005-0000-0000-0000380B0000}"/>
    <cellStyle name="Normal 2 2 2 2 26" xfId="3055" xr:uid="{00000000-0005-0000-0000-0000390B0000}"/>
    <cellStyle name="Normal 2 2 2 2 27" xfId="3056" xr:uid="{00000000-0005-0000-0000-00003A0B0000}"/>
    <cellStyle name="Normal 2 2 2 2 28" xfId="3057" xr:uid="{00000000-0005-0000-0000-00003B0B0000}"/>
    <cellStyle name="Normal 2 2 2 2 29" xfId="3058" xr:uid="{00000000-0005-0000-0000-00003C0B0000}"/>
    <cellStyle name="Normal 2 2 2 2 3" xfId="3059" xr:uid="{00000000-0005-0000-0000-00003D0B0000}"/>
    <cellStyle name="Normal 2 2 2 2 30" xfId="3060" xr:uid="{00000000-0005-0000-0000-00003E0B0000}"/>
    <cellStyle name="Normal 2 2 2 2 31" xfId="3061" xr:uid="{00000000-0005-0000-0000-00003F0B0000}"/>
    <cellStyle name="Normal 2 2 2 2 32" xfId="3062" xr:uid="{00000000-0005-0000-0000-0000400B0000}"/>
    <cellStyle name="Normal 2 2 2 2 4" xfId="3063" xr:uid="{00000000-0005-0000-0000-0000410B0000}"/>
    <cellStyle name="Normal 2 2 2 2 5" xfId="3064" xr:uid="{00000000-0005-0000-0000-0000420B0000}"/>
    <cellStyle name="Normal 2 2 2 2 6" xfId="3065" xr:uid="{00000000-0005-0000-0000-0000430B0000}"/>
    <cellStyle name="Normal 2 2 2 2 7" xfId="3066" xr:uid="{00000000-0005-0000-0000-0000440B0000}"/>
    <cellStyle name="Normal 2 2 2 2 8" xfId="3067" xr:uid="{00000000-0005-0000-0000-0000450B0000}"/>
    <cellStyle name="Normal 2 2 2 2 9" xfId="3068" xr:uid="{00000000-0005-0000-0000-0000460B0000}"/>
    <cellStyle name="Normal 2 2 2 20" xfId="3069" xr:uid="{00000000-0005-0000-0000-0000470B0000}"/>
    <cellStyle name="Normal 2 2 2 20 2" xfId="3070" xr:uid="{00000000-0005-0000-0000-0000480B0000}"/>
    <cellStyle name="Normal 2 2 2 20 3" xfId="3071" xr:uid="{00000000-0005-0000-0000-0000490B0000}"/>
    <cellStyle name="Normal 2 2 2 21" xfId="3072" xr:uid="{00000000-0005-0000-0000-00004A0B0000}"/>
    <cellStyle name="Normal 2 2 2 22" xfId="3073" xr:uid="{00000000-0005-0000-0000-00004B0B0000}"/>
    <cellStyle name="Normal 2 2 2 23" xfId="3074" xr:uid="{00000000-0005-0000-0000-00004C0B0000}"/>
    <cellStyle name="Normal 2 2 2 23 2" xfId="3075" xr:uid="{00000000-0005-0000-0000-00004D0B0000}"/>
    <cellStyle name="Normal 2 2 2 23 3" xfId="3076" xr:uid="{00000000-0005-0000-0000-00004E0B0000}"/>
    <cellStyle name="Normal 2 2 2 24" xfId="3077" xr:uid="{00000000-0005-0000-0000-00004F0B0000}"/>
    <cellStyle name="Normal 2 2 2 24 2" xfId="3078" xr:uid="{00000000-0005-0000-0000-0000500B0000}"/>
    <cellStyle name="Normal 2 2 2 24 3" xfId="3079" xr:uid="{00000000-0005-0000-0000-0000510B0000}"/>
    <cellStyle name="Normal 2 2 2 25" xfId="3080" xr:uid="{00000000-0005-0000-0000-0000520B0000}"/>
    <cellStyle name="Normal 2 2 2 25 2" xfId="3081" xr:uid="{00000000-0005-0000-0000-0000530B0000}"/>
    <cellStyle name="Normal 2 2 2 25 3" xfId="3082" xr:uid="{00000000-0005-0000-0000-0000540B0000}"/>
    <cellStyle name="Normal 2 2 2 26" xfId="3083" xr:uid="{00000000-0005-0000-0000-0000550B0000}"/>
    <cellStyle name="Normal 2 2 2 26 2" xfId="3084" xr:uid="{00000000-0005-0000-0000-0000560B0000}"/>
    <cellStyle name="Normal 2 2 2 26 3" xfId="3085" xr:uid="{00000000-0005-0000-0000-0000570B0000}"/>
    <cellStyle name="Normal 2 2 2 27" xfId="3086" xr:uid="{00000000-0005-0000-0000-0000580B0000}"/>
    <cellStyle name="Normal 2 2 2 28" xfId="3087" xr:uid="{00000000-0005-0000-0000-0000590B0000}"/>
    <cellStyle name="Normal 2 2 2 29" xfId="3088" xr:uid="{00000000-0005-0000-0000-00005A0B0000}"/>
    <cellStyle name="Normal 2 2 2 3" xfId="601" xr:uid="{00000000-0005-0000-0000-00005B0B0000}"/>
    <cellStyle name="Normal 2 2 2 3 2" xfId="3089" xr:uid="{00000000-0005-0000-0000-00005C0B0000}"/>
    <cellStyle name="Normal 2 2 2 30" xfId="3090" xr:uid="{00000000-0005-0000-0000-00005D0B0000}"/>
    <cellStyle name="Normal 2 2 2 31" xfId="3091" xr:uid="{00000000-0005-0000-0000-00005E0B0000}"/>
    <cellStyle name="Normal 2 2 2 32" xfId="3092" xr:uid="{00000000-0005-0000-0000-00005F0B0000}"/>
    <cellStyle name="Normal 2 2 2 33" xfId="3093" xr:uid="{00000000-0005-0000-0000-0000600B0000}"/>
    <cellStyle name="Normal 2 2 2 34" xfId="3094" xr:uid="{00000000-0005-0000-0000-0000610B0000}"/>
    <cellStyle name="Normal 2 2 2 35" xfId="3095" xr:uid="{00000000-0005-0000-0000-0000620B0000}"/>
    <cellStyle name="Normal 2 2 2 36" xfId="3096" xr:uid="{00000000-0005-0000-0000-0000630B0000}"/>
    <cellStyle name="Normal 2 2 2 37" xfId="3097" xr:uid="{00000000-0005-0000-0000-0000640B0000}"/>
    <cellStyle name="Normal 2 2 2 38" xfId="37655" xr:uid="{00000000-0005-0000-0000-0000650B0000}"/>
    <cellStyle name="Normal 2 2 2 4" xfId="3098" xr:uid="{00000000-0005-0000-0000-0000660B0000}"/>
    <cellStyle name="Normal 2 2 2 4 2" xfId="3099" xr:uid="{00000000-0005-0000-0000-0000670B0000}"/>
    <cellStyle name="Normal 2 2 2 5" xfId="3100" xr:uid="{00000000-0005-0000-0000-0000680B0000}"/>
    <cellStyle name="Normal 2 2 2 5 2" xfId="3101" xr:uid="{00000000-0005-0000-0000-0000690B0000}"/>
    <cellStyle name="Normal 2 2 2 6" xfId="3102" xr:uid="{00000000-0005-0000-0000-00006A0B0000}"/>
    <cellStyle name="Normal 2 2 2 6 2" xfId="3103" xr:uid="{00000000-0005-0000-0000-00006B0B0000}"/>
    <cellStyle name="Normal 2 2 2 7" xfId="3104" xr:uid="{00000000-0005-0000-0000-00006C0B0000}"/>
    <cellStyle name="Normal 2 2 2 7 2" xfId="3105" xr:uid="{00000000-0005-0000-0000-00006D0B0000}"/>
    <cellStyle name="Normal 2 2 2 8" xfId="3106" xr:uid="{00000000-0005-0000-0000-00006E0B0000}"/>
    <cellStyle name="Normal 2 2 2 8 10" xfId="3107" xr:uid="{00000000-0005-0000-0000-00006F0B0000}"/>
    <cellStyle name="Normal 2 2 2 8 11" xfId="3108" xr:uid="{00000000-0005-0000-0000-0000700B0000}"/>
    <cellStyle name="Normal 2 2 2 8 2" xfId="3109" xr:uid="{00000000-0005-0000-0000-0000710B0000}"/>
    <cellStyle name="Normal 2 2 2 8 2 2" xfId="3110" xr:uid="{00000000-0005-0000-0000-0000720B0000}"/>
    <cellStyle name="Normal 2 2 2 8 2 3" xfId="3111" xr:uid="{00000000-0005-0000-0000-0000730B0000}"/>
    <cellStyle name="Normal 2 2 2 8 2 4" xfId="3112" xr:uid="{00000000-0005-0000-0000-0000740B0000}"/>
    <cellStyle name="Normal 2 2 2 8 2 5" xfId="3113" xr:uid="{00000000-0005-0000-0000-0000750B0000}"/>
    <cellStyle name="Normal 2 2 2 8 2 6" xfId="3114" xr:uid="{00000000-0005-0000-0000-0000760B0000}"/>
    <cellStyle name="Normal 2 2 2 8 2 7" xfId="3115" xr:uid="{00000000-0005-0000-0000-0000770B0000}"/>
    <cellStyle name="Normal 2 2 2 8 2 8" xfId="3116" xr:uid="{00000000-0005-0000-0000-0000780B0000}"/>
    <cellStyle name="Normal 2 2 2 8 2 9" xfId="3117" xr:uid="{00000000-0005-0000-0000-0000790B0000}"/>
    <cellStyle name="Normal 2 2 2 8 3" xfId="3118" xr:uid="{00000000-0005-0000-0000-00007A0B0000}"/>
    <cellStyle name="Normal 2 2 2 8 4" xfId="3119" xr:uid="{00000000-0005-0000-0000-00007B0B0000}"/>
    <cellStyle name="Normal 2 2 2 8 5" xfId="3120" xr:uid="{00000000-0005-0000-0000-00007C0B0000}"/>
    <cellStyle name="Normal 2 2 2 8 5 2" xfId="3121" xr:uid="{00000000-0005-0000-0000-00007D0B0000}"/>
    <cellStyle name="Normal 2 2 2 8 5 3" xfId="3122" xr:uid="{00000000-0005-0000-0000-00007E0B0000}"/>
    <cellStyle name="Normal 2 2 2 8 6" xfId="3123" xr:uid="{00000000-0005-0000-0000-00007F0B0000}"/>
    <cellStyle name="Normal 2 2 2 8 6 2" xfId="3124" xr:uid="{00000000-0005-0000-0000-0000800B0000}"/>
    <cellStyle name="Normal 2 2 2 8 6 3" xfId="3125" xr:uid="{00000000-0005-0000-0000-0000810B0000}"/>
    <cellStyle name="Normal 2 2 2 8 7" xfId="3126" xr:uid="{00000000-0005-0000-0000-0000820B0000}"/>
    <cellStyle name="Normal 2 2 2 8 7 2" xfId="3127" xr:uid="{00000000-0005-0000-0000-0000830B0000}"/>
    <cellStyle name="Normal 2 2 2 8 7 3" xfId="3128" xr:uid="{00000000-0005-0000-0000-0000840B0000}"/>
    <cellStyle name="Normal 2 2 2 8 8" xfId="3129" xr:uid="{00000000-0005-0000-0000-0000850B0000}"/>
    <cellStyle name="Normal 2 2 2 8 8 2" xfId="3130" xr:uid="{00000000-0005-0000-0000-0000860B0000}"/>
    <cellStyle name="Normal 2 2 2 8 8 3" xfId="3131" xr:uid="{00000000-0005-0000-0000-0000870B0000}"/>
    <cellStyle name="Normal 2 2 2 8 9" xfId="3132" xr:uid="{00000000-0005-0000-0000-0000880B0000}"/>
    <cellStyle name="Normal 2 2 2 8 9 2" xfId="3133" xr:uid="{00000000-0005-0000-0000-0000890B0000}"/>
    <cellStyle name="Normal 2 2 2 8 9 3" xfId="3134" xr:uid="{00000000-0005-0000-0000-00008A0B0000}"/>
    <cellStyle name="Normal 2 2 2 9" xfId="3135" xr:uid="{00000000-0005-0000-0000-00008B0B0000}"/>
    <cellStyle name="Normal 2 2 20" xfId="3136" xr:uid="{00000000-0005-0000-0000-00008C0B0000}"/>
    <cellStyle name="Normal 2 2 20 2" xfId="3137" xr:uid="{00000000-0005-0000-0000-00008D0B0000}"/>
    <cellStyle name="Normal 2 2 20 3" xfId="3138" xr:uid="{00000000-0005-0000-0000-00008E0B0000}"/>
    <cellStyle name="Normal 2 2 21" xfId="3139" xr:uid="{00000000-0005-0000-0000-00008F0B0000}"/>
    <cellStyle name="Normal 2 2 22" xfId="3140" xr:uid="{00000000-0005-0000-0000-0000900B0000}"/>
    <cellStyle name="Normal 2 2 23" xfId="3141" xr:uid="{00000000-0005-0000-0000-0000910B0000}"/>
    <cellStyle name="Normal 2 2 23 2" xfId="3142" xr:uid="{00000000-0005-0000-0000-0000920B0000}"/>
    <cellStyle name="Normal 2 2 23 3" xfId="3143" xr:uid="{00000000-0005-0000-0000-0000930B0000}"/>
    <cellStyle name="Normal 2 2 24" xfId="3144" xr:uid="{00000000-0005-0000-0000-0000940B0000}"/>
    <cellStyle name="Normal 2 2 24 2" xfId="3145" xr:uid="{00000000-0005-0000-0000-0000950B0000}"/>
    <cellStyle name="Normal 2 2 24 3" xfId="3146" xr:uid="{00000000-0005-0000-0000-0000960B0000}"/>
    <cellStyle name="Normal 2 2 25" xfId="3147" xr:uid="{00000000-0005-0000-0000-0000970B0000}"/>
    <cellStyle name="Normal 2 2 25 2" xfId="3148" xr:uid="{00000000-0005-0000-0000-0000980B0000}"/>
    <cellStyle name="Normal 2 2 25 3" xfId="3149" xr:uid="{00000000-0005-0000-0000-0000990B0000}"/>
    <cellStyle name="Normal 2 2 26" xfId="3150" xr:uid="{00000000-0005-0000-0000-00009A0B0000}"/>
    <cellStyle name="Normal 2 2 26 2" xfId="3151" xr:uid="{00000000-0005-0000-0000-00009B0B0000}"/>
    <cellStyle name="Normal 2 2 26 3" xfId="3152" xr:uid="{00000000-0005-0000-0000-00009C0B0000}"/>
    <cellStyle name="Normal 2 2 27" xfId="3153" xr:uid="{00000000-0005-0000-0000-00009D0B0000}"/>
    <cellStyle name="Normal 2 2 28" xfId="3154" xr:uid="{00000000-0005-0000-0000-00009E0B0000}"/>
    <cellStyle name="Normal 2 2 29" xfId="3155" xr:uid="{00000000-0005-0000-0000-00009F0B0000}"/>
    <cellStyle name="Normal 2 2 3" xfId="38" xr:uid="{00000000-0005-0000-0000-0000A00B0000}"/>
    <cellStyle name="Normal 2 2 3 2" xfId="37656" xr:uid="{00000000-0005-0000-0000-0000A10B0000}"/>
    <cellStyle name="Normal 2 2 3 3" xfId="21203" xr:uid="{00000000-0005-0000-0000-0000A20B0000}"/>
    <cellStyle name="Normal 2 2 30" xfId="3156" xr:uid="{00000000-0005-0000-0000-0000A30B0000}"/>
    <cellStyle name="Normal 2 2 31" xfId="3157" xr:uid="{00000000-0005-0000-0000-0000A40B0000}"/>
    <cellStyle name="Normal 2 2 32" xfId="3158" xr:uid="{00000000-0005-0000-0000-0000A50B0000}"/>
    <cellStyle name="Normal 2 2 33" xfId="3159" xr:uid="{00000000-0005-0000-0000-0000A60B0000}"/>
    <cellStyle name="Normal 2 2 34" xfId="3160" xr:uid="{00000000-0005-0000-0000-0000A70B0000}"/>
    <cellStyle name="Normal 2 2 35" xfId="3161" xr:uid="{00000000-0005-0000-0000-0000A80B0000}"/>
    <cellStyle name="Normal 2 2 36" xfId="3162" xr:uid="{00000000-0005-0000-0000-0000A90B0000}"/>
    <cellStyle name="Normal 2 2 37" xfId="3163" xr:uid="{00000000-0005-0000-0000-0000AA0B0000}"/>
    <cellStyle name="Normal 2 2 38" xfId="21146" xr:uid="{00000000-0005-0000-0000-0000AB0B0000}"/>
    <cellStyle name="Normal 2 2 4" xfId="39" xr:uid="{00000000-0005-0000-0000-0000AC0B0000}"/>
    <cellStyle name="Normal 2 2 4 2" xfId="37657" xr:uid="{00000000-0005-0000-0000-0000AD0B0000}"/>
    <cellStyle name="Normal 2 2 4 3" xfId="21204" xr:uid="{00000000-0005-0000-0000-0000AE0B0000}"/>
    <cellStyle name="Normal 2 2 5" xfId="40" xr:uid="{00000000-0005-0000-0000-0000AF0B0000}"/>
    <cellStyle name="Normal 2 2 5 2" xfId="37658" xr:uid="{00000000-0005-0000-0000-0000B00B0000}"/>
    <cellStyle name="Normal 2 2 5 3" xfId="21205" xr:uid="{00000000-0005-0000-0000-0000B10B0000}"/>
    <cellStyle name="Normal 2 2 6" xfId="41" xr:uid="{00000000-0005-0000-0000-0000B20B0000}"/>
    <cellStyle name="Normal 2 2 6 2" xfId="37659" xr:uid="{00000000-0005-0000-0000-0000B30B0000}"/>
    <cellStyle name="Normal 2 2 6 3" xfId="21206" xr:uid="{00000000-0005-0000-0000-0000B40B0000}"/>
    <cellStyle name="Normal 2 2 7" xfId="42" xr:uid="{00000000-0005-0000-0000-0000B50B0000}"/>
    <cellStyle name="Normal 2 2 7 2" xfId="37660" xr:uid="{00000000-0005-0000-0000-0000B60B0000}"/>
    <cellStyle name="Normal 2 2 7 3" xfId="21207" xr:uid="{00000000-0005-0000-0000-0000B70B0000}"/>
    <cellStyle name="Normal 2 2 8" xfId="43" xr:uid="{00000000-0005-0000-0000-0000B80B0000}"/>
    <cellStyle name="Normal 2 2 8 10" xfId="3164" xr:uid="{00000000-0005-0000-0000-0000B90B0000}"/>
    <cellStyle name="Normal 2 2 8 11" xfId="3165" xr:uid="{00000000-0005-0000-0000-0000BA0B0000}"/>
    <cellStyle name="Normal 2 2 8 12" xfId="37661" xr:uid="{00000000-0005-0000-0000-0000BB0B0000}"/>
    <cellStyle name="Normal 2 2 8 2" xfId="3166" xr:uid="{00000000-0005-0000-0000-0000BC0B0000}"/>
    <cellStyle name="Normal 2 2 8 2 2" xfId="3167" xr:uid="{00000000-0005-0000-0000-0000BD0B0000}"/>
    <cellStyle name="Normal 2 2 8 2 3" xfId="3168" xr:uid="{00000000-0005-0000-0000-0000BE0B0000}"/>
    <cellStyle name="Normal 2 2 8 2 4" xfId="3169" xr:uid="{00000000-0005-0000-0000-0000BF0B0000}"/>
    <cellStyle name="Normal 2 2 8 2 5" xfId="3170" xr:uid="{00000000-0005-0000-0000-0000C00B0000}"/>
    <cellStyle name="Normal 2 2 8 2 6" xfId="3171" xr:uid="{00000000-0005-0000-0000-0000C10B0000}"/>
    <cellStyle name="Normal 2 2 8 2 7" xfId="3172" xr:uid="{00000000-0005-0000-0000-0000C20B0000}"/>
    <cellStyle name="Normal 2 2 8 2 8" xfId="3173" xr:uid="{00000000-0005-0000-0000-0000C30B0000}"/>
    <cellStyle name="Normal 2 2 8 2 9" xfId="3174" xr:uid="{00000000-0005-0000-0000-0000C40B0000}"/>
    <cellStyle name="Normal 2 2 8 3" xfId="3175" xr:uid="{00000000-0005-0000-0000-0000C50B0000}"/>
    <cellStyle name="Normal 2 2 8 4" xfId="3176" xr:uid="{00000000-0005-0000-0000-0000C60B0000}"/>
    <cellStyle name="Normal 2 2 8 5" xfId="3177" xr:uid="{00000000-0005-0000-0000-0000C70B0000}"/>
    <cellStyle name="Normal 2 2 8 5 2" xfId="3178" xr:uid="{00000000-0005-0000-0000-0000C80B0000}"/>
    <cellStyle name="Normal 2 2 8 5 3" xfId="3179" xr:uid="{00000000-0005-0000-0000-0000C90B0000}"/>
    <cellStyle name="Normal 2 2 8 6" xfId="3180" xr:uid="{00000000-0005-0000-0000-0000CA0B0000}"/>
    <cellStyle name="Normal 2 2 8 6 2" xfId="3181" xr:uid="{00000000-0005-0000-0000-0000CB0B0000}"/>
    <cellStyle name="Normal 2 2 8 6 3" xfId="3182" xr:uid="{00000000-0005-0000-0000-0000CC0B0000}"/>
    <cellStyle name="Normal 2 2 8 7" xfId="3183" xr:uid="{00000000-0005-0000-0000-0000CD0B0000}"/>
    <cellStyle name="Normal 2 2 8 7 2" xfId="3184" xr:uid="{00000000-0005-0000-0000-0000CE0B0000}"/>
    <cellStyle name="Normal 2 2 8 7 3" xfId="3185" xr:uid="{00000000-0005-0000-0000-0000CF0B0000}"/>
    <cellStyle name="Normal 2 2 8 8" xfId="3186" xr:uid="{00000000-0005-0000-0000-0000D00B0000}"/>
    <cellStyle name="Normal 2 2 8 8 2" xfId="3187" xr:uid="{00000000-0005-0000-0000-0000D10B0000}"/>
    <cellStyle name="Normal 2 2 8 8 3" xfId="3188" xr:uid="{00000000-0005-0000-0000-0000D20B0000}"/>
    <cellStyle name="Normal 2 2 8 9" xfId="3189" xr:uid="{00000000-0005-0000-0000-0000D30B0000}"/>
    <cellStyle name="Normal 2 2 8 9 2" xfId="3190" xr:uid="{00000000-0005-0000-0000-0000D40B0000}"/>
    <cellStyle name="Normal 2 2 8 9 3" xfId="3191" xr:uid="{00000000-0005-0000-0000-0000D50B0000}"/>
    <cellStyle name="Normal 2 2 9" xfId="44" xr:uid="{00000000-0005-0000-0000-0000D60B0000}"/>
    <cellStyle name="Normal 2 2 9 2" xfId="37662" xr:uid="{00000000-0005-0000-0000-0000D70B0000}"/>
    <cellStyle name="Normal 2 2 9 3" xfId="21208" xr:uid="{00000000-0005-0000-0000-0000D80B0000}"/>
    <cellStyle name="Normal 2 2_Residential Inputs Inland" xfId="3192" xr:uid="{00000000-0005-0000-0000-0000D90B0000}"/>
    <cellStyle name="Normal 2 20" xfId="3193" xr:uid="{00000000-0005-0000-0000-0000DA0B0000}"/>
    <cellStyle name="Normal 2 20 2" xfId="3194" xr:uid="{00000000-0005-0000-0000-0000DB0B0000}"/>
    <cellStyle name="Normal 2 20 2 2" xfId="3195" xr:uid="{00000000-0005-0000-0000-0000DC0B0000}"/>
    <cellStyle name="Normal 2 20 2 3" xfId="3196" xr:uid="{00000000-0005-0000-0000-0000DD0B0000}"/>
    <cellStyle name="Normal 2 20 2 4" xfId="3197" xr:uid="{00000000-0005-0000-0000-0000DE0B0000}"/>
    <cellStyle name="Normal 2 20 3" xfId="3198" xr:uid="{00000000-0005-0000-0000-0000DF0B0000}"/>
    <cellStyle name="Normal 2 20 4" xfId="3199" xr:uid="{00000000-0005-0000-0000-0000E00B0000}"/>
    <cellStyle name="Normal 2 20 5" xfId="3200" xr:uid="{00000000-0005-0000-0000-0000E10B0000}"/>
    <cellStyle name="Normal 2 20 6" xfId="3201" xr:uid="{00000000-0005-0000-0000-0000E20B0000}"/>
    <cellStyle name="Normal 2 20 7" xfId="3202" xr:uid="{00000000-0005-0000-0000-0000E30B0000}"/>
    <cellStyle name="Normal 2 20 8" xfId="3203" xr:uid="{00000000-0005-0000-0000-0000E40B0000}"/>
    <cellStyle name="Normal 2 20 9" xfId="3204" xr:uid="{00000000-0005-0000-0000-0000E50B0000}"/>
    <cellStyle name="Normal 2 21" xfId="3205" xr:uid="{00000000-0005-0000-0000-0000E60B0000}"/>
    <cellStyle name="Normal 2 21 2" xfId="3206" xr:uid="{00000000-0005-0000-0000-0000E70B0000}"/>
    <cellStyle name="Normal 2 21 2 2" xfId="3207" xr:uid="{00000000-0005-0000-0000-0000E80B0000}"/>
    <cellStyle name="Normal 2 21 2 3" xfId="3208" xr:uid="{00000000-0005-0000-0000-0000E90B0000}"/>
    <cellStyle name="Normal 2 21 2 4" xfId="3209" xr:uid="{00000000-0005-0000-0000-0000EA0B0000}"/>
    <cellStyle name="Normal 2 21 3" xfId="3210" xr:uid="{00000000-0005-0000-0000-0000EB0B0000}"/>
    <cellStyle name="Normal 2 21 4" xfId="3211" xr:uid="{00000000-0005-0000-0000-0000EC0B0000}"/>
    <cellStyle name="Normal 2 21 5" xfId="3212" xr:uid="{00000000-0005-0000-0000-0000ED0B0000}"/>
    <cellStyle name="Normal 2 21 6" xfId="3213" xr:uid="{00000000-0005-0000-0000-0000EE0B0000}"/>
    <cellStyle name="Normal 2 21 7" xfId="3214" xr:uid="{00000000-0005-0000-0000-0000EF0B0000}"/>
    <cellStyle name="Normal 2 21 8" xfId="3215" xr:uid="{00000000-0005-0000-0000-0000F00B0000}"/>
    <cellStyle name="Normal 2 21 9" xfId="3216" xr:uid="{00000000-0005-0000-0000-0000F10B0000}"/>
    <cellStyle name="Normal 2 22" xfId="3217" xr:uid="{00000000-0005-0000-0000-0000F20B0000}"/>
    <cellStyle name="Normal 2 22 2" xfId="3218" xr:uid="{00000000-0005-0000-0000-0000F30B0000}"/>
    <cellStyle name="Normal 2 22 2 2" xfId="3219" xr:uid="{00000000-0005-0000-0000-0000F40B0000}"/>
    <cellStyle name="Normal 2 22 2 3" xfId="3220" xr:uid="{00000000-0005-0000-0000-0000F50B0000}"/>
    <cellStyle name="Normal 2 22 2 4" xfId="3221" xr:uid="{00000000-0005-0000-0000-0000F60B0000}"/>
    <cellStyle name="Normal 2 22 3" xfId="3222" xr:uid="{00000000-0005-0000-0000-0000F70B0000}"/>
    <cellStyle name="Normal 2 22 4" xfId="3223" xr:uid="{00000000-0005-0000-0000-0000F80B0000}"/>
    <cellStyle name="Normal 2 22 5" xfId="3224" xr:uid="{00000000-0005-0000-0000-0000F90B0000}"/>
    <cellStyle name="Normal 2 22 6" xfId="3225" xr:uid="{00000000-0005-0000-0000-0000FA0B0000}"/>
    <cellStyle name="Normal 2 22 7" xfId="3226" xr:uid="{00000000-0005-0000-0000-0000FB0B0000}"/>
    <cellStyle name="Normal 2 22 8" xfId="3227" xr:uid="{00000000-0005-0000-0000-0000FC0B0000}"/>
    <cellStyle name="Normal 2 22 9" xfId="3228" xr:uid="{00000000-0005-0000-0000-0000FD0B0000}"/>
    <cellStyle name="Normal 2 23" xfId="3229" xr:uid="{00000000-0005-0000-0000-0000FE0B0000}"/>
    <cellStyle name="Normal 2 23 2" xfId="3230" xr:uid="{00000000-0005-0000-0000-0000FF0B0000}"/>
    <cellStyle name="Normal 2 23 2 2" xfId="3231" xr:uid="{00000000-0005-0000-0000-0000000C0000}"/>
    <cellStyle name="Normal 2 23 2 3" xfId="3232" xr:uid="{00000000-0005-0000-0000-0000010C0000}"/>
    <cellStyle name="Normal 2 23 2 4" xfId="3233" xr:uid="{00000000-0005-0000-0000-0000020C0000}"/>
    <cellStyle name="Normal 2 23 3" xfId="3234" xr:uid="{00000000-0005-0000-0000-0000030C0000}"/>
    <cellStyle name="Normal 2 23 4" xfId="3235" xr:uid="{00000000-0005-0000-0000-0000040C0000}"/>
    <cellStyle name="Normal 2 23 5" xfId="3236" xr:uid="{00000000-0005-0000-0000-0000050C0000}"/>
    <cellStyle name="Normal 2 23 6" xfId="3237" xr:uid="{00000000-0005-0000-0000-0000060C0000}"/>
    <cellStyle name="Normal 2 23 7" xfId="3238" xr:uid="{00000000-0005-0000-0000-0000070C0000}"/>
    <cellStyle name="Normal 2 23 8" xfId="3239" xr:uid="{00000000-0005-0000-0000-0000080C0000}"/>
    <cellStyle name="Normal 2 23 9" xfId="3240" xr:uid="{00000000-0005-0000-0000-0000090C0000}"/>
    <cellStyle name="Normal 2 24" xfId="3241" xr:uid="{00000000-0005-0000-0000-00000A0C0000}"/>
    <cellStyle name="Normal 2 24 2" xfId="3242" xr:uid="{00000000-0005-0000-0000-00000B0C0000}"/>
    <cellStyle name="Normal 2 24 2 2" xfId="3243" xr:uid="{00000000-0005-0000-0000-00000C0C0000}"/>
    <cellStyle name="Normal 2 24 2 3" xfId="3244" xr:uid="{00000000-0005-0000-0000-00000D0C0000}"/>
    <cellStyle name="Normal 2 24 2 4" xfId="3245" xr:uid="{00000000-0005-0000-0000-00000E0C0000}"/>
    <cellStyle name="Normal 2 24 3" xfId="3246" xr:uid="{00000000-0005-0000-0000-00000F0C0000}"/>
    <cellStyle name="Normal 2 24 4" xfId="3247" xr:uid="{00000000-0005-0000-0000-0000100C0000}"/>
    <cellStyle name="Normal 2 24 5" xfId="3248" xr:uid="{00000000-0005-0000-0000-0000110C0000}"/>
    <cellStyle name="Normal 2 24 6" xfId="3249" xr:uid="{00000000-0005-0000-0000-0000120C0000}"/>
    <cellStyle name="Normal 2 24 7" xfId="3250" xr:uid="{00000000-0005-0000-0000-0000130C0000}"/>
    <cellStyle name="Normal 2 24 8" xfId="3251" xr:uid="{00000000-0005-0000-0000-0000140C0000}"/>
    <cellStyle name="Normal 2 24 9" xfId="3252" xr:uid="{00000000-0005-0000-0000-0000150C0000}"/>
    <cellStyle name="Normal 2 25" xfId="3253" xr:uid="{00000000-0005-0000-0000-0000160C0000}"/>
    <cellStyle name="Normal 2 25 2" xfId="3254" xr:uid="{00000000-0005-0000-0000-0000170C0000}"/>
    <cellStyle name="Normal 2 25 2 2" xfId="3255" xr:uid="{00000000-0005-0000-0000-0000180C0000}"/>
    <cellStyle name="Normal 2 25 2 3" xfId="3256" xr:uid="{00000000-0005-0000-0000-0000190C0000}"/>
    <cellStyle name="Normal 2 25 2 4" xfId="3257" xr:uid="{00000000-0005-0000-0000-00001A0C0000}"/>
    <cellStyle name="Normal 2 25 3" xfId="3258" xr:uid="{00000000-0005-0000-0000-00001B0C0000}"/>
    <cellStyle name="Normal 2 25 4" xfId="3259" xr:uid="{00000000-0005-0000-0000-00001C0C0000}"/>
    <cellStyle name="Normal 2 25 5" xfId="3260" xr:uid="{00000000-0005-0000-0000-00001D0C0000}"/>
    <cellStyle name="Normal 2 25 6" xfId="3261" xr:uid="{00000000-0005-0000-0000-00001E0C0000}"/>
    <cellStyle name="Normal 2 25 7" xfId="3262" xr:uid="{00000000-0005-0000-0000-00001F0C0000}"/>
    <cellStyle name="Normal 2 25 8" xfId="3263" xr:uid="{00000000-0005-0000-0000-0000200C0000}"/>
    <cellStyle name="Normal 2 25 9" xfId="3264" xr:uid="{00000000-0005-0000-0000-0000210C0000}"/>
    <cellStyle name="Normal 2 26" xfId="3265" xr:uid="{00000000-0005-0000-0000-0000220C0000}"/>
    <cellStyle name="Normal 2 26 2" xfId="3266" xr:uid="{00000000-0005-0000-0000-0000230C0000}"/>
    <cellStyle name="Normal 2 26 2 2" xfId="3267" xr:uid="{00000000-0005-0000-0000-0000240C0000}"/>
    <cellStyle name="Normal 2 26 2 3" xfId="3268" xr:uid="{00000000-0005-0000-0000-0000250C0000}"/>
    <cellStyle name="Normal 2 26 2 4" xfId="3269" xr:uid="{00000000-0005-0000-0000-0000260C0000}"/>
    <cellStyle name="Normal 2 26 3" xfId="3270" xr:uid="{00000000-0005-0000-0000-0000270C0000}"/>
    <cellStyle name="Normal 2 26 4" xfId="3271" xr:uid="{00000000-0005-0000-0000-0000280C0000}"/>
    <cellStyle name="Normal 2 26 5" xfId="3272" xr:uid="{00000000-0005-0000-0000-0000290C0000}"/>
    <cellStyle name="Normal 2 26 6" xfId="3273" xr:uid="{00000000-0005-0000-0000-00002A0C0000}"/>
    <cellStyle name="Normal 2 26 7" xfId="3274" xr:uid="{00000000-0005-0000-0000-00002B0C0000}"/>
    <cellStyle name="Normal 2 26 8" xfId="3275" xr:uid="{00000000-0005-0000-0000-00002C0C0000}"/>
    <cellStyle name="Normal 2 26 9" xfId="3276" xr:uid="{00000000-0005-0000-0000-00002D0C0000}"/>
    <cellStyle name="Normal 2 27" xfId="3277" xr:uid="{00000000-0005-0000-0000-00002E0C0000}"/>
    <cellStyle name="Normal 2 28" xfId="3278" xr:uid="{00000000-0005-0000-0000-00002F0C0000}"/>
    <cellStyle name="Normal 2 29" xfId="3279" xr:uid="{00000000-0005-0000-0000-0000300C0000}"/>
    <cellStyle name="Normal 2 3" xfId="45" xr:uid="{00000000-0005-0000-0000-0000310C0000}"/>
    <cellStyle name="Normal 2 3 2" xfId="325" xr:uid="{00000000-0005-0000-0000-0000320C0000}"/>
    <cellStyle name="Normal 2 3 2 2" xfId="3281" xr:uid="{00000000-0005-0000-0000-0000330C0000}"/>
    <cellStyle name="Normal 2 3 2 2 2" xfId="3282" xr:uid="{00000000-0005-0000-0000-0000340C0000}"/>
    <cellStyle name="Normal 2 3 2 3" xfId="3283" xr:uid="{00000000-0005-0000-0000-0000350C0000}"/>
    <cellStyle name="Normal 2 3 2 3 2" xfId="3284" xr:uid="{00000000-0005-0000-0000-0000360C0000}"/>
    <cellStyle name="Normal 2 3 2 4" xfId="3285" xr:uid="{00000000-0005-0000-0000-0000370C0000}"/>
    <cellStyle name="Normal 2 3 2 4 2" xfId="3286" xr:uid="{00000000-0005-0000-0000-0000380C0000}"/>
    <cellStyle name="Normal 2 3 2 5" xfId="3287" xr:uid="{00000000-0005-0000-0000-0000390C0000}"/>
    <cellStyle name="Normal 2 3 2 5 2" xfId="3288" xr:uid="{00000000-0005-0000-0000-00003A0C0000}"/>
    <cellStyle name="Normal 2 3 2 6" xfId="3289" xr:uid="{00000000-0005-0000-0000-00003B0C0000}"/>
    <cellStyle name="Normal 2 3 2 6 2" xfId="3290" xr:uid="{00000000-0005-0000-0000-00003C0C0000}"/>
    <cellStyle name="Normal 2 3 2 7" xfId="3291" xr:uid="{00000000-0005-0000-0000-00003D0C0000}"/>
    <cellStyle name="Normal 2 3 2 7 2" xfId="3292" xr:uid="{00000000-0005-0000-0000-00003E0C0000}"/>
    <cellStyle name="Normal 2 3 2 8" xfId="3280" xr:uid="{00000000-0005-0000-0000-00003F0C0000}"/>
    <cellStyle name="Normal 2 3 3" xfId="3293" xr:uid="{00000000-0005-0000-0000-0000400C0000}"/>
    <cellStyle name="Normal 2 3 4" xfId="3294" xr:uid="{00000000-0005-0000-0000-0000410C0000}"/>
    <cellStyle name="Normal 2 3 5" xfId="3295" xr:uid="{00000000-0005-0000-0000-0000420C0000}"/>
    <cellStyle name="Normal 2 3 6" xfId="3296" xr:uid="{00000000-0005-0000-0000-0000430C0000}"/>
    <cellStyle name="Normal 2 3 7" xfId="3297" xr:uid="{00000000-0005-0000-0000-0000440C0000}"/>
    <cellStyle name="Normal 2 3 8" xfId="3298" xr:uid="{00000000-0005-0000-0000-0000450C0000}"/>
    <cellStyle name="Normal 2 3 9" xfId="37663" xr:uid="{00000000-0005-0000-0000-0000460C0000}"/>
    <cellStyle name="Normal 2 30" xfId="3299" xr:uid="{00000000-0005-0000-0000-0000470C0000}"/>
    <cellStyle name="Normal 2 30 2" xfId="3300" xr:uid="{00000000-0005-0000-0000-0000480C0000}"/>
    <cellStyle name="Normal 2 30 3" xfId="3301" xr:uid="{00000000-0005-0000-0000-0000490C0000}"/>
    <cellStyle name="Normal 2 31" xfId="3302" xr:uid="{00000000-0005-0000-0000-00004A0C0000}"/>
    <cellStyle name="Normal 2 32" xfId="3303" xr:uid="{00000000-0005-0000-0000-00004B0C0000}"/>
    <cellStyle name="Normal 2 33" xfId="3304" xr:uid="{00000000-0005-0000-0000-00004C0C0000}"/>
    <cellStyle name="Normal 2 34" xfId="3305" xr:uid="{00000000-0005-0000-0000-00004D0C0000}"/>
    <cellStyle name="Normal 2 35" xfId="3306" xr:uid="{00000000-0005-0000-0000-00004E0C0000}"/>
    <cellStyle name="Normal 2 36" xfId="3307" xr:uid="{00000000-0005-0000-0000-00004F0C0000}"/>
    <cellStyle name="Normal 2 37" xfId="3308" xr:uid="{00000000-0005-0000-0000-0000500C0000}"/>
    <cellStyle name="Normal 2 38" xfId="3309" xr:uid="{00000000-0005-0000-0000-0000510C0000}"/>
    <cellStyle name="Normal 2 39" xfId="3310" xr:uid="{00000000-0005-0000-0000-0000520C0000}"/>
    <cellStyle name="Normal 2 4" xfId="46" xr:uid="{00000000-0005-0000-0000-0000530C0000}"/>
    <cellStyle name="Normal 2 4 10" xfId="3311" xr:uid="{00000000-0005-0000-0000-0000540C0000}"/>
    <cellStyle name="Normal 2 4 11" xfId="3312" xr:uid="{00000000-0005-0000-0000-0000550C0000}"/>
    <cellStyle name="Normal 2 4 12" xfId="3313" xr:uid="{00000000-0005-0000-0000-0000560C0000}"/>
    <cellStyle name="Normal 2 4 13" xfId="3314" xr:uid="{00000000-0005-0000-0000-0000570C0000}"/>
    <cellStyle name="Normal 2 4 14" xfId="3315" xr:uid="{00000000-0005-0000-0000-0000580C0000}"/>
    <cellStyle name="Normal 2 4 15" xfId="3316" xr:uid="{00000000-0005-0000-0000-0000590C0000}"/>
    <cellStyle name="Normal 2 4 16" xfId="3317" xr:uid="{00000000-0005-0000-0000-00005A0C0000}"/>
    <cellStyle name="Normal 2 4 17" xfId="3318" xr:uid="{00000000-0005-0000-0000-00005B0C0000}"/>
    <cellStyle name="Normal 2 4 17 10" xfId="3319" xr:uid="{00000000-0005-0000-0000-00005C0C0000}"/>
    <cellStyle name="Normal 2 4 17 10 10" xfId="3320" xr:uid="{00000000-0005-0000-0000-00005D0C0000}"/>
    <cellStyle name="Normal 2 4 17 10 10 2" xfId="21211" xr:uid="{00000000-0005-0000-0000-00005E0C0000}"/>
    <cellStyle name="Normal 2 4 17 10 11" xfId="3321" xr:uid="{00000000-0005-0000-0000-00005F0C0000}"/>
    <cellStyle name="Normal 2 4 17 10 11 2" xfId="21212" xr:uid="{00000000-0005-0000-0000-0000600C0000}"/>
    <cellStyle name="Normal 2 4 17 10 12" xfId="3322" xr:uid="{00000000-0005-0000-0000-0000610C0000}"/>
    <cellStyle name="Normal 2 4 17 10 12 2" xfId="21213" xr:uid="{00000000-0005-0000-0000-0000620C0000}"/>
    <cellStyle name="Normal 2 4 17 10 13" xfId="3323" xr:uid="{00000000-0005-0000-0000-0000630C0000}"/>
    <cellStyle name="Normal 2 4 17 10 13 2" xfId="21214" xr:uid="{00000000-0005-0000-0000-0000640C0000}"/>
    <cellStyle name="Normal 2 4 17 10 14" xfId="3324" xr:uid="{00000000-0005-0000-0000-0000650C0000}"/>
    <cellStyle name="Normal 2 4 17 10 14 2" xfId="21215" xr:uid="{00000000-0005-0000-0000-0000660C0000}"/>
    <cellStyle name="Normal 2 4 17 10 15" xfId="21210" xr:uid="{00000000-0005-0000-0000-0000670C0000}"/>
    <cellStyle name="Normal 2 4 17 10 2" xfId="3325" xr:uid="{00000000-0005-0000-0000-0000680C0000}"/>
    <cellStyle name="Normal 2 4 17 10 2 2" xfId="21216" xr:uid="{00000000-0005-0000-0000-0000690C0000}"/>
    <cellStyle name="Normal 2 4 17 10 3" xfId="3326" xr:uid="{00000000-0005-0000-0000-00006A0C0000}"/>
    <cellStyle name="Normal 2 4 17 10 3 2" xfId="21217" xr:uid="{00000000-0005-0000-0000-00006B0C0000}"/>
    <cellStyle name="Normal 2 4 17 10 4" xfId="3327" xr:uid="{00000000-0005-0000-0000-00006C0C0000}"/>
    <cellStyle name="Normal 2 4 17 10 4 2" xfId="21218" xr:uid="{00000000-0005-0000-0000-00006D0C0000}"/>
    <cellStyle name="Normal 2 4 17 10 5" xfId="3328" xr:uid="{00000000-0005-0000-0000-00006E0C0000}"/>
    <cellStyle name="Normal 2 4 17 10 5 2" xfId="21219" xr:uid="{00000000-0005-0000-0000-00006F0C0000}"/>
    <cellStyle name="Normal 2 4 17 10 6" xfId="3329" xr:uid="{00000000-0005-0000-0000-0000700C0000}"/>
    <cellStyle name="Normal 2 4 17 10 6 2" xfId="21220" xr:uid="{00000000-0005-0000-0000-0000710C0000}"/>
    <cellStyle name="Normal 2 4 17 10 7" xfId="3330" xr:uid="{00000000-0005-0000-0000-0000720C0000}"/>
    <cellStyle name="Normal 2 4 17 10 7 2" xfId="21221" xr:uid="{00000000-0005-0000-0000-0000730C0000}"/>
    <cellStyle name="Normal 2 4 17 10 8" xfId="3331" xr:uid="{00000000-0005-0000-0000-0000740C0000}"/>
    <cellStyle name="Normal 2 4 17 10 8 2" xfId="21222" xr:uid="{00000000-0005-0000-0000-0000750C0000}"/>
    <cellStyle name="Normal 2 4 17 10 9" xfId="3332" xr:uid="{00000000-0005-0000-0000-0000760C0000}"/>
    <cellStyle name="Normal 2 4 17 10 9 2" xfId="21223" xr:uid="{00000000-0005-0000-0000-0000770C0000}"/>
    <cellStyle name="Normal 2 4 17 11" xfId="3333" xr:uid="{00000000-0005-0000-0000-0000780C0000}"/>
    <cellStyle name="Normal 2 4 17 11 2" xfId="21224" xr:uid="{00000000-0005-0000-0000-0000790C0000}"/>
    <cellStyle name="Normal 2 4 17 12" xfId="3334" xr:uid="{00000000-0005-0000-0000-00007A0C0000}"/>
    <cellStyle name="Normal 2 4 17 12 2" xfId="21225" xr:uid="{00000000-0005-0000-0000-00007B0C0000}"/>
    <cellStyle name="Normal 2 4 17 13" xfId="3335" xr:uid="{00000000-0005-0000-0000-00007C0C0000}"/>
    <cellStyle name="Normal 2 4 17 13 2" xfId="21226" xr:uid="{00000000-0005-0000-0000-00007D0C0000}"/>
    <cellStyle name="Normal 2 4 17 14" xfId="3336" xr:uid="{00000000-0005-0000-0000-00007E0C0000}"/>
    <cellStyle name="Normal 2 4 17 14 2" xfId="21227" xr:uid="{00000000-0005-0000-0000-00007F0C0000}"/>
    <cellStyle name="Normal 2 4 17 15" xfId="3337" xr:uid="{00000000-0005-0000-0000-0000800C0000}"/>
    <cellStyle name="Normal 2 4 17 15 2" xfId="21228" xr:uid="{00000000-0005-0000-0000-0000810C0000}"/>
    <cellStyle name="Normal 2 4 17 16" xfId="3338" xr:uid="{00000000-0005-0000-0000-0000820C0000}"/>
    <cellStyle name="Normal 2 4 17 16 2" xfId="21229" xr:uid="{00000000-0005-0000-0000-0000830C0000}"/>
    <cellStyle name="Normal 2 4 17 17" xfId="3339" xr:uid="{00000000-0005-0000-0000-0000840C0000}"/>
    <cellStyle name="Normal 2 4 17 17 2" xfId="21230" xr:uid="{00000000-0005-0000-0000-0000850C0000}"/>
    <cellStyle name="Normal 2 4 17 18" xfId="3340" xr:uid="{00000000-0005-0000-0000-0000860C0000}"/>
    <cellStyle name="Normal 2 4 17 18 2" xfId="21231" xr:uid="{00000000-0005-0000-0000-0000870C0000}"/>
    <cellStyle name="Normal 2 4 17 19" xfId="3341" xr:uid="{00000000-0005-0000-0000-0000880C0000}"/>
    <cellStyle name="Normal 2 4 17 19 2" xfId="21232" xr:uid="{00000000-0005-0000-0000-0000890C0000}"/>
    <cellStyle name="Normal 2 4 17 2" xfId="3342" xr:uid="{00000000-0005-0000-0000-00008A0C0000}"/>
    <cellStyle name="Normal 2 4 17 2 10" xfId="3343" xr:uid="{00000000-0005-0000-0000-00008B0C0000}"/>
    <cellStyle name="Normal 2 4 17 2 10 2" xfId="21234" xr:uid="{00000000-0005-0000-0000-00008C0C0000}"/>
    <cellStyle name="Normal 2 4 17 2 11" xfId="3344" xr:uid="{00000000-0005-0000-0000-00008D0C0000}"/>
    <cellStyle name="Normal 2 4 17 2 11 2" xfId="21235" xr:uid="{00000000-0005-0000-0000-00008E0C0000}"/>
    <cellStyle name="Normal 2 4 17 2 12" xfId="3345" xr:uid="{00000000-0005-0000-0000-00008F0C0000}"/>
    <cellStyle name="Normal 2 4 17 2 12 2" xfId="21236" xr:uid="{00000000-0005-0000-0000-0000900C0000}"/>
    <cellStyle name="Normal 2 4 17 2 13" xfId="3346" xr:uid="{00000000-0005-0000-0000-0000910C0000}"/>
    <cellStyle name="Normal 2 4 17 2 13 2" xfId="21237" xr:uid="{00000000-0005-0000-0000-0000920C0000}"/>
    <cellStyle name="Normal 2 4 17 2 14" xfId="3347" xr:uid="{00000000-0005-0000-0000-0000930C0000}"/>
    <cellStyle name="Normal 2 4 17 2 14 2" xfId="21238" xr:uid="{00000000-0005-0000-0000-0000940C0000}"/>
    <cellStyle name="Normal 2 4 17 2 15" xfId="3348" xr:uid="{00000000-0005-0000-0000-0000950C0000}"/>
    <cellStyle name="Normal 2 4 17 2 15 2" xfId="21239" xr:uid="{00000000-0005-0000-0000-0000960C0000}"/>
    <cellStyle name="Normal 2 4 17 2 16" xfId="21233" xr:uid="{00000000-0005-0000-0000-0000970C0000}"/>
    <cellStyle name="Normal 2 4 17 2 2" xfId="3349" xr:uid="{00000000-0005-0000-0000-0000980C0000}"/>
    <cellStyle name="Normal 2 4 17 2 2 10" xfId="3350" xr:uid="{00000000-0005-0000-0000-0000990C0000}"/>
    <cellStyle name="Normal 2 4 17 2 2 10 2" xfId="21241" xr:uid="{00000000-0005-0000-0000-00009A0C0000}"/>
    <cellStyle name="Normal 2 4 17 2 2 11" xfId="3351" xr:uid="{00000000-0005-0000-0000-00009B0C0000}"/>
    <cellStyle name="Normal 2 4 17 2 2 11 2" xfId="21242" xr:uid="{00000000-0005-0000-0000-00009C0C0000}"/>
    <cellStyle name="Normal 2 4 17 2 2 12" xfId="3352" xr:uid="{00000000-0005-0000-0000-00009D0C0000}"/>
    <cellStyle name="Normal 2 4 17 2 2 12 2" xfId="21243" xr:uid="{00000000-0005-0000-0000-00009E0C0000}"/>
    <cellStyle name="Normal 2 4 17 2 2 13" xfId="3353" xr:uid="{00000000-0005-0000-0000-00009F0C0000}"/>
    <cellStyle name="Normal 2 4 17 2 2 13 2" xfId="21244" xr:uid="{00000000-0005-0000-0000-0000A00C0000}"/>
    <cellStyle name="Normal 2 4 17 2 2 14" xfId="3354" xr:uid="{00000000-0005-0000-0000-0000A10C0000}"/>
    <cellStyle name="Normal 2 4 17 2 2 14 2" xfId="21245" xr:uid="{00000000-0005-0000-0000-0000A20C0000}"/>
    <cellStyle name="Normal 2 4 17 2 2 15" xfId="21240" xr:uid="{00000000-0005-0000-0000-0000A30C0000}"/>
    <cellStyle name="Normal 2 4 17 2 2 2" xfId="3355" xr:uid="{00000000-0005-0000-0000-0000A40C0000}"/>
    <cellStyle name="Normal 2 4 17 2 2 2 2" xfId="21246" xr:uid="{00000000-0005-0000-0000-0000A50C0000}"/>
    <cellStyle name="Normal 2 4 17 2 2 3" xfId="3356" xr:uid="{00000000-0005-0000-0000-0000A60C0000}"/>
    <cellStyle name="Normal 2 4 17 2 2 3 2" xfId="21247" xr:uid="{00000000-0005-0000-0000-0000A70C0000}"/>
    <cellStyle name="Normal 2 4 17 2 2 4" xfId="3357" xr:uid="{00000000-0005-0000-0000-0000A80C0000}"/>
    <cellStyle name="Normal 2 4 17 2 2 4 2" xfId="21248" xr:uid="{00000000-0005-0000-0000-0000A90C0000}"/>
    <cellStyle name="Normal 2 4 17 2 2 5" xfId="3358" xr:uid="{00000000-0005-0000-0000-0000AA0C0000}"/>
    <cellStyle name="Normal 2 4 17 2 2 5 2" xfId="21249" xr:uid="{00000000-0005-0000-0000-0000AB0C0000}"/>
    <cellStyle name="Normal 2 4 17 2 2 6" xfId="3359" xr:uid="{00000000-0005-0000-0000-0000AC0C0000}"/>
    <cellStyle name="Normal 2 4 17 2 2 6 2" xfId="21250" xr:uid="{00000000-0005-0000-0000-0000AD0C0000}"/>
    <cellStyle name="Normal 2 4 17 2 2 7" xfId="3360" xr:uid="{00000000-0005-0000-0000-0000AE0C0000}"/>
    <cellStyle name="Normal 2 4 17 2 2 7 2" xfId="21251" xr:uid="{00000000-0005-0000-0000-0000AF0C0000}"/>
    <cellStyle name="Normal 2 4 17 2 2 8" xfId="3361" xr:uid="{00000000-0005-0000-0000-0000B00C0000}"/>
    <cellStyle name="Normal 2 4 17 2 2 8 2" xfId="21252" xr:uid="{00000000-0005-0000-0000-0000B10C0000}"/>
    <cellStyle name="Normal 2 4 17 2 2 9" xfId="3362" xr:uid="{00000000-0005-0000-0000-0000B20C0000}"/>
    <cellStyle name="Normal 2 4 17 2 2 9 2" xfId="21253" xr:uid="{00000000-0005-0000-0000-0000B30C0000}"/>
    <cellStyle name="Normal 2 4 17 2 3" xfId="3363" xr:uid="{00000000-0005-0000-0000-0000B40C0000}"/>
    <cellStyle name="Normal 2 4 17 2 3 2" xfId="21254" xr:uid="{00000000-0005-0000-0000-0000B50C0000}"/>
    <cellStyle name="Normal 2 4 17 2 4" xfId="3364" xr:uid="{00000000-0005-0000-0000-0000B60C0000}"/>
    <cellStyle name="Normal 2 4 17 2 4 2" xfId="21255" xr:uid="{00000000-0005-0000-0000-0000B70C0000}"/>
    <cellStyle name="Normal 2 4 17 2 5" xfId="3365" xr:uid="{00000000-0005-0000-0000-0000B80C0000}"/>
    <cellStyle name="Normal 2 4 17 2 5 2" xfId="21256" xr:uid="{00000000-0005-0000-0000-0000B90C0000}"/>
    <cellStyle name="Normal 2 4 17 2 6" xfId="3366" xr:uid="{00000000-0005-0000-0000-0000BA0C0000}"/>
    <cellStyle name="Normal 2 4 17 2 6 2" xfId="21257" xr:uid="{00000000-0005-0000-0000-0000BB0C0000}"/>
    <cellStyle name="Normal 2 4 17 2 7" xfId="3367" xr:uid="{00000000-0005-0000-0000-0000BC0C0000}"/>
    <cellStyle name="Normal 2 4 17 2 7 2" xfId="21258" xr:uid="{00000000-0005-0000-0000-0000BD0C0000}"/>
    <cellStyle name="Normal 2 4 17 2 8" xfId="3368" xr:uid="{00000000-0005-0000-0000-0000BE0C0000}"/>
    <cellStyle name="Normal 2 4 17 2 8 2" xfId="21259" xr:uid="{00000000-0005-0000-0000-0000BF0C0000}"/>
    <cellStyle name="Normal 2 4 17 2 9" xfId="3369" xr:uid="{00000000-0005-0000-0000-0000C00C0000}"/>
    <cellStyle name="Normal 2 4 17 2 9 2" xfId="21260" xr:uid="{00000000-0005-0000-0000-0000C10C0000}"/>
    <cellStyle name="Normal 2 4 17 20" xfId="3370" xr:uid="{00000000-0005-0000-0000-0000C20C0000}"/>
    <cellStyle name="Normal 2 4 17 20 2" xfId="21261" xr:uid="{00000000-0005-0000-0000-0000C30C0000}"/>
    <cellStyle name="Normal 2 4 17 21" xfId="3371" xr:uid="{00000000-0005-0000-0000-0000C40C0000}"/>
    <cellStyle name="Normal 2 4 17 21 2" xfId="21262" xr:uid="{00000000-0005-0000-0000-0000C50C0000}"/>
    <cellStyle name="Normal 2 4 17 22" xfId="3372" xr:uid="{00000000-0005-0000-0000-0000C60C0000}"/>
    <cellStyle name="Normal 2 4 17 22 2" xfId="21263" xr:uid="{00000000-0005-0000-0000-0000C70C0000}"/>
    <cellStyle name="Normal 2 4 17 23" xfId="3373" xr:uid="{00000000-0005-0000-0000-0000C80C0000}"/>
    <cellStyle name="Normal 2 4 17 23 2" xfId="21264" xr:uid="{00000000-0005-0000-0000-0000C90C0000}"/>
    <cellStyle name="Normal 2 4 17 24" xfId="21209" xr:uid="{00000000-0005-0000-0000-0000CA0C0000}"/>
    <cellStyle name="Normal 2 4 17 3" xfId="3374" xr:uid="{00000000-0005-0000-0000-0000CB0C0000}"/>
    <cellStyle name="Normal 2 4 17 3 10" xfId="3375" xr:uid="{00000000-0005-0000-0000-0000CC0C0000}"/>
    <cellStyle name="Normal 2 4 17 3 10 2" xfId="21266" xr:uid="{00000000-0005-0000-0000-0000CD0C0000}"/>
    <cellStyle name="Normal 2 4 17 3 11" xfId="3376" xr:uid="{00000000-0005-0000-0000-0000CE0C0000}"/>
    <cellStyle name="Normal 2 4 17 3 11 2" xfId="21267" xr:uid="{00000000-0005-0000-0000-0000CF0C0000}"/>
    <cellStyle name="Normal 2 4 17 3 12" xfId="3377" xr:uid="{00000000-0005-0000-0000-0000D00C0000}"/>
    <cellStyle name="Normal 2 4 17 3 12 2" xfId="21268" xr:uid="{00000000-0005-0000-0000-0000D10C0000}"/>
    <cellStyle name="Normal 2 4 17 3 13" xfId="3378" xr:uid="{00000000-0005-0000-0000-0000D20C0000}"/>
    <cellStyle name="Normal 2 4 17 3 13 2" xfId="21269" xr:uid="{00000000-0005-0000-0000-0000D30C0000}"/>
    <cellStyle name="Normal 2 4 17 3 14" xfId="3379" xr:uid="{00000000-0005-0000-0000-0000D40C0000}"/>
    <cellStyle name="Normal 2 4 17 3 14 2" xfId="21270" xr:uid="{00000000-0005-0000-0000-0000D50C0000}"/>
    <cellStyle name="Normal 2 4 17 3 15" xfId="3380" xr:uid="{00000000-0005-0000-0000-0000D60C0000}"/>
    <cellStyle name="Normal 2 4 17 3 15 2" xfId="21271" xr:uid="{00000000-0005-0000-0000-0000D70C0000}"/>
    <cellStyle name="Normal 2 4 17 3 16" xfId="21265" xr:uid="{00000000-0005-0000-0000-0000D80C0000}"/>
    <cellStyle name="Normal 2 4 17 3 2" xfId="3381" xr:uid="{00000000-0005-0000-0000-0000D90C0000}"/>
    <cellStyle name="Normal 2 4 17 3 2 10" xfId="3382" xr:uid="{00000000-0005-0000-0000-0000DA0C0000}"/>
    <cellStyle name="Normal 2 4 17 3 2 10 2" xfId="21273" xr:uid="{00000000-0005-0000-0000-0000DB0C0000}"/>
    <cellStyle name="Normal 2 4 17 3 2 11" xfId="3383" xr:uid="{00000000-0005-0000-0000-0000DC0C0000}"/>
    <cellStyle name="Normal 2 4 17 3 2 11 2" xfId="21274" xr:uid="{00000000-0005-0000-0000-0000DD0C0000}"/>
    <cellStyle name="Normal 2 4 17 3 2 12" xfId="3384" xr:uid="{00000000-0005-0000-0000-0000DE0C0000}"/>
    <cellStyle name="Normal 2 4 17 3 2 12 2" xfId="21275" xr:uid="{00000000-0005-0000-0000-0000DF0C0000}"/>
    <cellStyle name="Normal 2 4 17 3 2 13" xfId="3385" xr:uid="{00000000-0005-0000-0000-0000E00C0000}"/>
    <cellStyle name="Normal 2 4 17 3 2 13 2" xfId="21276" xr:uid="{00000000-0005-0000-0000-0000E10C0000}"/>
    <cellStyle name="Normal 2 4 17 3 2 14" xfId="3386" xr:uid="{00000000-0005-0000-0000-0000E20C0000}"/>
    <cellStyle name="Normal 2 4 17 3 2 14 2" xfId="21277" xr:uid="{00000000-0005-0000-0000-0000E30C0000}"/>
    <cellStyle name="Normal 2 4 17 3 2 15" xfId="21272" xr:uid="{00000000-0005-0000-0000-0000E40C0000}"/>
    <cellStyle name="Normal 2 4 17 3 2 2" xfId="3387" xr:uid="{00000000-0005-0000-0000-0000E50C0000}"/>
    <cellStyle name="Normal 2 4 17 3 2 2 2" xfId="21278" xr:uid="{00000000-0005-0000-0000-0000E60C0000}"/>
    <cellStyle name="Normal 2 4 17 3 2 3" xfId="3388" xr:uid="{00000000-0005-0000-0000-0000E70C0000}"/>
    <cellStyle name="Normal 2 4 17 3 2 3 2" xfId="21279" xr:uid="{00000000-0005-0000-0000-0000E80C0000}"/>
    <cellStyle name="Normal 2 4 17 3 2 4" xfId="3389" xr:uid="{00000000-0005-0000-0000-0000E90C0000}"/>
    <cellStyle name="Normal 2 4 17 3 2 4 2" xfId="21280" xr:uid="{00000000-0005-0000-0000-0000EA0C0000}"/>
    <cellStyle name="Normal 2 4 17 3 2 5" xfId="3390" xr:uid="{00000000-0005-0000-0000-0000EB0C0000}"/>
    <cellStyle name="Normal 2 4 17 3 2 5 2" xfId="21281" xr:uid="{00000000-0005-0000-0000-0000EC0C0000}"/>
    <cellStyle name="Normal 2 4 17 3 2 6" xfId="3391" xr:uid="{00000000-0005-0000-0000-0000ED0C0000}"/>
    <cellStyle name="Normal 2 4 17 3 2 6 2" xfId="21282" xr:uid="{00000000-0005-0000-0000-0000EE0C0000}"/>
    <cellStyle name="Normal 2 4 17 3 2 7" xfId="3392" xr:uid="{00000000-0005-0000-0000-0000EF0C0000}"/>
    <cellStyle name="Normal 2 4 17 3 2 7 2" xfId="21283" xr:uid="{00000000-0005-0000-0000-0000F00C0000}"/>
    <cellStyle name="Normal 2 4 17 3 2 8" xfId="3393" xr:uid="{00000000-0005-0000-0000-0000F10C0000}"/>
    <cellStyle name="Normal 2 4 17 3 2 8 2" xfId="21284" xr:uid="{00000000-0005-0000-0000-0000F20C0000}"/>
    <cellStyle name="Normal 2 4 17 3 2 9" xfId="3394" xr:uid="{00000000-0005-0000-0000-0000F30C0000}"/>
    <cellStyle name="Normal 2 4 17 3 2 9 2" xfId="21285" xr:uid="{00000000-0005-0000-0000-0000F40C0000}"/>
    <cellStyle name="Normal 2 4 17 3 3" xfId="3395" xr:uid="{00000000-0005-0000-0000-0000F50C0000}"/>
    <cellStyle name="Normal 2 4 17 3 3 2" xfId="21286" xr:uid="{00000000-0005-0000-0000-0000F60C0000}"/>
    <cellStyle name="Normal 2 4 17 3 4" xfId="3396" xr:uid="{00000000-0005-0000-0000-0000F70C0000}"/>
    <cellStyle name="Normal 2 4 17 3 4 2" xfId="21287" xr:uid="{00000000-0005-0000-0000-0000F80C0000}"/>
    <cellStyle name="Normal 2 4 17 3 5" xfId="3397" xr:uid="{00000000-0005-0000-0000-0000F90C0000}"/>
    <cellStyle name="Normal 2 4 17 3 5 2" xfId="21288" xr:uid="{00000000-0005-0000-0000-0000FA0C0000}"/>
    <cellStyle name="Normal 2 4 17 3 6" xfId="3398" xr:uid="{00000000-0005-0000-0000-0000FB0C0000}"/>
    <cellStyle name="Normal 2 4 17 3 6 2" xfId="21289" xr:uid="{00000000-0005-0000-0000-0000FC0C0000}"/>
    <cellStyle name="Normal 2 4 17 3 7" xfId="3399" xr:uid="{00000000-0005-0000-0000-0000FD0C0000}"/>
    <cellStyle name="Normal 2 4 17 3 7 2" xfId="21290" xr:uid="{00000000-0005-0000-0000-0000FE0C0000}"/>
    <cellStyle name="Normal 2 4 17 3 8" xfId="3400" xr:uid="{00000000-0005-0000-0000-0000FF0C0000}"/>
    <cellStyle name="Normal 2 4 17 3 8 2" xfId="21291" xr:uid="{00000000-0005-0000-0000-0000000D0000}"/>
    <cellStyle name="Normal 2 4 17 3 9" xfId="3401" xr:uid="{00000000-0005-0000-0000-0000010D0000}"/>
    <cellStyle name="Normal 2 4 17 3 9 2" xfId="21292" xr:uid="{00000000-0005-0000-0000-0000020D0000}"/>
    <cellStyle name="Normal 2 4 17 4" xfId="3402" xr:uid="{00000000-0005-0000-0000-0000030D0000}"/>
    <cellStyle name="Normal 2 4 17 4 10" xfId="3403" xr:uid="{00000000-0005-0000-0000-0000040D0000}"/>
    <cellStyle name="Normal 2 4 17 4 10 2" xfId="21294" xr:uid="{00000000-0005-0000-0000-0000050D0000}"/>
    <cellStyle name="Normal 2 4 17 4 11" xfId="3404" xr:uid="{00000000-0005-0000-0000-0000060D0000}"/>
    <cellStyle name="Normal 2 4 17 4 11 2" xfId="21295" xr:uid="{00000000-0005-0000-0000-0000070D0000}"/>
    <cellStyle name="Normal 2 4 17 4 12" xfId="3405" xr:uid="{00000000-0005-0000-0000-0000080D0000}"/>
    <cellStyle name="Normal 2 4 17 4 12 2" xfId="21296" xr:uid="{00000000-0005-0000-0000-0000090D0000}"/>
    <cellStyle name="Normal 2 4 17 4 13" xfId="3406" xr:uid="{00000000-0005-0000-0000-00000A0D0000}"/>
    <cellStyle name="Normal 2 4 17 4 13 2" xfId="21297" xr:uid="{00000000-0005-0000-0000-00000B0D0000}"/>
    <cellStyle name="Normal 2 4 17 4 14" xfId="3407" xr:uid="{00000000-0005-0000-0000-00000C0D0000}"/>
    <cellStyle name="Normal 2 4 17 4 14 2" xfId="21298" xr:uid="{00000000-0005-0000-0000-00000D0D0000}"/>
    <cellStyle name="Normal 2 4 17 4 15" xfId="3408" xr:uid="{00000000-0005-0000-0000-00000E0D0000}"/>
    <cellStyle name="Normal 2 4 17 4 15 2" xfId="21299" xr:uid="{00000000-0005-0000-0000-00000F0D0000}"/>
    <cellStyle name="Normal 2 4 17 4 16" xfId="21293" xr:uid="{00000000-0005-0000-0000-0000100D0000}"/>
    <cellStyle name="Normal 2 4 17 4 2" xfId="3409" xr:uid="{00000000-0005-0000-0000-0000110D0000}"/>
    <cellStyle name="Normal 2 4 17 4 2 10" xfId="3410" xr:uid="{00000000-0005-0000-0000-0000120D0000}"/>
    <cellStyle name="Normal 2 4 17 4 2 10 2" xfId="21301" xr:uid="{00000000-0005-0000-0000-0000130D0000}"/>
    <cellStyle name="Normal 2 4 17 4 2 11" xfId="3411" xr:uid="{00000000-0005-0000-0000-0000140D0000}"/>
    <cellStyle name="Normal 2 4 17 4 2 11 2" xfId="21302" xr:uid="{00000000-0005-0000-0000-0000150D0000}"/>
    <cellStyle name="Normal 2 4 17 4 2 12" xfId="3412" xr:uid="{00000000-0005-0000-0000-0000160D0000}"/>
    <cellStyle name="Normal 2 4 17 4 2 12 2" xfId="21303" xr:uid="{00000000-0005-0000-0000-0000170D0000}"/>
    <cellStyle name="Normal 2 4 17 4 2 13" xfId="3413" xr:uid="{00000000-0005-0000-0000-0000180D0000}"/>
    <cellStyle name="Normal 2 4 17 4 2 13 2" xfId="21304" xr:uid="{00000000-0005-0000-0000-0000190D0000}"/>
    <cellStyle name="Normal 2 4 17 4 2 14" xfId="3414" xr:uid="{00000000-0005-0000-0000-00001A0D0000}"/>
    <cellStyle name="Normal 2 4 17 4 2 14 2" xfId="21305" xr:uid="{00000000-0005-0000-0000-00001B0D0000}"/>
    <cellStyle name="Normal 2 4 17 4 2 15" xfId="21300" xr:uid="{00000000-0005-0000-0000-00001C0D0000}"/>
    <cellStyle name="Normal 2 4 17 4 2 2" xfId="3415" xr:uid="{00000000-0005-0000-0000-00001D0D0000}"/>
    <cellStyle name="Normal 2 4 17 4 2 2 2" xfId="21306" xr:uid="{00000000-0005-0000-0000-00001E0D0000}"/>
    <cellStyle name="Normal 2 4 17 4 2 3" xfId="3416" xr:uid="{00000000-0005-0000-0000-00001F0D0000}"/>
    <cellStyle name="Normal 2 4 17 4 2 3 2" xfId="21307" xr:uid="{00000000-0005-0000-0000-0000200D0000}"/>
    <cellStyle name="Normal 2 4 17 4 2 4" xfId="3417" xr:uid="{00000000-0005-0000-0000-0000210D0000}"/>
    <cellStyle name="Normal 2 4 17 4 2 4 2" xfId="21308" xr:uid="{00000000-0005-0000-0000-0000220D0000}"/>
    <cellStyle name="Normal 2 4 17 4 2 5" xfId="3418" xr:uid="{00000000-0005-0000-0000-0000230D0000}"/>
    <cellStyle name="Normal 2 4 17 4 2 5 2" xfId="21309" xr:uid="{00000000-0005-0000-0000-0000240D0000}"/>
    <cellStyle name="Normal 2 4 17 4 2 6" xfId="3419" xr:uid="{00000000-0005-0000-0000-0000250D0000}"/>
    <cellStyle name="Normal 2 4 17 4 2 6 2" xfId="21310" xr:uid="{00000000-0005-0000-0000-0000260D0000}"/>
    <cellStyle name="Normal 2 4 17 4 2 7" xfId="3420" xr:uid="{00000000-0005-0000-0000-0000270D0000}"/>
    <cellStyle name="Normal 2 4 17 4 2 7 2" xfId="21311" xr:uid="{00000000-0005-0000-0000-0000280D0000}"/>
    <cellStyle name="Normal 2 4 17 4 2 8" xfId="3421" xr:uid="{00000000-0005-0000-0000-0000290D0000}"/>
    <cellStyle name="Normal 2 4 17 4 2 8 2" xfId="21312" xr:uid="{00000000-0005-0000-0000-00002A0D0000}"/>
    <cellStyle name="Normal 2 4 17 4 2 9" xfId="3422" xr:uid="{00000000-0005-0000-0000-00002B0D0000}"/>
    <cellStyle name="Normal 2 4 17 4 2 9 2" xfId="21313" xr:uid="{00000000-0005-0000-0000-00002C0D0000}"/>
    <cellStyle name="Normal 2 4 17 4 3" xfId="3423" xr:uid="{00000000-0005-0000-0000-00002D0D0000}"/>
    <cellStyle name="Normal 2 4 17 4 3 2" xfId="21314" xr:uid="{00000000-0005-0000-0000-00002E0D0000}"/>
    <cellStyle name="Normal 2 4 17 4 4" xfId="3424" xr:uid="{00000000-0005-0000-0000-00002F0D0000}"/>
    <cellStyle name="Normal 2 4 17 4 4 2" xfId="21315" xr:uid="{00000000-0005-0000-0000-0000300D0000}"/>
    <cellStyle name="Normal 2 4 17 4 5" xfId="3425" xr:uid="{00000000-0005-0000-0000-0000310D0000}"/>
    <cellStyle name="Normal 2 4 17 4 5 2" xfId="21316" xr:uid="{00000000-0005-0000-0000-0000320D0000}"/>
    <cellStyle name="Normal 2 4 17 4 6" xfId="3426" xr:uid="{00000000-0005-0000-0000-0000330D0000}"/>
    <cellStyle name="Normal 2 4 17 4 6 2" xfId="21317" xr:uid="{00000000-0005-0000-0000-0000340D0000}"/>
    <cellStyle name="Normal 2 4 17 4 7" xfId="3427" xr:uid="{00000000-0005-0000-0000-0000350D0000}"/>
    <cellStyle name="Normal 2 4 17 4 7 2" xfId="21318" xr:uid="{00000000-0005-0000-0000-0000360D0000}"/>
    <cellStyle name="Normal 2 4 17 4 8" xfId="3428" xr:uid="{00000000-0005-0000-0000-0000370D0000}"/>
    <cellStyle name="Normal 2 4 17 4 8 2" xfId="21319" xr:uid="{00000000-0005-0000-0000-0000380D0000}"/>
    <cellStyle name="Normal 2 4 17 4 9" xfId="3429" xr:uid="{00000000-0005-0000-0000-0000390D0000}"/>
    <cellStyle name="Normal 2 4 17 4 9 2" xfId="21320" xr:uid="{00000000-0005-0000-0000-00003A0D0000}"/>
    <cellStyle name="Normal 2 4 17 5" xfId="3430" xr:uid="{00000000-0005-0000-0000-00003B0D0000}"/>
    <cellStyle name="Normal 2 4 17 5 10" xfId="3431" xr:uid="{00000000-0005-0000-0000-00003C0D0000}"/>
    <cellStyle name="Normal 2 4 17 5 10 2" xfId="21322" xr:uid="{00000000-0005-0000-0000-00003D0D0000}"/>
    <cellStyle name="Normal 2 4 17 5 11" xfId="3432" xr:uid="{00000000-0005-0000-0000-00003E0D0000}"/>
    <cellStyle name="Normal 2 4 17 5 11 2" xfId="21323" xr:uid="{00000000-0005-0000-0000-00003F0D0000}"/>
    <cellStyle name="Normal 2 4 17 5 12" xfId="3433" xr:uid="{00000000-0005-0000-0000-0000400D0000}"/>
    <cellStyle name="Normal 2 4 17 5 12 2" xfId="21324" xr:uid="{00000000-0005-0000-0000-0000410D0000}"/>
    <cellStyle name="Normal 2 4 17 5 13" xfId="3434" xr:uid="{00000000-0005-0000-0000-0000420D0000}"/>
    <cellStyle name="Normal 2 4 17 5 13 2" xfId="21325" xr:uid="{00000000-0005-0000-0000-0000430D0000}"/>
    <cellStyle name="Normal 2 4 17 5 14" xfId="3435" xr:uid="{00000000-0005-0000-0000-0000440D0000}"/>
    <cellStyle name="Normal 2 4 17 5 14 2" xfId="21326" xr:uid="{00000000-0005-0000-0000-0000450D0000}"/>
    <cellStyle name="Normal 2 4 17 5 15" xfId="21321" xr:uid="{00000000-0005-0000-0000-0000460D0000}"/>
    <cellStyle name="Normal 2 4 17 5 2" xfId="3436" xr:uid="{00000000-0005-0000-0000-0000470D0000}"/>
    <cellStyle name="Normal 2 4 17 5 2 2" xfId="21327" xr:uid="{00000000-0005-0000-0000-0000480D0000}"/>
    <cellStyle name="Normal 2 4 17 5 3" xfId="3437" xr:uid="{00000000-0005-0000-0000-0000490D0000}"/>
    <cellStyle name="Normal 2 4 17 5 3 2" xfId="21328" xr:uid="{00000000-0005-0000-0000-00004A0D0000}"/>
    <cellStyle name="Normal 2 4 17 5 4" xfId="3438" xr:uid="{00000000-0005-0000-0000-00004B0D0000}"/>
    <cellStyle name="Normal 2 4 17 5 4 2" xfId="21329" xr:uid="{00000000-0005-0000-0000-00004C0D0000}"/>
    <cellStyle name="Normal 2 4 17 5 5" xfId="3439" xr:uid="{00000000-0005-0000-0000-00004D0D0000}"/>
    <cellStyle name="Normal 2 4 17 5 5 2" xfId="21330" xr:uid="{00000000-0005-0000-0000-00004E0D0000}"/>
    <cellStyle name="Normal 2 4 17 5 6" xfId="3440" xr:uid="{00000000-0005-0000-0000-00004F0D0000}"/>
    <cellStyle name="Normal 2 4 17 5 6 2" xfId="21331" xr:uid="{00000000-0005-0000-0000-0000500D0000}"/>
    <cellStyle name="Normal 2 4 17 5 7" xfId="3441" xr:uid="{00000000-0005-0000-0000-0000510D0000}"/>
    <cellStyle name="Normal 2 4 17 5 7 2" xfId="21332" xr:uid="{00000000-0005-0000-0000-0000520D0000}"/>
    <cellStyle name="Normal 2 4 17 5 8" xfId="3442" xr:uid="{00000000-0005-0000-0000-0000530D0000}"/>
    <cellStyle name="Normal 2 4 17 5 8 2" xfId="21333" xr:uid="{00000000-0005-0000-0000-0000540D0000}"/>
    <cellStyle name="Normal 2 4 17 5 9" xfId="3443" xr:uid="{00000000-0005-0000-0000-0000550D0000}"/>
    <cellStyle name="Normal 2 4 17 5 9 2" xfId="21334" xr:uid="{00000000-0005-0000-0000-0000560D0000}"/>
    <cellStyle name="Normal 2 4 17 6" xfId="3444" xr:uid="{00000000-0005-0000-0000-0000570D0000}"/>
    <cellStyle name="Normal 2 4 17 6 10" xfId="3445" xr:uid="{00000000-0005-0000-0000-0000580D0000}"/>
    <cellStyle name="Normal 2 4 17 6 10 2" xfId="21336" xr:uid="{00000000-0005-0000-0000-0000590D0000}"/>
    <cellStyle name="Normal 2 4 17 6 11" xfId="3446" xr:uid="{00000000-0005-0000-0000-00005A0D0000}"/>
    <cellStyle name="Normal 2 4 17 6 11 2" xfId="21337" xr:uid="{00000000-0005-0000-0000-00005B0D0000}"/>
    <cellStyle name="Normal 2 4 17 6 12" xfId="3447" xr:uid="{00000000-0005-0000-0000-00005C0D0000}"/>
    <cellStyle name="Normal 2 4 17 6 12 2" xfId="21338" xr:uid="{00000000-0005-0000-0000-00005D0D0000}"/>
    <cellStyle name="Normal 2 4 17 6 13" xfId="3448" xr:uid="{00000000-0005-0000-0000-00005E0D0000}"/>
    <cellStyle name="Normal 2 4 17 6 13 2" xfId="21339" xr:uid="{00000000-0005-0000-0000-00005F0D0000}"/>
    <cellStyle name="Normal 2 4 17 6 14" xfId="3449" xr:uid="{00000000-0005-0000-0000-0000600D0000}"/>
    <cellStyle name="Normal 2 4 17 6 14 2" xfId="21340" xr:uid="{00000000-0005-0000-0000-0000610D0000}"/>
    <cellStyle name="Normal 2 4 17 6 15" xfId="21335" xr:uid="{00000000-0005-0000-0000-0000620D0000}"/>
    <cellStyle name="Normal 2 4 17 6 2" xfId="3450" xr:uid="{00000000-0005-0000-0000-0000630D0000}"/>
    <cellStyle name="Normal 2 4 17 6 2 2" xfId="21341" xr:uid="{00000000-0005-0000-0000-0000640D0000}"/>
    <cellStyle name="Normal 2 4 17 6 3" xfId="3451" xr:uid="{00000000-0005-0000-0000-0000650D0000}"/>
    <cellStyle name="Normal 2 4 17 6 3 2" xfId="21342" xr:uid="{00000000-0005-0000-0000-0000660D0000}"/>
    <cellStyle name="Normal 2 4 17 6 4" xfId="3452" xr:uid="{00000000-0005-0000-0000-0000670D0000}"/>
    <cellStyle name="Normal 2 4 17 6 4 2" xfId="21343" xr:uid="{00000000-0005-0000-0000-0000680D0000}"/>
    <cellStyle name="Normal 2 4 17 6 5" xfId="3453" xr:uid="{00000000-0005-0000-0000-0000690D0000}"/>
    <cellStyle name="Normal 2 4 17 6 5 2" xfId="21344" xr:uid="{00000000-0005-0000-0000-00006A0D0000}"/>
    <cellStyle name="Normal 2 4 17 6 6" xfId="3454" xr:uid="{00000000-0005-0000-0000-00006B0D0000}"/>
    <cellStyle name="Normal 2 4 17 6 6 2" xfId="21345" xr:uid="{00000000-0005-0000-0000-00006C0D0000}"/>
    <cellStyle name="Normal 2 4 17 6 7" xfId="3455" xr:uid="{00000000-0005-0000-0000-00006D0D0000}"/>
    <cellStyle name="Normal 2 4 17 6 7 2" xfId="21346" xr:uid="{00000000-0005-0000-0000-00006E0D0000}"/>
    <cellStyle name="Normal 2 4 17 6 8" xfId="3456" xr:uid="{00000000-0005-0000-0000-00006F0D0000}"/>
    <cellStyle name="Normal 2 4 17 6 8 2" xfId="21347" xr:uid="{00000000-0005-0000-0000-0000700D0000}"/>
    <cellStyle name="Normal 2 4 17 6 9" xfId="3457" xr:uid="{00000000-0005-0000-0000-0000710D0000}"/>
    <cellStyle name="Normal 2 4 17 6 9 2" xfId="21348" xr:uid="{00000000-0005-0000-0000-0000720D0000}"/>
    <cellStyle name="Normal 2 4 17 7" xfId="3458" xr:uid="{00000000-0005-0000-0000-0000730D0000}"/>
    <cellStyle name="Normal 2 4 17 7 10" xfId="3459" xr:uid="{00000000-0005-0000-0000-0000740D0000}"/>
    <cellStyle name="Normal 2 4 17 7 10 2" xfId="21350" xr:uid="{00000000-0005-0000-0000-0000750D0000}"/>
    <cellStyle name="Normal 2 4 17 7 11" xfId="3460" xr:uid="{00000000-0005-0000-0000-0000760D0000}"/>
    <cellStyle name="Normal 2 4 17 7 11 2" xfId="21351" xr:uid="{00000000-0005-0000-0000-0000770D0000}"/>
    <cellStyle name="Normal 2 4 17 7 12" xfId="3461" xr:uid="{00000000-0005-0000-0000-0000780D0000}"/>
    <cellStyle name="Normal 2 4 17 7 12 2" xfId="21352" xr:uid="{00000000-0005-0000-0000-0000790D0000}"/>
    <cellStyle name="Normal 2 4 17 7 13" xfId="3462" xr:uid="{00000000-0005-0000-0000-00007A0D0000}"/>
    <cellStyle name="Normal 2 4 17 7 13 2" xfId="21353" xr:uid="{00000000-0005-0000-0000-00007B0D0000}"/>
    <cellStyle name="Normal 2 4 17 7 14" xfId="3463" xr:uid="{00000000-0005-0000-0000-00007C0D0000}"/>
    <cellStyle name="Normal 2 4 17 7 14 2" xfId="21354" xr:uid="{00000000-0005-0000-0000-00007D0D0000}"/>
    <cellStyle name="Normal 2 4 17 7 15" xfId="21349" xr:uid="{00000000-0005-0000-0000-00007E0D0000}"/>
    <cellStyle name="Normal 2 4 17 7 2" xfId="3464" xr:uid="{00000000-0005-0000-0000-00007F0D0000}"/>
    <cellStyle name="Normal 2 4 17 7 2 2" xfId="21355" xr:uid="{00000000-0005-0000-0000-0000800D0000}"/>
    <cellStyle name="Normal 2 4 17 7 3" xfId="3465" xr:uid="{00000000-0005-0000-0000-0000810D0000}"/>
    <cellStyle name="Normal 2 4 17 7 3 2" xfId="21356" xr:uid="{00000000-0005-0000-0000-0000820D0000}"/>
    <cellStyle name="Normal 2 4 17 7 4" xfId="3466" xr:uid="{00000000-0005-0000-0000-0000830D0000}"/>
    <cellStyle name="Normal 2 4 17 7 4 2" xfId="21357" xr:uid="{00000000-0005-0000-0000-0000840D0000}"/>
    <cellStyle name="Normal 2 4 17 7 5" xfId="3467" xr:uid="{00000000-0005-0000-0000-0000850D0000}"/>
    <cellStyle name="Normal 2 4 17 7 5 2" xfId="21358" xr:uid="{00000000-0005-0000-0000-0000860D0000}"/>
    <cellStyle name="Normal 2 4 17 7 6" xfId="3468" xr:uid="{00000000-0005-0000-0000-0000870D0000}"/>
    <cellStyle name="Normal 2 4 17 7 6 2" xfId="21359" xr:uid="{00000000-0005-0000-0000-0000880D0000}"/>
    <cellStyle name="Normal 2 4 17 7 7" xfId="3469" xr:uid="{00000000-0005-0000-0000-0000890D0000}"/>
    <cellStyle name="Normal 2 4 17 7 7 2" xfId="21360" xr:uid="{00000000-0005-0000-0000-00008A0D0000}"/>
    <cellStyle name="Normal 2 4 17 7 8" xfId="3470" xr:uid="{00000000-0005-0000-0000-00008B0D0000}"/>
    <cellStyle name="Normal 2 4 17 7 8 2" xfId="21361" xr:uid="{00000000-0005-0000-0000-00008C0D0000}"/>
    <cellStyle name="Normal 2 4 17 7 9" xfId="3471" xr:uid="{00000000-0005-0000-0000-00008D0D0000}"/>
    <cellStyle name="Normal 2 4 17 7 9 2" xfId="21362" xr:uid="{00000000-0005-0000-0000-00008E0D0000}"/>
    <cellStyle name="Normal 2 4 17 8" xfId="3472" xr:uid="{00000000-0005-0000-0000-00008F0D0000}"/>
    <cellStyle name="Normal 2 4 17 8 10" xfId="3473" xr:uid="{00000000-0005-0000-0000-0000900D0000}"/>
    <cellStyle name="Normal 2 4 17 8 10 2" xfId="21364" xr:uid="{00000000-0005-0000-0000-0000910D0000}"/>
    <cellStyle name="Normal 2 4 17 8 11" xfId="3474" xr:uid="{00000000-0005-0000-0000-0000920D0000}"/>
    <cellStyle name="Normal 2 4 17 8 11 2" xfId="21365" xr:uid="{00000000-0005-0000-0000-0000930D0000}"/>
    <cellStyle name="Normal 2 4 17 8 12" xfId="3475" xr:uid="{00000000-0005-0000-0000-0000940D0000}"/>
    <cellStyle name="Normal 2 4 17 8 12 2" xfId="21366" xr:uid="{00000000-0005-0000-0000-0000950D0000}"/>
    <cellStyle name="Normal 2 4 17 8 13" xfId="3476" xr:uid="{00000000-0005-0000-0000-0000960D0000}"/>
    <cellStyle name="Normal 2 4 17 8 13 2" xfId="21367" xr:uid="{00000000-0005-0000-0000-0000970D0000}"/>
    <cellStyle name="Normal 2 4 17 8 14" xfId="3477" xr:uid="{00000000-0005-0000-0000-0000980D0000}"/>
    <cellStyle name="Normal 2 4 17 8 14 2" xfId="21368" xr:uid="{00000000-0005-0000-0000-0000990D0000}"/>
    <cellStyle name="Normal 2 4 17 8 15" xfId="21363" xr:uid="{00000000-0005-0000-0000-00009A0D0000}"/>
    <cellStyle name="Normal 2 4 17 8 2" xfId="3478" xr:uid="{00000000-0005-0000-0000-00009B0D0000}"/>
    <cellStyle name="Normal 2 4 17 8 2 2" xfId="21369" xr:uid="{00000000-0005-0000-0000-00009C0D0000}"/>
    <cellStyle name="Normal 2 4 17 8 3" xfId="3479" xr:uid="{00000000-0005-0000-0000-00009D0D0000}"/>
    <cellStyle name="Normal 2 4 17 8 3 2" xfId="21370" xr:uid="{00000000-0005-0000-0000-00009E0D0000}"/>
    <cellStyle name="Normal 2 4 17 8 4" xfId="3480" xr:uid="{00000000-0005-0000-0000-00009F0D0000}"/>
    <cellStyle name="Normal 2 4 17 8 4 2" xfId="21371" xr:uid="{00000000-0005-0000-0000-0000A00D0000}"/>
    <cellStyle name="Normal 2 4 17 8 5" xfId="3481" xr:uid="{00000000-0005-0000-0000-0000A10D0000}"/>
    <cellStyle name="Normal 2 4 17 8 5 2" xfId="21372" xr:uid="{00000000-0005-0000-0000-0000A20D0000}"/>
    <cellStyle name="Normal 2 4 17 8 6" xfId="3482" xr:uid="{00000000-0005-0000-0000-0000A30D0000}"/>
    <cellStyle name="Normal 2 4 17 8 6 2" xfId="21373" xr:uid="{00000000-0005-0000-0000-0000A40D0000}"/>
    <cellStyle name="Normal 2 4 17 8 7" xfId="3483" xr:uid="{00000000-0005-0000-0000-0000A50D0000}"/>
    <cellStyle name="Normal 2 4 17 8 7 2" xfId="21374" xr:uid="{00000000-0005-0000-0000-0000A60D0000}"/>
    <cellStyle name="Normal 2 4 17 8 8" xfId="3484" xr:uid="{00000000-0005-0000-0000-0000A70D0000}"/>
    <cellStyle name="Normal 2 4 17 8 8 2" xfId="21375" xr:uid="{00000000-0005-0000-0000-0000A80D0000}"/>
    <cellStyle name="Normal 2 4 17 8 9" xfId="3485" xr:uid="{00000000-0005-0000-0000-0000A90D0000}"/>
    <cellStyle name="Normal 2 4 17 8 9 2" xfId="21376" xr:uid="{00000000-0005-0000-0000-0000AA0D0000}"/>
    <cellStyle name="Normal 2 4 17 9" xfId="3486" xr:uid="{00000000-0005-0000-0000-0000AB0D0000}"/>
    <cellStyle name="Normal 2 4 17 9 10" xfId="3487" xr:uid="{00000000-0005-0000-0000-0000AC0D0000}"/>
    <cellStyle name="Normal 2 4 17 9 10 2" xfId="21378" xr:uid="{00000000-0005-0000-0000-0000AD0D0000}"/>
    <cellStyle name="Normal 2 4 17 9 11" xfId="3488" xr:uid="{00000000-0005-0000-0000-0000AE0D0000}"/>
    <cellStyle name="Normal 2 4 17 9 11 2" xfId="21379" xr:uid="{00000000-0005-0000-0000-0000AF0D0000}"/>
    <cellStyle name="Normal 2 4 17 9 12" xfId="3489" xr:uid="{00000000-0005-0000-0000-0000B00D0000}"/>
    <cellStyle name="Normal 2 4 17 9 12 2" xfId="21380" xr:uid="{00000000-0005-0000-0000-0000B10D0000}"/>
    <cellStyle name="Normal 2 4 17 9 13" xfId="3490" xr:uid="{00000000-0005-0000-0000-0000B20D0000}"/>
    <cellStyle name="Normal 2 4 17 9 13 2" xfId="21381" xr:uid="{00000000-0005-0000-0000-0000B30D0000}"/>
    <cellStyle name="Normal 2 4 17 9 14" xfId="3491" xr:uid="{00000000-0005-0000-0000-0000B40D0000}"/>
    <cellStyle name="Normal 2 4 17 9 14 2" xfId="21382" xr:uid="{00000000-0005-0000-0000-0000B50D0000}"/>
    <cellStyle name="Normal 2 4 17 9 15" xfId="21377" xr:uid="{00000000-0005-0000-0000-0000B60D0000}"/>
    <cellStyle name="Normal 2 4 17 9 2" xfId="3492" xr:uid="{00000000-0005-0000-0000-0000B70D0000}"/>
    <cellStyle name="Normal 2 4 17 9 2 2" xfId="21383" xr:uid="{00000000-0005-0000-0000-0000B80D0000}"/>
    <cellStyle name="Normal 2 4 17 9 3" xfId="3493" xr:uid="{00000000-0005-0000-0000-0000B90D0000}"/>
    <cellStyle name="Normal 2 4 17 9 3 2" xfId="21384" xr:uid="{00000000-0005-0000-0000-0000BA0D0000}"/>
    <cellStyle name="Normal 2 4 17 9 4" xfId="3494" xr:uid="{00000000-0005-0000-0000-0000BB0D0000}"/>
    <cellStyle name="Normal 2 4 17 9 4 2" xfId="21385" xr:uid="{00000000-0005-0000-0000-0000BC0D0000}"/>
    <cellStyle name="Normal 2 4 17 9 5" xfId="3495" xr:uid="{00000000-0005-0000-0000-0000BD0D0000}"/>
    <cellStyle name="Normal 2 4 17 9 5 2" xfId="21386" xr:uid="{00000000-0005-0000-0000-0000BE0D0000}"/>
    <cellStyle name="Normal 2 4 17 9 6" xfId="3496" xr:uid="{00000000-0005-0000-0000-0000BF0D0000}"/>
    <cellStyle name="Normal 2 4 17 9 6 2" xfId="21387" xr:uid="{00000000-0005-0000-0000-0000C00D0000}"/>
    <cellStyle name="Normal 2 4 17 9 7" xfId="3497" xr:uid="{00000000-0005-0000-0000-0000C10D0000}"/>
    <cellStyle name="Normal 2 4 17 9 7 2" xfId="21388" xr:uid="{00000000-0005-0000-0000-0000C20D0000}"/>
    <cellStyle name="Normal 2 4 17 9 8" xfId="3498" xr:uid="{00000000-0005-0000-0000-0000C30D0000}"/>
    <cellStyle name="Normal 2 4 17 9 8 2" xfId="21389" xr:uid="{00000000-0005-0000-0000-0000C40D0000}"/>
    <cellStyle name="Normal 2 4 17 9 9" xfId="3499" xr:uid="{00000000-0005-0000-0000-0000C50D0000}"/>
    <cellStyle name="Normal 2 4 17 9 9 2" xfId="21390" xr:uid="{00000000-0005-0000-0000-0000C60D0000}"/>
    <cellStyle name="Normal 2 4 18" xfId="3500" xr:uid="{00000000-0005-0000-0000-0000C70D0000}"/>
    <cellStyle name="Normal 2 4 18 10" xfId="3501" xr:uid="{00000000-0005-0000-0000-0000C80D0000}"/>
    <cellStyle name="Normal 2 4 18 10 10" xfId="3502" xr:uid="{00000000-0005-0000-0000-0000C90D0000}"/>
    <cellStyle name="Normal 2 4 18 10 10 2" xfId="21393" xr:uid="{00000000-0005-0000-0000-0000CA0D0000}"/>
    <cellStyle name="Normal 2 4 18 10 11" xfId="3503" xr:uid="{00000000-0005-0000-0000-0000CB0D0000}"/>
    <cellStyle name="Normal 2 4 18 10 11 2" xfId="21394" xr:uid="{00000000-0005-0000-0000-0000CC0D0000}"/>
    <cellStyle name="Normal 2 4 18 10 12" xfId="3504" xr:uid="{00000000-0005-0000-0000-0000CD0D0000}"/>
    <cellStyle name="Normal 2 4 18 10 12 2" xfId="21395" xr:uid="{00000000-0005-0000-0000-0000CE0D0000}"/>
    <cellStyle name="Normal 2 4 18 10 13" xfId="3505" xr:uid="{00000000-0005-0000-0000-0000CF0D0000}"/>
    <cellStyle name="Normal 2 4 18 10 13 2" xfId="21396" xr:uid="{00000000-0005-0000-0000-0000D00D0000}"/>
    <cellStyle name="Normal 2 4 18 10 14" xfId="3506" xr:uid="{00000000-0005-0000-0000-0000D10D0000}"/>
    <cellStyle name="Normal 2 4 18 10 14 2" xfId="21397" xr:uid="{00000000-0005-0000-0000-0000D20D0000}"/>
    <cellStyle name="Normal 2 4 18 10 15" xfId="21392" xr:uid="{00000000-0005-0000-0000-0000D30D0000}"/>
    <cellStyle name="Normal 2 4 18 10 2" xfId="3507" xr:uid="{00000000-0005-0000-0000-0000D40D0000}"/>
    <cellStyle name="Normal 2 4 18 10 2 2" xfId="21398" xr:uid="{00000000-0005-0000-0000-0000D50D0000}"/>
    <cellStyle name="Normal 2 4 18 10 3" xfId="3508" xr:uid="{00000000-0005-0000-0000-0000D60D0000}"/>
    <cellStyle name="Normal 2 4 18 10 3 2" xfId="21399" xr:uid="{00000000-0005-0000-0000-0000D70D0000}"/>
    <cellStyle name="Normal 2 4 18 10 4" xfId="3509" xr:uid="{00000000-0005-0000-0000-0000D80D0000}"/>
    <cellStyle name="Normal 2 4 18 10 4 2" xfId="21400" xr:uid="{00000000-0005-0000-0000-0000D90D0000}"/>
    <cellStyle name="Normal 2 4 18 10 5" xfId="3510" xr:uid="{00000000-0005-0000-0000-0000DA0D0000}"/>
    <cellStyle name="Normal 2 4 18 10 5 2" xfId="21401" xr:uid="{00000000-0005-0000-0000-0000DB0D0000}"/>
    <cellStyle name="Normal 2 4 18 10 6" xfId="3511" xr:uid="{00000000-0005-0000-0000-0000DC0D0000}"/>
    <cellStyle name="Normal 2 4 18 10 6 2" xfId="21402" xr:uid="{00000000-0005-0000-0000-0000DD0D0000}"/>
    <cellStyle name="Normal 2 4 18 10 7" xfId="3512" xr:uid="{00000000-0005-0000-0000-0000DE0D0000}"/>
    <cellStyle name="Normal 2 4 18 10 7 2" xfId="21403" xr:uid="{00000000-0005-0000-0000-0000DF0D0000}"/>
    <cellStyle name="Normal 2 4 18 10 8" xfId="3513" xr:uid="{00000000-0005-0000-0000-0000E00D0000}"/>
    <cellStyle name="Normal 2 4 18 10 8 2" xfId="21404" xr:uid="{00000000-0005-0000-0000-0000E10D0000}"/>
    <cellStyle name="Normal 2 4 18 10 9" xfId="3514" xr:uid="{00000000-0005-0000-0000-0000E20D0000}"/>
    <cellStyle name="Normal 2 4 18 10 9 2" xfId="21405" xr:uid="{00000000-0005-0000-0000-0000E30D0000}"/>
    <cellStyle name="Normal 2 4 18 11" xfId="3515" xr:uid="{00000000-0005-0000-0000-0000E40D0000}"/>
    <cellStyle name="Normal 2 4 18 11 2" xfId="21406" xr:uid="{00000000-0005-0000-0000-0000E50D0000}"/>
    <cellStyle name="Normal 2 4 18 12" xfId="3516" xr:uid="{00000000-0005-0000-0000-0000E60D0000}"/>
    <cellStyle name="Normal 2 4 18 12 2" xfId="21407" xr:uid="{00000000-0005-0000-0000-0000E70D0000}"/>
    <cellStyle name="Normal 2 4 18 13" xfId="3517" xr:uid="{00000000-0005-0000-0000-0000E80D0000}"/>
    <cellStyle name="Normal 2 4 18 13 2" xfId="21408" xr:uid="{00000000-0005-0000-0000-0000E90D0000}"/>
    <cellStyle name="Normal 2 4 18 14" xfId="3518" xr:uid="{00000000-0005-0000-0000-0000EA0D0000}"/>
    <cellStyle name="Normal 2 4 18 14 2" xfId="21409" xr:uid="{00000000-0005-0000-0000-0000EB0D0000}"/>
    <cellStyle name="Normal 2 4 18 15" xfId="3519" xr:uid="{00000000-0005-0000-0000-0000EC0D0000}"/>
    <cellStyle name="Normal 2 4 18 15 2" xfId="21410" xr:uid="{00000000-0005-0000-0000-0000ED0D0000}"/>
    <cellStyle name="Normal 2 4 18 16" xfId="3520" xr:uid="{00000000-0005-0000-0000-0000EE0D0000}"/>
    <cellStyle name="Normal 2 4 18 16 2" xfId="21411" xr:uid="{00000000-0005-0000-0000-0000EF0D0000}"/>
    <cellStyle name="Normal 2 4 18 17" xfId="3521" xr:uid="{00000000-0005-0000-0000-0000F00D0000}"/>
    <cellStyle name="Normal 2 4 18 17 2" xfId="21412" xr:uid="{00000000-0005-0000-0000-0000F10D0000}"/>
    <cellStyle name="Normal 2 4 18 18" xfId="3522" xr:uid="{00000000-0005-0000-0000-0000F20D0000}"/>
    <cellStyle name="Normal 2 4 18 18 2" xfId="21413" xr:uid="{00000000-0005-0000-0000-0000F30D0000}"/>
    <cellStyle name="Normal 2 4 18 19" xfId="3523" xr:uid="{00000000-0005-0000-0000-0000F40D0000}"/>
    <cellStyle name="Normal 2 4 18 19 2" xfId="21414" xr:uid="{00000000-0005-0000-0000-0000F50D0000}"/>
    <cellStyle name="Normal 2 4 18 2" xfId="3524" xr:uid="{00000000-0005-0000-0000-0000F60D0000}"/>
    <cellStyle name="Normal 2 4 18 2 10" xfId="3525" xr:uid="{00000000-0005-0000-0000-0000F70D0000}"/>
    <cellStyle name="Normal 2 4 18 2 10 2" xfId="21416" xr:uid="{00000000-0005-0000-0000-0000F80D0000}"/>
    <cellStyle name="Normal 2 4 18 2 11" xfId="3526" xr:uid="{00000000-0005-0000-0000-0000F90D0000}"/>
    <cellStyle name="Normal 2 4 18 2 11 2" xfId="21417" xr:uid="{00000000-0005-0000-0000-0000FA0D0000}"/>
    <cellStyle name="Normal 2 4 18 2 12" xfId="3527" xr:uid="{00000000-0005-0000-0000-0000FB0D0000}"/>
    <cellStyle name="Normal 2 4 18 2 12 2" xfId="21418" xr:uid="{00000000-0005-0000-0000-0000FC0D0000}"/>
    <cellStyle name="Normal 2 4 18 2 13" xfId="3528" xr:uid="{00000000-0005-0000-0000-0000FD0D0000}"/>
    <cellStyle name="Normal 2 4 18 2 13 2" xfId="21419" xr:uid="{00000000-0005-0000-0000-0000FE0D0000}"/>
    <cellStyle name="Normal 2 4 18 2 14" xfId="3529" xr:uid="{00000000-0005-0000-0000-0000FF0D0000}"/>
    <cellStyle name="Normal 2 4 18 2 14 2" xfId="21420" xr:uid="{00000000-0005-0000-0000-0000000E0000}"/>
    <cellStyle name="Normal 2 4 18 2 15" xfId="3530" xr:uid="{00000000-0005-0000-0000-0000010E0000}"/>
    <cellStyle name="Normal 2 4 18 2 15 2" xfId="21421" xr:uid="{00000000-0005-0000-0000-0000020E0000}"/>
    <cellStyle name="Normal 2 4 18 2 16" xfId="21415" xr:uid="{00000000-0005-0000-0000-0000030E0000}"/>
    <cellStyle name="Normal 2 4 18 2 2" xfId="3531" xr:uid="{00000000-0005-0000-0000-0000040E0000}"/>
    <cellStyle name="Normal 2 4 18 2 2 10" xfId="3532" xr:uid="{00000000-0005-0000-0000-0000050E0000}"/>
    <cellStyle name="Normal 2 4 18 2 2 10 2" xfId="21423" xr:uid="{00000000-0005-0000-0000-0000060E0000}"/>
    <cellStyle name="Normal 2 4 18 2 2 11" xfId="3533" xr:uid="{00000000-0005-0000-0000-0000070E0000}"/>
    <cellStyle name="Normal 2 4 18 2 2 11 2" xfId="21424" xr:uid="{00000000-0005-0000-0000-0000080E0000}"/>
    <cellStyle name="Normal 2 4 18 2 2 12" xfId="3534" xr:uid="{00000000-0005-0000-0000-0000090E0000}"/>
    <cellStyle name="Normal 2 4 18 2 2 12 2" xfId="21425" xr:uid="{00000000-0005-0000-0000-00000A0E0000}"/>
    <cellStyle name="Normal 2 4 18 2 2 13" xfId="3535" xr:uid="{00000000-0005-0000-0000-00000B0E0000}"/>
    <cellStyle name="Normal 2 4 18 2 2 13 2" xfId="21426" xr:uid="{00000000-0005-0000-0000-00000C0E0000}"/>
    <cellStyle name="Normal 2 4 18 2 2 14" xfId="3536" xr:uid="{00000000-0005-0000-0000-00000D0E0000}"/>
    <cellStyle name="Normal 2 4 18 2 2 14 2" xfId="21427" xr:uid="{00000000-0005-0000-0000-00000E0E0000}"/>
    <cellStyle name="Normal 2 4 18 2 2 15" xfId="21422" xr:uid="{00000000-0005-0000-0000-00000F0E0000}"/>
    <cellStyle name="Normal 2 4 18 2 2 2" xfId="3537" xr:uid="{00000000-0005-0000-0000-0000100E0000}"/>
    <cellStyle name="Normal 2 4 18 2 2 2 2" xfId="21428" xr:uid="{00000000-0005-0000-0000-0000110E0000}"/>
    <cellStyle name="Normal 2 4 18 2 2 3" xfId="3538" xr:uid="{00000000-0005-0000-0000-0000120E0000}"/>
    <cellStyle name="Normal 2 4 18 2 2 3 2" xfId="21429" xr:uid="{00000000-0005-0000-0000-0000130E0000}"/>
    <cellStyle name="Normal 2 4 18 2 2 4" xfId="3539" xr:uid="{00000000-0005-0000-0000-0000140E0000}"/>
    <cellStyle name="Normal 2 4 18 2 2 4 2" xfId="21430" xr:uid="{00000000-0005-0000-0000-0000150E0000}"/>
    <cellStyle name="Normal 2 4 18 2 2 5" xfId="3540" xr:uid="{00000000-0005-0000-0000-0000160E0000}"/>
    <cellStyle name="Normal 2 4 18 2 2 5 2" xfId="21431" xr:uid="{00000000-0005-0000-0000-0000170E0000}"/>
    <cellStyle name="Normal 2 4 18 2 2 6" xfId="3541" xr:uid="{00000000-0005-0000-0000-0000180E0000}"/>
    <cellStyle name="Normal 2 4 18 2 2 6 2" xfId="21432" xr:uid="{00000000-0005-0000-0000-0000190E0000}"/>
    <cellStyle name="Normal 2 4 18 2 2 7" xfId="3542" xr:uid="{00000000-0005-0000-0000-00001A0E0000}"/>
    <cellStyle name="Normal 2 4 18 2 2 7 2" xfId="21433" xr:uid="{00000000-0005-0000-0000-00001B0E0000}"/>
    <cellStyle name="Normal 2 4 18 2 2 8" xfId="3543" xr:uid="{00000000-0005-0000-0000-00001C0E0000}"/>
    <cellStyle name="Normal 2 4 18 2 2 8 2" xfId="21434" xr:uid="{00000000-0005-0000-0000-00001D0E0000}"/>
    <cellStyle name="Normal 2 4 18 2 2 9" xfId="3544" xr:uid="{00000000-0005-0000-0000-00001E0E0000}"/>
    <cellStyle name="Normal 2 4 18 2 2 9 2" xfId="21435" xr:uid="{00000000-0005-0000-0000-00001F0E0000}"/>
    <cellStyle name="Normal 2 4 18 2 3" xfId="3545" xr:uid="{00000000-0005-0000-0000-0000200E0000}"/>
    <cellStyle name="Normal 2 4 18 2 3 2" xfId="21436" xr:uid="{00000000-0005-0000-0000-0000210E0000}"/>
    <cellStyle name="Normal 2 4 18 2 4" xfId="3546" xr:uid="{00000000-0005-0000-0000-0000220E0000}"/>
    <cellStyle name="Normal 2 4 18 2 4 2" xfId="21437" xr:uid="{00000000-0005-0000-0000-0000230E0000}"/>
    <cellStyle name="Normal 2 4 18 2 5" xfId="3547" xr:uid="{00000000-0005-0000-0000-0000240E0000}"/>
    <cellStyle name="Normal 2 4 18 2 5 2" xfId="21438" xr:uid="{00000000-0005-0000-0000-0000250E0000}"/>
    <cellStyle name="Normal 2 4 18 2 6" xfId="3548" xr:uid="{00000000-0005-0000-0000-0000260E0000}"/>
    <cellStyle name="Normal 2 4 18 2 6 2" xfId="21439" xr:uid="{00000000-0005-0000-0000-0000270E0000}"/>
    <cellStyle name="Normal 2 4 18 2 7" xfId="3549" xr:uid="{00000000-0005-0000-0000-0000280E0000}"/>
    <cellStyle name="Normal 2 4 18 2 7 2" xfId="21440" xr:uid="{00000000-0005-0000-0000-0000290E0000}"/>
    <cellStyle name="Normal 2 4 18 2 8" xfId="3550" xr:uid="{00000000-0005-0000-0000-00002A0E0000}"/>
    <cellStyle name="Normal 2 4 18 2 8 2" xfId="21441" xr:uid="{00000000-0005-0000-0000-00002B0E0000}"/>
    <cellStyle name="Normal 2 4 18 2 9" xfId="3551" xr:uid="{00000000-0005-0000-0000-00002C0E0000}"/>
    <cellStyle name="Normal 2 4 18 2 9 2" xfId="21442" xr:uid="{00000000-0005-0000-0000-00002D0E0000}"/>
    <cellStyle name="Normal 2 4 18 20" xfId="3552" xr:uid="{00000000-0005-0000-0000-00002E0E0000}"/>
    <cellStyle name="Normal 2 4 18 20 2" xfId="21443" xr:uid="{00000000-0005-0000-0000-00002F0E0000}"/>
    <cellStyle name="Normal 2 4 18 21" xfId="3553" xr:uid="{00000000-0005-0000-0000-0000300E0000}"/>
    <cellStyle name="Normal 2 4 18 21 2" xfId="21444" xr:uid="{00000000-0005-0000-0000-0000310E0000}"/>
    <cellStyle name="Normal 2 4 18 22" xfId="3554" xr:uid="{00000000-0005-0000-0000-0000320E0000}"/>
    <cellStyle name="Normal 2 4 18 22 2" xfId="21445" xr:uid="{00000000-0005-0000-0000-0000330E0000}"/>
    <cellStyle name="Normal 2 4 18 23" xfId="3555" xr:uid="{00000000-0005-0000-0000-0000340E0000}"/>
    <cellStyle name="Normal 2 4 18 23 2" xfId="21446" xr:uid="{00000000-0005-0000-0000-0000350E0000}"/>
    <cellStyle name="Normal 2 4 18 24" xfId="21391" xr:uid="{00000000-0005-0000-0000-0000360E0000}"/>
    <cellStyle name="Normal 2 4 18 3" xfId="3556" xr:uid="{00000000-0005-0000-0000-0000370E0000}"/>
    <cellStyle name="Normal 2 4 18 3 10" xfId="3557" xr:uid="{00000000-0005-0000-0000-0000380E0000}"/>
    <cellStyle name="Normal 2 4 18 3 10 2" xfId="21448" xr:uid="{00000000-0005-0000-0000-0000390E0000}"/>
    <cellStyle name="Normal 2 4 18 3 11" xfId="3558" xr:uid="{00000000-0005-0000-0000-00003A0E0000}"/>
    <cellStyle name="Normal 2 4 18 3 11 2" xfId="21449" xr:uid="{00000000-0005-0000-0000-00003B0E0000}"/>
    <cellStyle name="Normal 2 4 18 3 12" xfId="3559" xr:uid="{00000000-0005-0000-0000-00003C0E0000}"/>
    <cellStyle name="Normal 2 4 18 3 12 2" xfId="21450" xr:uid="{00000000-0005-0000-0000-00003D0E0000}"/>
    <cellStyle name="Normal 2 4 18 3 13" xfId="3560" xr:uid="{00000000-0005-0000-0000-00003E0E0000}"/>
    <cellStyle name="Normal 2 4 18 3 13 2" xfId="21451" xr:uid="{00000000-0005-0000-0000-00003F0E0000}"/>
    <cellStyle name="Normal 2 4 18 3 14" xfId="3561" xr:uid="{00000000-0005-0000-0000-0000400E0000}"/>
    <cellStyle name="Normal 2 4 18 3 14 2" xfId="21452" xr:uid="{00000000-0005-0000-0000-0000410E0000}"/>
    <cellStyle name="Normal 2 4 18 3 15" xfId="3562" xr:uid="{00000000-0005-0000-0000-0000420E0000}"/>
    <cellStyle name="Normal 2 4 18 3 15 2" xfId="21453" xr:uid="{00000000-0005-0000-0000-0000430E0000}"/>
    <cellStyle name="Normal 2 4 18 3 16" xfId="21447" xr:uid="{00000000-0005-0000-0000-0000440E0000}"/>
    <cellStyle name="Normal 2 4 18 3 2" xfId="3563" xr:uid="{00000000-0005-0000-0000-0000450E0000}"/>
    <cellStyle name="Normal 2 4 18 3 2 10" xfId="3564" xr:uid="{00000000-0005-0000-0000-0000460E0000}"/>
    <cellStyle name="Normal 2 4 18 3 2 10 2" xfId="21455" xr:uid="{00000000-0005-0000-0000-0000470E0000}"/>
    <cellStyle name="Normal 2 4 18 3 2 11" xfId="3565" xr:uid="{00000000-0005-0000-0000-0000480E0000}"/>
    <cellStyle name="Normal 2 4 18 3 2 11 2" xfId="21456" xr:uid="{00000000-0005-0000-0000-0000490E0000}"/>
    <cellStyle name="Normal 2 4 18 3 2 12" xfId="3566" xr:uid="{00000000-0005-0000-0000-00004A0E0000}"/>
    <cellStyle name="Normal 2 4 18 3 2 12 2" xfId="21457" xr:uid="{00000000-0005-0000-0000-00004B0E0000}"/>
    <cellStyle name="Normal 2 4 18 3 2 13" xfId="3567" xr:uid="{00000000-0005-0000-0000-00004C0E0000}"/>
    <cellStyle name="Normal 2 4 18 3 2 13 2" xfId="21458" xr:uid="{00000000-0005-0000-0000-00004D0E0000}"/>
    <cellStyle name="Normal 2 4 18 3 2 14" xfId="3568" xr:uid="{00000000-0005-0000-0000-00004E0E0000}"/>
    <cellStyle name="Normal 2 4 18 3 2 14 2" xfId="21459" xr:uid="{00000000-0005-0000-0000-00004F0E0000}"/>
    <cellStyle name="Normal 2 4 18 3 2 15" xfId="21454" xr:uid="{00000000-0005-0000-0000-0000500E0000}"/>
    <cellStyle name="Normal 2 4 18 3 2 2" xfId="3569" xr:uid="{00000000-0005-0000-0000-0000510E0000}"/>
    <cellStyle name="Normal 2 4 18 3 2 2 2" xfId="21460" xr:uid="{00000000-0005-0000-0000-0000520E0000}"/>
    <cellStyle name="Normal 2 4 18 3 2 3" xfId="3570" xr:uid="{00000000-0005-0000-0000-0000530E0000}"/>
    <cellStyle name="Normal 2 4 18 3 2 3 2" xfId="21461" xr:uid="{00000000-0005-0000-0000-0000540E0000}"/>
    <cellStyle name="Normal 2 4 18 3 2 4" xfId="3571" xr:uid="{00000000-0005-0000-0000-0000550E0000}"/>
    <cellStyle name="Normal 2 4 18 3 2 4 2" xfId="21462" xr:uid="{00000000-0005-0000-0000-0000560E0000}"/>
    <cellStyle name="Normal 2 4 18 3 2 5" xfId="3572" xr:uid="{00000000-0005-0000-0000-0000570E0000}"/>
    <cellStyle name="Normal 2 4 18 3 2 5 2" xfId="21463" xr:uid="{00000000-0005-0000-0000-0000580E0000}"/>
    <cellStyle name="Normal 2 4 18 3 2 6" xfId="3573" xr:uid="{00000000-0005-0000-0000-0000590E0000}"/>
    <cellStyle name="Normal 2 4 18 3 2 6 2" xfId="21464" xr:uid="{00000000-0005-0000-0000-00005A0E0000}"/>
    <cellStyle name="Normal 2 4 18 3 2 7" xfId="3574" xr:uid="{00000000-0005-0000-0000-00005B0E0000}"/>
    <cellStyle name="Normal 2 4 18 3 2 7 2" xfId="21465" xr:uid="{00000000-0005-0000-0000-00005C0E0000}"/>
    <cellStyle name="Normal 2 4 18 3 2 8" xfId="3575" xr:uid="{00000000-0005-0000-0000-00005D0E0000}"/>
    <cellStyle name="Normal 2 4 18 3 2 8 2" xfId="21466" xr:uid="{00000000-0005-0000-0000-00005E0E0000}"/>
    <cellStyle name="Normal 2 4 18 3 2 9" xfId="3576" xr:uid="{00000000-0005-0000-0000-00005F0E0000}"/>
    <cellStyle name="Normal 2 4 18 3 2 9 2" xfId="21467" xr:uid="{00000000-0005-0000-0000-0000600E0000}"/>
    <cellStyle name="Normal 2 4 18 3 3" xfId="3577" xr:uid="{00000000-0005-0000-0000-0000610E0000}"/>
    <cellStyle name="Normal 2 4 18 3 3 2" xfId="21468" xr:uid="{00000000-0005-0000-0000-0000620E0000}"/>
    <cellStyle name="Normal 2 4 18 3 4" xfId="3578" xr:uid="{00000000-0005-0000-0000-0000630E0000}"/>
    <cellStyle name="Normal 2 4 18 3 4 2" xfId="21469" xr:uid="{00000000-0005-0000-0000-0000640E0000}"/>
    <cellStyle name="Normal 2 4 18 3 5" xfId="3579" xr:uid="{00000000-0005-0000-0000-0000650E0000}"/>
    <cellStyle name="Normal 2 4 18 3 5 2" xfId="21470" xr:uid="{00000000-0005-0000-0000-0000660E0000}"/>
    <cellStyle name="Normal 2 4 18 3 6" xfId="3580" xr:uid="{00000000-0005-0000-0000-0000670E0000}"/>
    <cellStyle name="Normal 2 4 18 3 6 2" xfId="21471" xr:uid="{00000000-0005-0000-0000-0000680E0000}"/>
    <cellStyle name="Normal 2 4 18 3 7" xfId="3581" xr:uid="{00000000-0005-0000-0000-0000690E0000}"/>
    <cellStyle name="Normal 2 4 18 3 7 2" xfId="21472" xr:uid="{00000000-0005-0000-0000-00006A0E0000}"/>
    <cellStyle name="Normal 2 4 18 3 8" xfId="3582" xr:uid="{00000000-0005-0000-0000-00006B0E0000}"/>
    <cellStyle name="Normal 2 4 18 3 8 2" xfId="21473" xr:uid="{00000000-0005-0000-0000-00006C0E0000}"/>
    <cellStyle name="Normal 2 4 18 3 9" xfId="3583" xr:uid="{00000000-0005-0000-0000-00006D0E0000}"/>
    <cellStyle name="Normal 2 4 18 3 9 2" xfId="21474" xr:uid="{00000000-0005-0000-0000-00006E0E0000}"/>
    <cellStyle name="Normal 2 4 18 4" xfId="3584" xr:uid="{00000000-0005-0000-0000-00006F0E0000}"/>
    <cellStyle name="Normal 2 4 18 4 10" xfId="3585" xr:uid="{00000000-0005-0000-0000-0000700E0000}"/>
    <cellStyle name="Normal 2 4 18 4 10 2" xfId="21476" xr:uid="{00000000-0005-0000-0000-0000710E0000}"/>
    <cellStyle name="Normal 2 4 18 4 11" xfId="3586" xr:uid="{00000000-0005-0000-0000-0000720E0000}"/>
    <cellStyle name="Normal 2 4 18 4 11 2" xfId="21477" xr:uid="{00000000-0005-0000-0000-0000730E0000}"/>
    <cellStyle name="Normal 2 4 18 4 12" xfId="3587" xr:uid="{00000000-0005-0000-0000-0000740E0000}"/>
    <cellStyle name="Normal 2 4 18 4 12 2" xfId="21478" xr:uid="{00000000-0005-0000-0000-0000750E0000}"/>
    <cellStyle name="Normal 2 4 18 4 13" xfId="3588" xr:uid="{00000000-0005-0000-0000-0000760E0000}"/>
    <cellStyle name="Normal 2 4 18 4 13 2" xfId="21479" xr:uid="{00000000-0005-0000-0000-0000770E0000}"/>
    <cellStyle name="Normal 2 4 18 4 14" xfId="3589" xr:uid="{00000000-0005-0000-0000-0000780E0000}"/>
    <cellStyle name="Normal 2 4 18 4 14 2" xfId="21480" xr:uid="{00000000-0005-0000-0000-0000790E0000}"/>
    <cellStyle name="Normal 2 4 18 4 15" xfId="3590" xr:uid="{00000000-0005-0000-0000-00007A0E0000}"/>
    <cellStyle name="Normal 2 4 18 4 15 2" xfId="21481" xr:uid="{00000000-0005-0000-0000-00007B0E0000}"/>
    <cellStyle name="Normal 2 4 18 4 16" xfId="21475" xr:uid="{00000000-0005-0000-0000-00007C0E0000}"/>
    <cellStyle name="Normal 2 4 18 4 2" xfId="3591" xr:uid="{00000000-0005-0000-0000-00007D0E0000}"/>
    <cellStyle name="Normal 2 4 18 4 2 10" xfId="3592" xr:uid="{00000000-0005-0000-0000-00007E0E0000}"/>
    <cellStyle name="Normal 2 4 18 4 2 10 2" xfId="21483" xr:uid="{00000000-0005-0000-0000-00007F0E0000}"/>
    <cellStyle name="Normal 2 4 18 4 2 11" xfId="3593" xr:uid="{00000000-0005-0000-0000-0000800E0000}"/>
    <cellStyle name="Normal 2 4 18 4 2 11 2" xfId="21484" xr:uid="{00000000-0005-0000-0000-0000810E0000}"/>
    <cellStyle name="Normal 2 4 18 4 2 12" xfId="3594" xr:uid="{00000000-0005-0000-0000-0000820E0000}"/>
    <cellStyle name="Normal 2 4 18 4 2 12 2" xfId="21485" xr:uid="{00000000-0005-0000-0000-0000830E0000}"/>
    <cellStyle name="Normal 2 4 18 4 2 13" xfId="3595" xr:uid="{00000000-0005-0000-0000-0000840E0000}"/>
    <cellStyle name="Normal 2 4 18 4 2 13 2" xfId="21486" xr:uid="{00000000-0005-0000-0000-0000850E0000}"/>
    <cellStyle name="Normal 2 4 18 4 2 14" xfId="3596" xr:uid="{00000000-0005-0000-0000-0000860E0000}"/>
    <cellStyle name="Normal 2 4 18 4 2 14 2" xfId="21487" xr:uid="{00000000-0005-0000-0000-0000870E0000}"/>
    <cellStyle name="Normal 2 4 18 4 2 15" xfId="21482" xr:uid="{00000000-0005-0000-0000-0000880E0000}"/>
    <cellStyle name="Normal 2 4 18 4 2 2" xfId="3597" xr:uid="{00000000-0005-0000-0000-0000890E0000}"/>
    <cellStyle name="Normal 2 4 18 4 2 2 2" xfId="21488" xr:uid="{00000000-0005-0000-0000-00008A0E0000}"/>
    <cellStyle name="Normal 2 4 18 4 2 3" xfId="3598" xr:uid="{00000000-0005-0000-0000-00008B0E0000}"/>
    <cellStyle name="Normal 2 4 18 4 2 3 2" xfId="21489" xr:uid="{00000000-0005-0000-0000-00008C0E0000}"/>
    <cellStyle name="Normal 2 4 18 4 2 4" xfId="3599" xr:uid="{00000000-0005-0000-0000-00008D0E0000}"/>
    <cellStyle name="Normal 2 4 18 4 2 4 2" xfId="21490" xr:uid="{00000000-0005-0000-0000-00008E0E0000}"/>
    <cellStyle name="Normal 2 4 18 4 2 5" xfId="3600" xr:uid="{00000000-0005-0000-0000-00008F0E0000}"/>
    <cellStyle name="Normal 2 4 18 4 2 5 2" xfId="21491" xr:uid="{00000000-0005-0000-0000-0000900E0000}"/>
    <cellStyle name="Normal 2 4 18 4 2 6" xfId="3601" xr:uid="{00000000-0005-0000-0000-0000910E0000}"/>
    <cellStyle name="Normal 2 4 18 4 2 6 2" xfId="21492" xr:uid="{00000000-0005-0000-0000-0000920E0000}"/>
    <cellStyle name="Normal 2 4 18 4 2 7" xfId="3602" xr:uid="{00000000-0005-0000-0000-0000930E0000}"/>
    <cellStyle name="Normal 2 4 18 4 2 7 2" xfId="21493" xr:uid="{00000000-0005-0000-0000-0000940E0000}"/>
    <cellStyle name="Normal 2 4 18 4 2 8" xfId="3603" xr:uid="{00000000-0005-0000-0000-0000950E0000}"/>
    <cellStyle name="Normal 2 4 18 4 2 8 2" xfId="21494" xr:uid="{00000000-0005-0000-0000-0000960E0000}"/>
    <cellStyle name="Normal 2 4 18 4 2 9" xfId="3604" xr:uid="{00000000-0005-0000-0000-0000970E0000}"/>
    <cellStyle name="Normal 2 4 18 4 2 9 2" xfId="21495" xr:uid="{00000000-0005-0000-0000-0000980E0000}"/>
    <cellStyle name="Normal 2 4 18 4 3" xfId="3605" xr:uid="{00000000-0005-0000-0000-0000990E0000}"/>
    <cellStyle name="Normal 2 4 18 4 3 2" xfId="21496" xr:uid="{00000000-0005-0000-0000-00009A0E0000}"/>
    <cellStyle name="Normal 2 4 18 4 4" xfId="3606" xr:uid="{00000000-0005-0000-0000-00009B0E0000}"/>
    <cellStyle name="Normal 2 4 18 4 4 2" xfId="21497" xr:uid="{00000000-0005-0000-0000-00009C0E0000}"/>
    <cellStyle name="Normal 2 4 18 4 5" xfId="3607" xr:uid="{00000000-0005-0000-0000-00009D0E0000}"/>
    <cellStyle name="Normal 2 4 18 4 5 2" xfId="21498" xr:uid="{00000000-0005-0000-0000-00009E0E0000}"/>
    <cellStyle name="Normal 2 4 18 4 6" xfId="3608" xr:uid="{00000000-0005-0000-0000-00009F0E0000}"/>
    <cellStyle name="Normal 2 4 18 4 6 2" xfId="21499" xr:uid="{00000000-0005-0000-0000-0000A00E0000}"/>
    <cellStyle name="Normal 2 4 18 4 7" xfId="3609" xr:uid="{00000000-0005-0000-0000-0000A10E0000}"/>
    <cellStyle name="Normal 2 4 18 4 7 2" xfId="21500" xr:uid="{00000000-0005-0000-0000-0000A20E0000}"/>
    <cellStyle name="Normal 2 4 18 4 8" xfId="3610" xr:uid="{00000000-0005-0000-0000-0000A30E0000}"/>
    <cellStyle name="Normal 2 4 18 4 8 2" xfId="21501" xr:uid="{00000000-0005-0000-0000-0000A40E0000}"/>
    <cellStyle name="Normal 2 4 18 4 9" xfId="3611" xr:uid="{00000000-0005-0000-0000-0000A50E0000}"/>
    <cellStyle name="Normal 2 4 18 4 9 2" xfId="21502" xr:uid="{00000000-0005-0000-0000-0000A60E0000}"/>
    <cellStyle name="Normal 2 4 18 5" xfId="3612" xr:uid="{00000000-0005-0000-0000-0000A70E0000}"/>
    <cellStyle name="Normal 2 4 18 5 10" xfId="3613" xr:uid="{00000000-0005-0000-0000-0000A80E0000}"/>
    <cellStyle name="Normal 2 4 18 5 10 2" xfId="21504" xr:uid="{00000000-0005-0000-0000-0000A90E0000}"/>
    <cellStyle name="Normal 2 4 18 5 11" xfId="3614" xr:uid="{00000000-0005-0000-0000-0000AA0E0000}"/>
    <cellStyle name="Normal 2 4 18 5 11 2" xfId="21505" xr:uid="{00000000-0005-0000-0000-0000AB0E0000}"/>
    <cellStyle name="Normal 2 4 18 5 12" xfId="3615" xr:uid="{00000000-0005-0000-0000-0000AC0E0000}"/>
    <cellStyle name="Normal 2 4 18 5 12 2" xfId="21506" xr:uid="{00000000-0005-0000-0000-0000AD0E0000}"/>
    <cellStyle name="Normal 2 4 18 5 13" xfId="3616" xr:uid="{00000000-0005-0000-0000-0000AE0E0000}"/>
    <cellStyle name="Normal 2 4 18 5 13 2" xfId="21507" xr:uid="{00000000-0005-0000-0000-0000AF0E0000}"/>
    <cellStyle name="Normal 2 4 18 5 14" xfId="3617" xr:uid="{00000000-0005-0000-0000-0000B00E0000}"/>
    <cellStyle name="Normal 2 4 18 5 14 2" xfId="21508" xr:uid="{00000000-0005-0000-0000-0000B10E0000}"/>
    <cellStyle name="Normal 2 4 18 5 15" xfId="21503" xr:uid="{00000000-0005-0000-0000-0000B20E0000}"/>
    <cellStyle name="Normal 2 4 18 5 2" xfId="3618" xr:uid="{00000000-0005-0000-0000-0000B30E0000}"/>
    <cellStyle name="Normal 2 4 18 5 2 2" xfId="21509" xr:uid="{00000000-0005-0000-0000-0000B40E0000}"/>
    <cellStyle name="Normal 2 4 18 5 3" xfId="3619" xr:uid="{00000000-0005-0000-0000-0000B50E0000}"/>
    <cellStyle name="Normal 2 4 18 5 3 2" xfId="21510" xr:uid="{00000000-0005-0000-0000-0000B60E0000}"/>
    <cellStyle name="Normal 2 4 18 5 4" xfId="3620" xr:uid="{00000000-0005-0000-0000-0000B70E0000}"/>
    <cellStyle name="Normal 2 4 18 5 4 2" xfId="21511" xr:uid="{00000000-0005-0000-0000-0000B80E0000}"/>
    <cellStyle name="Normal 2 4 18 5 5" xfId="3621" xr:uid="{00000000-0005-0000-0000-0000B90E0000}"/>
    <cellStyle name="Normal 2 4 18 5 5 2" xfId="21512" xr:uid="{00000000-0005-0000-0000-0000BA0E0000}"/>
    <cellStyle name="Normal 2 4 18 5 6" xfId="3622" xr:uid="{00000000-0005-0000-0000-0000BB0E0000}"/>
    <cellStyle name="Normal 2 4 18 5 6 2" xfId="21513" xr:uid="{00000000-0005-0000-0000-0000BC0E0000}"/>
    <cellStyle name="Normal 2 4 18 5 7" xfId="3623" xr:uid="{00000000-0005-0000-0000-0000BD0E0000}"/>
    <cellStyle name="Normal 2 4 18 5 7 2" xfId="21514" xr:uid="{00000000-0005-0000-0000-0000BE0E0000}"/>
    <cellStyle name="Normal 2 4 18 5 8" xfId="3624" xr:uid="{00000000-0005-0000-0000-0000BF0E0000}"/>
    <cellStyle name="Normal 2 4 18 5 8 2" xfId="21515" xr:uid="{00000000-0005-0000-0000-0000C00E0000}"/>
    <cellStyle name="Normal 2 4 18 5 9" xfId="3625" xr:uid="{00000000-0005-0000-0000-0000C10E0000}"/>
    <cellStyle name="Normal 2 4 18 5 9 2" xfId="21516" xr:uid="{00000000-0005-0000-0000-0000C20E0000}"/>
    <cellStyle name="Normal 2 4 18 6" xfId="3626" xr:uid="{00000000-0005-0000-0000-0000C30E0000}"/>
    <cellStyle name="Normal 2 4 18 6 10" xfId="3627" xr:uid="{00000000-0005-0000-0000-0000C40E0000}"/>
    <cellStyle name="Normal 2 4 18 6 10 2" xfId="21518" xr:uid="{00000000-0005-0000-0000-0000C50E0000}"/>
    <cellStyle name="Normal 2 4 18 6 11" xfId="3628" xr:uid="{00000000-0005-0000-0000-0000C60E0000}"/>
    <cellStyle name="Normal 2 4 18 6 11 2" xfId="21519" xr:uid="{00000000-0005-0000-0000-0000C70E0000}"/>
    <cellStyle name="Normal 2 4 18 6 12" xfId="3629" xr:uid="{00000000-0005-0000-0000-0000C80E0000}"/>
    <cellStyle name="Normal 2 4 18 6 12 2" xfId="21520" xr:uid="{00000000-0005-0000-0000-0000C90E0000}"/>
    <cellStyle name="Normal 2 4 18 6 13" xfId="3630" xr:uid="{00000000-0005-0000-0000-0000CA0E0000}"/>
    <cellStyle name="Normal 2 4 18 6 13 2" xfId="21521" xr:uid="{00000000-0005-0000-0000-0000CB0E0000}"/>
    <cellStyle name="Normal 2 4 18 6 14" xfId="3631" xr:uid="{00000000-0005-0000-0000-0000CC0E0000}"/>
    <cellStyle name="Normal 2 4 18 6 14 2" xfId="21522" xr:uid="{00000000-0005-0000-0000-0000CD0E0000}"/>
    <cellStyle name="Normal 2 4 18 6 15" xfId="21517" xr:uid="{00000000-0005-0000-0000-0000CE0E0000}"/>
    <cellStyle name="Normal 2 4 18 6 2" xfId="3632" xr:uid="{00000000-0005-0000-0000-0000CF0E0000}"/>
    <cellStyle name="Normal 2 4 18 6 2 2" xfId="21523" xr:uid="{00000000-0005-0000-0000-0000D00E0000}"/>
    <cellStyle name="Normal 2 4 18 6 3" xfId="3633" xr:uid="{00000000-0005-0000-0000-0000D10E0000}"/>
    <cellStyle name="Normal 2 4 18 6 3 2" xfId="21524" xr:uid="{00000000-0005-0000-0000-0000D20E0000}"/>
    <cellStyle name="Normal 2 4 18 6 4" xfId="3634" xr:uid="{00000000-0005-0000-0000-0000D30E0000}"/>
    <cellStyle name="Normal 2 4 18 6 4 2" xfId="21525" xr:uid="{00000000-0005-0000-0000-0000D40E0000}"/>
    <cellStyle name="Normal 2 4 18 6 5" xfId="3635" xr:uid="{00000000-0005-0000-0000-0000D50E0000}"/>
    <cellStyle name="Normal 2 4 18 6 5 2" xfId="21526" xr:uid="{00000000-0005-0000-0000-0000D60E0000}"/>
    <cellStyle name="Normal 2 4 18 6 6" xfId="3636" xr:uid="{00000000-0005-0000-0000-0000D70E0000}"/>
    <cellStyle name="Normal 2 4 18 6 6 2" xfId="21527" xr:uid="{00000000-0005-0000-0000-0000D80E0000}"/>
    <cellStyle name="Normal 2 4 18 6 7" xfId="3637" xr:uid="{00000000-0005-0000-0000-0000D90E0000}"/>
    <cellStyle name="Normal 2 4 18 6 7 2" xfId="21528" xr:uid="{00000000-0005-0000-0000-0000DA0E0000}"/>
    <cellStyle name="Normal 2 4 18 6 8" xfId="3638" xr:uid="{00000000-0005-0000-0000-0000DB0E0000}"/>
    <cellStyle name="Normal 2 4 18 6 8 2" xfId="21529" xr:uid="{00000000-0005-0000-0000-0000DC0E0000}"/>
    <cellStyle name="Normal 2 4 18 6 9" xfId="3639" xr:uid="{00000000-0005-0000-0000-0000DD0E0000}"/>
    <cellStyle name="Normal 2 4 18 6 9 2" xfId="21530" xr:uid="{00000000-0005-0000-0000-0000DE0E0000}"/>
    <cellStyle name="Normal 2 4 18 7" xfId="3640" xr:uid="{00000000-0005-0000-0000-0000DF0E0000}"/>
    <cellStyle name="Normal 2 4 18 7 10" xfId="3641" xr:uid="{00000000-0005-0000-0000-0000E00E0000}"/>
    <cellStyle name="Normal 2 4 18 7 10 2" xfId="21532" xr:uid="{00000000-0005-0000-0000-0000E10E0000}"/>
    <cellStyle name="Normal 2 4 18 7 11" xfId="3642" xr:uid="{00000000-0005-0000-0000-0000E20E0000}"/>
    <cellStyle name="Normal 2 4 18 7 11 2" xfId="21533" xr:uid="{00000000-0005-0000-0000-0000E30E0000}"/>
    <cellStyle name="Normal 2 4 18 7 12" xfId="3643" xr:uid="{00000000-0005-0000-0000-0000E40E0000}"/>
    <cellStyle name="Normal 2 4 18 7 12 2" xfId="21534" xr:uid="{00000000-0005-0000-0000-0000E50E0000}"/>
    <cellStyle name="Normal 2 4 18 7 13" xfId="3644" xr:uid="{00000000-0005-0000-0000-0000E60E0000}"/>
    <cellStyle name="Normal 2 4 18 7 13 2" xfId="21535" xr:uid="{00000000-0005-0000-0000-0000E70E0000}"/>
    <cellStyle name="Normal 2 4 18 7 14" xfId="3645" xr:uid="{00000000-0005-0000-0000-0000E80E0000}"/>
    <cellStyle name="Normal 2 4 18 7 14 2" xfId="21536" xr:uid="{00000000-0005-0000-0000-0000E90E0000}"/>
    <cellStyle name="Normal 2 4 18 7 15" xfId="21531" xr:uid="{00000000-0005-0000-0000-0000EA0E0000}"/>
    <cellStyle name="Normal 2 4 18 7 2" xfId="3646" xr:uid="{00000000-0005-0000-0000-0000EB0E0000}"/>
    <cellStyle name="Normal 2 4 18 7 2 2" xfId="21537" xr:uid="{00000000-0005-0000-0000-0000EC0E0000}"/>
    <cellStyle name="Normal 2 4 18 7 3" xfId="3647" xr:uid="{00000000-0005-0000-0000-0000ED0E0000}"/>
    <cellStyle name="Normal 2 4 18 7 3 2" xfId="21538" xr:uid="{00000000-0005-0000-0000-0000EE0E0000}"/>
    <cellStyle name="Normal 2 4 18 7 4" xfId="3648" xr:uid="{00000000-0005-0000-0000-0000EF0E0000}"/>
    <cellStyle name="Normal 2 4 18 7 4 2" xfId="21539" xr:uid="{00000000-0005-0000-0000-0000F00E0000}"/>
    <cellStyle name="Normal 2 4 18 7 5" xfId="3649" xr:uid="{00000000-0005-0000-0000-0000F10E0000}"/>
    <cellStyle name="Normal 2 4 18 7 5 2" xfId="21540" xr:uid="{00000000-0005-0000-0000-0000F20E0000}"/>
    <cellStyle name="Normal 2 4 18 7 6" xfId="3650" xr:uid="{00000000-0005-0000-0000-0000F30E0000}"/>
    <cellStyle name="Normal 2 4 18 7 6 2" xfId="21541" xr:uid="{00000000-0005-0000-0000-0000F40E0000}"/>
    <cellStyle name="Normal 2 4 18 7 7" xfId="3651" xr:uid="{00000000-0005-0000-0000-0000F50E0000}"/>
    <cellStyle name="Normal 2 4 18 7 7 2" xfId="21542" xr:uid="{00000000-0005-0000-0000-0000F60E0000}"/>
    <cellStyle name="Normal 2 4 18 7 8" xfId="3652" xr:uid="{00000000-0005-0000-0000-0000F70E0000}"/>
    <cellStyle name="Normal 2 4 18 7 8 2" xfId="21543" xr:uid="{00000000-0005-0000-0000-0000F80E0000}"/>
    <cellStyle name="Normal 2 4 18 7 9" xfId="3653" xr:uid="{00000000-0005-0000-0000-0000F90E0000}"/>
    <cellStyle name="Normal 2 4 18 7 9 2" xfId="21544" xr:uid="{00000000-0005-0000-0000-0000FA0E0000}"/>
    <cellStyle name="Normal 2 4 18 8" xfId="3654" xr:uid="{00000000-0005-0000-0000-0000FB0E0000}"/>
    <cellStyle name="Normal 2 4 18 8 10" xfId="3655" xr:uid="{00000000-0005-0000-0000-0000FC0E0000}"/>
    <cellStyle name="Normal 2 4 18 8 10 2" xfId="21546" xr:uid="{00000000-0005-0000-0000-0000FD0E0000}"/>
    <cellStyle name="Normal 2 4 18 8 11" xfId="3656" xr:uid="{00000000-0005-0000-0000-0000FE0E0000}"/>
    <cellStyle name="Normal 2 4 18 8 11 2" xfId="21547" xr:uid="{00000000-0005-0000-0000-0000FF0E0000}"/>
    <cellStyle name="Normal 2 4 18 8 12" xfId="3657" xr:uid="{00000000-0005-0000-0000-0000000F0000}"/>
    <cellStyle name="Normal 2 4 18 8 12 2" xfId="21548" xr:uid="{00000000-0005-0000-0000-0000010F0000}"/>
    <cellStyle name="Normal 2 4 18 8 13" xfId="3658" xr:uid="{00000000-0005-0000-0000-0000020F0000}"/>
    <cellStyle name="Normal 2 4 18 8 13 2" xfId="21549" xr:uid="{00000000-0005-0000-0000-0000030F0000}"/>
    <cellStyle name="Normal 2 4 18 8 14" xfId="3659" xr:uid="{00000000-0005-0000-0000-0000040F0000}"/>
    <cellStyle name="Normal 2 4 18 8 14 2" xfId="21550" xr:uid="{00000000-0005-0000-0000-0000050F0000}"/>
    <cellStyle name="Normal 2 4 18 8 15" xfId="21545" xr:uid="{00000000-0005-0000-0000-0000060F0000}"/>
    <cellStyle name="Normal 2 4 18 8 2" xfId="3660" xr:uid="{00000000-0005-0000-0000-0000070F0000}"/>
    <cellStyle name="Normal 2 4 18 8 2 2" xfId="21551" xr:uid="{00000000-0005-0000-0000-0000080F0000}"/>
    <cellStyle name="Normal 2 4 18 8 3" xfId="3661" xr:uid="{00000000-0005-0000-0000-0000090F0000}"/>
    <cellStyle name="Normal 2 4 18 8 3 2" xfId="21552" xr:uid="{00000000-0005-0000-0000-00000A0F0000}"/>
    <cellStyle name="Normal 2 4 18 8 4" xfId="3662" xr:uid="{00000000-0005-0000-0000-00000B0F0000}"/>
    <cellStyle name="Normal 2 4 18 8 4 2" xfId="21553" xr:uid="{00000000-0005-0000-0000-00000C0F0000}"/>
    <cellStyle name="Normal 2 4 18 8 5" xfId="3663" xr:uid="{00000000-0005-0000-0000-00000D0F0000}"/>
    <cellStyle name="Normal 2 4 18 8 5 2" xfId="21554" xr:uid="{00000000-0005-0000-0000-00000E0F0000}"/>
    <cellStyle name="Normal 2 4 18 8 6" xfId="3664" xr:uid="{00000000-0005-0000-0000-00000F0F0000}"/>
    <cellStyle name="Normal 2 4 18 8 6 2" xfId="21555" xr:uid="{00000000-0005-0000-0000-0000100F0000}"/>
    <cellStyle name="Normal 2 4 18 8 7" xfId="3665" xr:uid="{00000000-0005-0000-0000-0000110F0000}"/>
    <cellStyle name="Normal 2 4 18 8 7 2" xfId="21556" xr:uid="{00000000-0005-0000-0000-0000120F0000}"/>
    <cellStyle name="Normal 2 4 18 8 8" xfId="3666" xr:uid="{00000000-0005-0000-0000-0000130F0000}"/>
    <cellStyle name="Normal 2 4 18 8 8 2" xfId="21557" xr:uid="{00000000-0005-0000-0000-0000140F0000}"/>
    <cellStyle name="Normal 2 4 18 8 9" xfId="3667" xr:uid="{00000000-0005-0000-0000-0000150F0000}"/>
    <cellStyle name="Normal 2 4 18 8 9 2" xfId="21558" xr:uid="{00000000-0005-0000-0000-0000160F0000}"/>
    <cellStyle name="Normal 2 4 18 9" xfId="3668" xr:uid="{00000000-0005-0000-0000-0000170F0000}"/>
    <cellStyle name="Normal 2 4 18 9 10" xfId="3669" xr:uid="{00000000-0005-0000-0000-0000180F0000}"/>
    <cellStyle name="Normal 2 4 18 9 10 2" xfId="21560" xr:uid="{00000000-0005-0000-0000-0000190F0000}"/>
    <cellStyle name="Normal 2 4 18 9 11" xfId="3670" xr:uid="{00000000-0005-0000-0000-00001A0F0000}"/>
    <cellStyle name="Normal 2 4 18 9 11 2" xfId="21561" xr:uid="{00000000-0005-0000-0000-00001B0F0000}"/>
    <cellStyle name="Normal 2 4 18 9 12" xfId="3671" xr:uid="{00000000-0005-0000-0000-00001C0F0000}"/>
    <cellStyle name="Normal 2 4 18 9 12 2" xfId="21562" xr:uid="{00000000-0005-0000-0000-00001D0F0000}"/>
    <cellStyle name="Normal 2 4 18 9 13" xfId="3672" xr:uid="{00000000-0005-0000-0000-00001E0F0000}"/>
    <cellStyle name="Normal 2 4 18 9 13 2" xfId="21563" xr:uid="{00000000-0005-0000-0000-00001F0F0000}"/>
    <cellStyle name="Normal 2 4 18 9 14" xfId="3673" xr:uid="{00000000-0005-0000-0000-0000200F0000}"/>
    <cellStyle name="Normal 2 4 18 9 14 2" xfId="21564" xr:uid="{00000000-0005-0000-0000-0000210F0000}"/>
    <cellStyle name="Normal 2 4 18 9 15" xfId="21559" xr:uid="{00000000-0005-0000-0000-0000220F0000}"/>
    <cellStyle name="Normal 2 4 18 9 2" xfId="3674" xr:uid="{00000000-0005-0000-0000-0000230F0000}"/>
    <cellStyle name="Normal 2 4 18 9 2 2" xfId="21565" xr:uid="{00000000-0005-0000-0000-0000240F0000}"/>
    <cellStyle name="Normal 2 4 18 9 3" xfId="3675" xr:uid="{00000000-0005-0000-0000-0000250F0000}"/>
    <cellStyle name="Normal 2 4 18 9 3 2" xfId="21566" xr:uid="{00000000-0005-0000-0000-0000260F0000}"/>
    <cellStyle name="Normal 2 4 18 9 4" xfId="3676" xr:uid="{00000000-0005-0000-0000-0000270F0000}"/>
    <cellStyle name="Normal 2 4 18 9 4 2" xfId="21567" xr:uid="{00000000-0005-0000-0000-0000280F0000}"/>
    <cellStyle name="Normal 2 4 18 9 5" xfId="3677" xr:uid="{00000000-0005-0000-0000-0000290F0000}"/>
    <cellStyle name="Normal 2 4 18 9 5 2" xfId="21568" xr:uid="{00000000-0005-0000-0000-00002A0F0000}"/>
    <cellStyle name="Normal 2 4 18 9 6" xfId="3678" xr:uid="{00000000-0005-0000-0000-00002B0F0000}"/>
    <cellStyle name="Normal 2 4 18 9 6 2" xfId="21569" xr:uid="{00000000-0005-0000-0000-00002C0F0000}"/>
    <cellStyle name="Normal 2 4 18 9 7" xfId="3679" xr:uid="{00000000-0005-0000-0000-00002D0F0000}"/>
    <cellStyle name="Normal 2 4 18 9 7 2" xfId="21570" xr:uid="{00000000-0005-0000-0000-00002E0F0000}"/>
    <cellStyle name="Normal 2 4 18 9 8" xfId="3680" xr:uid="{00000000-0005-0000-0000-00002F0F0000}"/>
    <cellStyle name="Normal 2 4 18 9 8 2" xfId="21571" xr:uid="{00000000-0005-0000-0000-0000300F0000}"/>
    <cellStyle name="Normal 2 4 18 9 9" xfId="3681" xr:uid="{00000000-0005-0000-0000-0000310F0000}"/>
    <cellStyle name="Normal 2 4 18 9 9 2" xfId="21572" xr:uid="{00000000-0005-0000-0000-0000320F0000}"/>
    <cellStyle name="Normal 2 4 19" xfId="3682" xr:uid="{00000000-0005-0000-0000-0000330F0000}"/>
    <cellStyle name="Normal 2 4 19 10" xfId="3683" xr:uid="{00000000-0005-0000-0000-0000340F0000}"/>
    <cellStyle name="Normal 2 4 19 10 10" xfId="3684" xr:uid="{00000000-0005-0000-0000-0000350F0000}"/>
    <cellStyle name="Normal 2 4 19 10 10 2" xfId="21575" xr:uid="{00000000-0005-0000-0000-0000360F0000}"/>
    <cellStyle name="Normal 2 4 19 10 11" xfId="3685" xr:uid="{00000000-0005-0000-0000-0000370F0000}"/>
    <cellStyle name="Normal 2 4 19 10 11 2" xfId="21576" xr:uid="{00000000-0005-0000-0000-0000380F0000}"/>
    <cellStyle name="Normal 2 4 19 10 12" xfId="3686" xr:uid="{00000000-0005-0000-0000-0000390F0000}"/>
    <cellStyle name="Normal 2 4 19 10 12 2" xfId="21577" xr:uid="{00000000-0005-0000-0000-00003A0F0000}"/>
    <cellStyle name="Normal 2 4 19 10 13" xfId="3687" xr:uid="{00000000-0005-0000-0000-00003B0F0000}"/>
    <cellStyle name="Normal 2 4 19 10 13 2" xfId="21578" xr:uid="{00000000-0005-0000-0000-00003C0F0000}"/>
    <cellStyle name="Normal 2 4 19 10 14" xfId="3688" xr:uid="{00000000-0005-0000-0000-00003D0F0000}"/>
    <cellStyle name="Normal 2 4 19 10 14 2" xfId="21579" xr:uid="{00000000-0005-0000-0000-00003E0F0000}"/>
    <cellStyle name="Normal 2 4 19 10 15" xfId="21574" xr:uid="{00000000-0005-0000-0000-00003F0F0000}"/>
    <cellStyle name="Normal 2 4 19 10 2" xfId="3689" xr:uid="{00000000-0005-0000-0000-0000400F0000}"/>
    <cellStyle name="Normal 2 4 19 10 2 2" xfId="21580" xr:uid="{00000000-0005-0000-0000-0000410F0000}"/>
    <cellStyle name="Normal 2 4 19 10 3" xfId="3690" xr:uid="{00000000-0005-0000-0000-0000420F0000}"/>
    <cellStyle name="Normal 2 4 19 10 3 2" xfId="21581" xr:uid="{00000000-0005-0000-0000-0000430F0000}"/>
    <cellStyle name="Normal 2 4 19 10 4" xfId="3691" xr:uid="{00000000-0005-0000-0000-0000440F0000}"/>
    <cellStyle name="Normal 2 4 19 10 4 2" xfId="21582" xr:uid="{00000000-0005-0000-0000-0000450F0000}"/>
    <cellStyle name="Normal 2 4 19 10 5" xfId="3692" xr:uid="{00000000-0005-0000-0000-0000460F0000}"/>
    <cellStyle name="Normal 2 4 19 10 5 2" xfId="21583" xr:uid="{00000000-0005-0000-0000-0000470F0000}"/>
    <cellStyle name="Normal 2 4 19 10 6" xfId="3693" xr:uid="{00000000-0005-0000-0000-0000480F0000}"/>
    <cellStyle name="Normal 2 4 19 10 6 2" xfId="21584" xr:uid="{00000000-0005-0000-0000-0000490F0000}"/>
    <cellStyle name="Normal 2 4 19 10 7" xfId="3694" xr:uid="{00000000-0005-0000-0000-00004A0F0000}"/>
    <cellStyle name="Normal 2 4 19 10 7 2" xfId="21585" xr:uid="{00000000-0005-0000-0000-00004B0F0000}"/>
    <cellStyle name="Normal 2 4 19 10 8" xfId="3695" xr:uid="{00000000-0005-0000-0000-00004C0F0000}"/>
    <cellStyle name="Normal 2 4 19 10 8 2" xfId="21586" xr:uid="{00000000-0005-0000-0000-00004D0F0000}"/>
    <cellStyle name="Normal 2 4 19 10 9" xfId="3696" xr:uid="{00000000-0005-0000-0000-00004E0F0000}"/>
    <cellStyle name="Normal 2 4 19 10 9 2" xfId="21587" xr:uid="{00000000-0005-0000-0000-00004F0F0000}"/>
    <cellStyle name="Normal 2 4 19 11" xfId="3697" xr:uid="{00000000-0005-0000-0000-0000500F0000}"/>
    <cellStyle name="Normal 2 4 19 11 2" xfId="21588" xr:uid="{00000000-0005-0000-0000-0000510F0000}"/>
    <cellStyle name="Normal 2 4 19 12" xfId="3698" xr:uid="{00000000-0005-0000-0000-0000520F0000}"/>
    <cellStyle name="Normal 2 4 19 12 2" xfId="21589" xr:uid="{00000000-0005-0000-0000-0000530F0000}"/>
    <cellStyle name="Normal 2 4 19 13" xfId="3699" xr:uid="{00000000-0005-0000-0000-0000540F0000}"/>
    <cellStyle name="Normal 2 4 19 13 2" xfId="21590" xr:uid="{00000000-0005-0000-0000-0000550F0000}"/>
    <cellStyle name="Normal 2 4 19 14" xfId="3700" xr:uid="{00000000-0005-0000-0000-0000560F0000}"/>
    <cellStyle name="Normal 2 4 19 14 2" xfId="21591" xr:uid="{00000000-0005-0000-0000-0000570F0000}"/>
    <cellStyle name="Normal 2 4 19 15" xfId="3701" xr:uid="{00000000-0005-0000-0000-0000580F0000}"/>
    <cellStyle name="Normal 2 4 19 15 2" xfId="21592" xr:uid="{00000000-0005-0000-0000-0000590F0000}"/>
    <cellStyle name="Normal 2 4 19 16" xfId="3702" xr:uid="{00000000-0005-0000-0000-00005A0F0000}"/>
    <cellStyle name="Normal 2 4 19 16 2" xfId="21593" xr:uid="{00000000-0005-0000-0000-00005B0F0000}"/>
    <cellStyle name="Normal 2 4 19 17" xfId="3703" xr:uid="{00000000-0005-0000-0000-00005C0F0000}"/>
    <cellStyle name="Normal 2 4 19 17 2" xfId="21594" xr:uid="{00000000-0005-0000-0000-00005D0F0000}"/>
    <cellStyle name="Normal 2 4 19 18" xfId="3704" xr:uid="{00000000-0005-0000-0000-00005E0F0000}"/>
    <cellStyle name="Normal 2 4 19 18 2" xfId="21595" xr:uid="{00000000-0005-0000-0000-00005F0F0000}"/>
    <cellStyle name="Normal 2 4 19 19" xfId="3705" xr:uid="{00000000-0005-0000-0000-0000600F0000}"/>
    <cellStyle name="Normal 2 4 19 19 2" xfId="21596" xr:uid="{00000000-0005-0000-0000-0000610F0000}"/>
    <cellStyle name="Normal 2 4 19 2" xfId="3706" xr:uid="{00000000-0005-0000-0000-0000620F0000}"/>
    <cellStyle name="Normal 2 4 19 2 10" xfId="3707" xr:uid="{00000000-0005-0000-0000-0000630F0000}"/>
    <cellStyle name="Normal 2 4 19 2 10 2" xfId="21598" xr:uid="{00000000-0005-0000-0000-0000640F0000}"/>
    <cellStyle name="Normal 2 4 19 2 11" xfId="3708" xr:uid="{00000000-0005-0000-0000-0000650F0000}"/>
    <cellStyle name="Normal 2 4 19 2 11 2" xfId="21599" xr:uid="{00000000-0005-0000-0000-0000660F0000}"/>
    <cellStyle name="Normal 2 4 19 2 12" xfId="3709" xr:uid="{00000000-0005-0000-0000-0000670F0000}"/>
    <cellStyle name="Normal 2 4 19 2 12 2" xfId="21600" xr:uid="{00000000-0005-0000-0000-0000680F0000}"/>
    <cellStyle name="Normal 2 4 19 2 13" xfId="3710" xr:uid="{00000000-0005-0000-0000-0000690F0000}"/>
    <cellStyle name="Normal 2 4 19 2 13 2" xfId="21601" xr:uid="{00000000-0005-0000-0000-00006A0F0000}"/>
    <cellStyle name="Normal 2 4 19 2 14" xfId="3711" xr:uid="{00000000-0005-0000-0000-00006B0F0000}"/>
    <cellStyle name="Normal 2 4 19 2 14 2" xfId="21602" xr:uid="{00000000-0005-0000-0000-00006C0F0000}"/>
    <cellStyle name="Normal 2 4 19 2 15" xfId="3712" xr:uid="{00000000-0005-0000-0000-00006D0F0000}"/>
    <cellStyle name="Normal 2 4 19 2 15 2" xfId="21603" xr:uid="{00000000-0005-0000-0000-00006E0F0000}"/>
    <cellStyle name="Normal 2 4 19 2 16" xfId="21597" xr:uid="{00000000-0005-0000-0000-00006F0F0000}"/>
    <cellStyle name="Normal 2 4 19 2 2" xfId="3713" xr:uid="{00000000-0005-0000-0000-0000700F0000}"/>
    <cellStyle name="Normal 2 4 19 2 2 10" xfId="3714" xr:uid="{00000000-0005-0000-0000-0000710F0000}"/>
    <cellStyle name="Normal 2 4 19 2 2 10 2" xfId="21605" xr:uid="{00000000-0005-0000-0000-0000720F0000}"/>
    <cellStyle name="Normal 2 4 19 2 2 11" xfId="3715" xr:uid="{00000000-0005-0000-0000-0000730F0000}"/>
    <cellStyle name="Normal 2 4 19 2 2 11 2" xfId="21606" xr:uid="{00000000-0005-0000-0000-0000740F0000}"/>
    <cellStyle name="Normal 2 4 19 2 2 12" xfId="3716" xr:uid="{00000000-0005-0000-0000-0000750F0000}"/>
    <cellStyle name="Normal 2 4 19 2 2 12 2" xfId="21607" xr:uid="{00000000-0005-0000-0000-0000760F0000}"/>
    <cellStyle name="Normal 2 4 19 2 2 13" xfId="3717" xr:uid="{00000000-0005-0000-0000-0000770F0000}"/>
    <cellStyle name="Normal 2 4 19 2 2 13 2" xfId="21608" xr:uid="{00000000-0005-0000-0000-0000780F0000}"/>
    <cellStyle name="Normal 2 4 19 2 2 14" xfId="3718" xr:uid="{00000000-0005-0000-0000-0000790F0000}"/>
    <cellStyle name="Normal 2 4 19 2 2 14 2" xfId="21609" xr:uid="{00000000-0005-0000-0000-00007A0F0000}"/>
    <cellStyle name="Normal 2 4 19 2 2 15" xfId="21604" xr:uid="{00000000-0005-0000-0000-00007B0F0000}"/>
    <cellStyle name="Normal 2 4 19 2 2 2" xfId="3719" xr:uid="{00000000-0005-0000-0000-00007C0F0000}"/>
    <cellStyle name="Normal 2 4 19 2 2 2 2" xfId="21610" xr:uid="{00000000-0005-0000-0000-00007D0F0000}"/>
    <cellStyle name="Normal 2 4 19 2 2 3" xfId="3720" xr:uid="{00000000-0005-0000-0000-00007E0F0000}"/>
    <cellStyle name="Normal 2 4 19 2 2 3 2" xfId="21611" xr:uid="{00000000-0005-0000-0000-00007F0F0000}"/>
    <cellStyle name="Normal 2 4 19 2 2 4" xfId="3721" xr:uid="{00000000-0005-0000-0000-0000800F0000}"/>
    <cellStyle name="Normal 2 4 19 2 2 4 2" xfId="21612" xr:uid="{00000000-0005-0000-0000-0000810F0000}"/>
    <cellStyle name="Normal 2 4 19 2 2 5" xfId="3722" xr:uid="{00000000-0005-0000-0000-0000820F0000}"/>
    <cellStyle name="Normal 2 4 19 2 2 5 2" xfId="21613" xr:uid="{00000000-0005-0000-0000-0000830F0000}"/>
    <cellStyle name="Normal 2 4 19 2 2 6" xfId="3723" xr:uid="{00000000-0005-0000-0000-0000840F0000}"/>
    <cellStyle name="Normal 2 4 19 2 2 6 2" xfId="21614" xr:uid="{00000000-0005-0000-0000-0000850F0000}"/>
    <cellStyle name="Normal 2 4 19 2 2 7" xfId="3724" xr:uid="{00000000-0005-0000-0000-0000860F0000}"/>
    <cellStyle name="Normal 2 4 19 2 2 7 2" xfId="21615" xr:uid="{00000000-0005-0000-0000-0000870F0000}"/>
    <cellStyle name="Normal 2 4 19 2 2 8" xfId="3725" xr:uid="{00000000-0005-0000-0000-0000880F0000}"/>
    <cellStyle name="Normal 2 4 19 2 2 8 2" xfId="21616" xr:uid="{00000000-0005-0000-0000-0000890F0000}"/>
    <cellStyle name="Normal 2 4 19 2 2 9" xfId="3726" xr:uid="{00000000-0005-0000-0000-00008A0F0000}"/>
    <cellStyle name="Normal 2 4 19 2 2 9 2" xfId="21617" xr:uid="{00000000-0005-0000-0000-00008B0F0000}"/>
    <cellStyle name="Normal 2 4 19 2 3" xfId="3727" xr:uid="{00000000-0005-0000-0000-00008C0F0000}"/>
    <cellStyle name="Normal 2 4 19 2 3 2" xfId="21618" xr:uid="{00000000-0005-0000-0000-00008D0F0000}"/>
    <cellStyle name="Normal 2 4 19 2 4" xfId="3728" xr:uid="{00000000-0005-0000-0000-00008E0F0000}"/>
    <cellStyle name="Normal 2 4 19 2 4 2" xfId="21619" xr:uid="{00000000-0005-0000-0000-00008F0F0000}"/>
    <cellStyle name="Normal 2 4 19 2 5" xfId="3729" xr:uid="{00000000-0005-0000-0000-0000900F0000}"/>
    <cellStyle name="Normal 2 4 19 2 5 2" xfId="21620" xr:uid="{00000000-0005-0000-0000-0000910F0000}"/>
    <cellStyle name="Normal 2 4 19 2 6" xfId="3730" xr:uid="{00000000-0005-0000-0000-0000920F0000}"/>
    <cellStyle name="Normal 2 4 19 2 6 2" xfId="21621" xr:uid="{00000000-0005-0000-0000-0000930F0000}"/>
    <cellStyle name="Normal 2 4 19 2 7" xfId="3731" xr:uid="{00000000-0005-0000-0000-0000940F0000}"/>
    <cellStyle name="Normal 2 4 19 2 7 2" xfId="21622" xr:uid="{00000000-0005-0000-0000-0000950F0000}"/>
    <cellStyle name="Normal 2 4 19 2 8" xfId="3732" xr:uid="{00000000-0005-0000-0000-0000960F0000}"/>
    <cellStyle name="Normal 2 4 19 2 8 2" xfId="21623" xr:uid="{00000000-0005-0000-0000-0000970F0000}"/>
    <cellStyle name="Normal 2 4 19 2 9" xfId="3733" xr:uid="{00000000-0005-0000-0000-0000980F0000}"/>
    <cellStyle name="Normal 2 4 19 2 9 2" xfId="21624" xr:uid="{00000000-0005-0000-0000-0000990F0000}"/>
    <cellStyle name="Normal 2 4 19 20" xfId="3734" xr:uid="{00000000-0005-0000-0000-00009A0F0000}"/>
    <cellStyle name="Normal 2 4 19 20 2" xfId="21625" xr:uid="{00000000-0005-0000-0000-00009B0F0000}"/>
    <cellStyle name="Normal 2 4 19 21" xfId="3735" xr:uid="{00000000-0005-0000-0000-00009C0F0000}"/>
    <cellStyle name="Normal 2 4 19 21 2" xfId="21626" xr:uid="{00000000-0005-0000-0000-00009D0F0000}"/>
    <cellStyle name="Normal 2 4 19 22" xfId="3736" xr:uid="{00000000-0005-0000-0000-00009E0F0000}"/>
    <cellStyle name="Normal 2 4 19 22 2" xfId="21627" xr:uid="{00000000-0005-0000-0000-00009F0F0000}"/>
    <cellStyle name="Normal 2 4 19 23" xfId="3737" xr:uid="{00000000-0005-0000-0000-0000A00F0000}"/>
    <cellStyle name="Normal 2 4 19 23 2" xfId="21628" xr:uid="{00000000-0005-0000-0000-0000A10F0000}"/>
    <cellStyle name="Normal 2 4 19 24" xfId="21573" xr:uid="{00000000-0005-0000-0000-0000A20F0000}"/>
    <cellStyle name="Normal 2 4 19 3" xfId="3738" xr:uid="{00000000-0005-0000-0000-0000A30F0000}"/>
    <cellStyle name="Normal 2 4 19 3 10" xfId="3739" xr:uid="{00000000-0005-0000-0000-0000A40F0000}"/>
    <cellStyle name="Normal 2 4 19 3 10 2" xfId="21630" xr:uid="{00000000-0005-0000-0000-0000A50F0000}"/>
    <cellStyle name="Normal 2 4 19 3 11" xfId="3740" xr:uid="{00000000-0005-0000-0000-0000A60F0000}"/>
    <cellStyle name="Normal 2 4 19 3 11 2" xfId="21631" xr:uid="{00000000-0005-0000-0000-0000A70F0000}"/>
    <cellStyle name="Normal 2 4 19 3 12" xfId="3741" xr:uid="{00000000-0005-0000-0000-0000A80F0000}"/>
    <cellStyle name="Normal 2 4 19 3 12 2" xfId="21632" xr:uid="{00000000-0005-0000-0000-0000A90F0000}"/>
    <cellStyle name="Normal 2 4 19 3 13" xfId="3742" xr:uid="{00000000-0005-0000-0000-0000AA0F0000}"/>
    <cellStyle name="Normal 2 4 19 3 13 2" xfId="21633" xr:uid="{00000000-0005-0000-0000-0000AB0F0000}"/>
    <cellStyle name="Normal 2 4 19 3 14" xfId="3743" xr:uid="{00000000-0005-0000-0000-0000AC0F0000}"/>
    <cellStyle name="Normal 2 4 19 3 14 2" xfId="21634" xr:uid="{00000000-0005-0000-0000-0000AD0F0000}"/>
    <cellStyle name="Normal 2 4 19 3 15" xfId="3744" xr:uid="{00000000-0005-0000-0000-0000AE0F0000}"/>
    <cellStyle name="Normal 2 4 19 3 15 2" xfId="21635" xr:uid="{00000000-0005-0000-0000-0000AF0F0000}"/>
    <cellStyle name="Normal 2 4 19 3 16" xfId="21629" xr:uid="{00000000-0005-0000-0000-0000B00F0000}"/>
    <cellStyle name="Normal 2 4 19 3 2" xfId="3745" xr:uid="{00000000-0005-0000-0000-0000B10F0000}"/>
    <cellStyle name="Normal 2 4 19 3 2 10" xfId="3746" xr:uid="{00000000-0005-0000-0000-0000B20F0000}"/>
    <cellStyle name="Normal 2 4 19 3 2 10 2" xfId="21637" xr:uid="{00000000-0005-0000-0000-0000B30F0000}"/>
    <cellStyle name="Normal 2 4 19 3 2 11" xfId="3747" xr:uid="{00000000-0005-0000-0000-0000B40F0000}"/>
    <cellStyle name="Normal 2 4 19 3 2 11 2" xfId="21638" xr:uid="{00000000-0005-0000-0000-0000B50F0000}"/>
    <cellStyle name="Normal 2 4 19 3 2 12" xfId="3748" xr:uid="{00000000-0005-0000-0000-0000B60F0000}"/>
    <cellStyle name="Normal 2 4 19 3 2 12 2" xfId="21639" xr:uid="{00000000-0005-0000-0000-0000B70F0000}"/>
    <cellStyle name="Normal 2 4 19 3 2 13" xfId="3749" xr:uid="{00000000-0005-0000-0000-0000B80F0000}"/>
    <cellStyle name="Normal 2 4 19 3 2 13 2" xfId="21640" xr:uid="{00000000-0005-0000-0000-0000B90F0000}"/>
    <cellStyle name="Normal 2 4 19 3 2 14" xfId="3750" xr:uid="{00000000-0005-0000-0000-0000BA0F0000}"/>
    <cellStyle name="Normal 2 4 19 3 2 14 2" xfId="21641" xr:uid="{00000000-0005-0000-0000-0000BB0F0000}"/>
    <cellStyle name="Normal 2 4 19 3 2 15" xfId="21636" xr:uid="{00000000-0005-0000-0000-0000BC0F0000}"/>
    <cellStyle name="Normal 2 4 19 3 2 2" xfId="3751" xr:uid="{00000000-0005-0000-0000-0000BD0F0000}"/>
    <cellStyle name="Normal 2 4 19 3 2 2 2" xfId="21642" xr:uid="{00000000-0005-0000-0000-0000BE0F0000}"/>
    <cellStyle name="Normal 2 4 19 3 2 3" xfId="3752" xr:uid="{00000000-0005-0000-0000-0000BF0F0000}"/>
    <cellStyle name="Normal 2 4 19 3 2 3 2" xfId="21643" xr:uid="{00000000-0005-0000-0000-0000C00F0000}"/>
    <cellStyle name="Normal 2 4 19 3 2 4" xfId="3753" xr:uid="{00000000-0005-0000-0000-0000C10F0000}"/>
    <cellStyle name="Normal 2 4 19 3 2 4 2" xfId="21644" xr:uid="{00000000-0005-0000-0000-0000C20F0000}"/>
    <cellStyle name="Normal 2 4 19 3 2 5" xfId="3754" xr:uid="{00000000-0005-0000-0000-0000C30F0000}"/>
    <cellStyle name="Normal 2 4 19 3 2 5 2" xfId="21645" xr:uid="{00000000-0005-0000-0000-0000C40F0000}"/>
    <cellStyle name="Normal 2 4 19 3 2 6" xfId="3755" xr:uid="{00000000-0005-0000-0000-0000C50F0000}"/>
    <cellStyle name="Normal 2 4 19 3 2 6 2" xfId="21646" xr:uid="{00000000-0005-0000-0000-0000C60F0000}"/>
    <cellStyle name="Normal 2 4 19 3 2 7" xfId="3756" xr:uid="{00000000-0005-0000-0000-0000C70F0000}"/>
    <cellStyle name="Normal 2 4 19 3 2 7 2" xfId="21647" xr:uid="{00000000-0005-0000-0000-0000C80F0000}"/>
    <cellStyle name="Normal 2 4 19 3 2 8" xfId="3757" xr:uid="{00000000-0005-0000-0000-0000C90F0000}"/>
    <cellStyle name="Normal 2 4 19 3 2 8 2" xfId="21648" xr:uid="{00000000-0005-0000-0000-0000CA0F0000}"/>
    <cellStyle name="Normal 2 4 19 3 2 9" xfId="3758" xr:uid="{00000000-0005-0000-0000-0000CB0F0000}"/>
    <cellStyle name="Normal 2 4 19 3 2 9 2" xfId="21649" xr:uid="{00000000-0005-0000-0000-0000CC0F0000}"/>
    <cellStyle name="Normal 2 4 19 3 3" xfId="3759" xr:uid="{00000000-0005-0000-0000-0000CD0F0000}"/>
    <cellStyle name="Normal 2 4 19 3 3 2" xfId="21650" xr:uid="{00000000-0005-0000-0000-0000CE0F0000}"/>
    <cellStyle name="Normal 2 4 19 3 4" xfId="3760" xr:uid="{00000000-0005-0000-0000-0000CF0F0000}"/>
    <cellStyle name="Normal 2 4 19 3 4 2" xfId="21651" xr:uid="{00000000-0005-0000-0000-0000D00F0000}"/>
    <cellStyle name="Normal 2 4 19 3 5" xfId="3761" xr:uid="{00000000-0005-0000-0000-0000D10F0000}"/>
    <cellStyle name="Normal 2 4 19 3 5 2" xfId="21652" xr:uid="{00000000-0005-0000-0000-0000D20F0000}"/>
    <cellStyle name="Normal 2 4 19 3 6" xfId="3762" xr:uid="{00000000-0005-0000-0000-0000D30F0000}"/>
    <cellStyle name="Normal 2 4 19 3 6 2" xfId="21653" xr:uid="{00000000-0005-0000-0000-0000D40F0000}"/>
    <cellStyle name="Normal 2 4 19 3 7" xfId="3763" xr:uid="{00000000-0005-0000-0000-0000D50F0000}"/>
    <cellStyle name="Normal 2 4 19 3 7 2" xfId="21654" xr:uid="{00000000-0005-0000-0000-0000D60F0000}"/>
    <cellStyle name="Normal 2 4 19 3 8" xfId="3764" xr:uid="{00000000-0005-0000-0000-0000D70F0000}"/>
    <cellStyle name="Normal 2 4 19 3 8 2" xfId="21655" xr:uid="{00000000-0005-0000-0000-0000D80F0000}"/>
    <cellStyle name="Normal 2 4 19 3 9" xfId="3765" xr:uid="{00000000-0005-0000-0000-0000D90F0000}"/>
    <cellStyle name="Normal 2 4 19 3 9 2" xfId="21656" xr:uid="{00000000-0005-0000-0000-0000DA0F0000}"/>
    <cellStyle name="Normal 2 4 19 4" xfId="3766" xr:uid="{00000000-0005-0000-0000-0000DB0F0000}"/>
    <cellStyle name="Normal 2 4 19 4 10" xfId="3767" xr:uid="{00000000-0005-0000-0000-0000DC0F0000}"/>
    <cellStyle name="Normal 2 4 19 4 10 2" xfId="21658" xr:uid="{00000000-0005-0000-0000-0000DD0F0000}"/>
    <cellStyle name="Normal 2 4 19 4 11" xfId="3768" xr:uid="{00000000-0005-0000-0000-0000DE0F0000}"/>
    <cellStyle name="Normal 2 4 19 4 11 2" xfId="21659" xr:uid="{00000000-0005-0000-0000-0000DF0F0000}"/>
    <cellStyle name="Normal 2 4 19 4 12" xfId="3769" xr:uid="{00000000-0005-0000-0000-0000E00F0000}"/>
    <cellStyle name="Normal 2 4 19 4 12 2" xfId="21660" xr:uid="{00000000-0005-0000-0000-0000E10F0000}"/>
    <cellStyle name="Normal 2 4 19 4 13" xfId="3770" xr:uid="{00000000-0005-0000-0000-0000E20F0000}"/>
    <cellStyle name="Normal 2 4 19 4 13 2" xfId="21661" xr:uid="{00000000-0005-0000-0000-0000E30F0000}"/>
    <cellStyle name="Normal 2 4 19 4 14" xfId="3771" xr:uid="{00000000-0005-0000-0000-0000E40F0000}"/>
    <cellStyle name="Normal 2 4 19 4 14 2" xfId="21662" xr:uid="{00000000-0005-0000-0000-0000E50F0000}"/>
    <cellStyle name="Normal 2 4 19 4 15" xfId="3772" xr:uid="{00000000-0005-0000-0000-0000E60F0000}"/>
    <cellStyle name="Normal 2 4 19 4 15 2" xfId="21663" xr:uid="{00000000-0005-0000-0000-0000E70F0000}"/>
    <cellStyle name="Normal 2 4 19 4 16" xfId="21657" xr:uid="{00000000-0005-0000-0000-0000E80F0000}"/>
    <cellStyle name="Normal 2 4 19 4 2" xfId="3773" xr:uid="{00000000-0005-0000-0000-0000E90F0000}"/>
    <cellStyle name="Normal 2 4 19 4 2 10" xfId="3774" xr:uid="{00000000-0005-0000-0000-0000EA0F0000}"/>
    <cellStyle name="Normal 2 4 19 4 2 10 2" xfId="21665" xr:uid="{00000000-0005-0000-0000-0000EB0F0000}"/>
    <cellStyle name="Normal 2 4 19 4 2 11" xfId="3775" xr:uid="{00000000-0005-0000-0000-0000EC0F0000}"/>
    <cellStyle name="Normal 2 4 19 4 2 11 2" xfId="21666" xr:uid="{00000000-0005-0000-0000-0000ED0F0000}"/>
    <cellStyle name="Normal 2 4 19 4 2 12" xfId="3776" xr:uid="{00000000-0005-0000-0000-0000EE0F0000}"/>
    <cellStyle name="Normal 2 4 19 4 2 12 2" xfId="21667" xr:uid="{00000000-0005-0000-0000-0000EF0F0000}"/>
    <cellStyle name="Normal 2 4 19 4 2 13" xfId="3777" xr:uid="{00000000-0005-0000-0000-0000F00F0000}"/>
    <cellStyle name="Normal 2 4 19 4 2 13 2" xfId="21668" xr:uid="{00000000-0005-0000-0000-0000F10F0000}"/>
    <cellStyle name="Normal 2 4 19 4 2 14" xfId="3778" xr:uid="{00000000-0005-0000-0000-0000F20F0000}"/>
    <cellStyle name="Normal 2 4 19 4 2 14 2" xfId="21669" xr:uid="{00000000-0005-0000-0000-0000F30F0000}"/>
    <cellStyle name="Normal 2 4 19 4 2 15" xfId="21664" xr:uid="{00000000-0005-0000-0000-0000F40F0000}"/>
    <cellStyle name="Normal 2 4 19 4 2 2" xfId="3779" xr:uid="{00000000-0005-0000-0000-0000F50F0000}"/>
    <cellStyle name="Normal 2 4 19 4 2 2 2" xfId="21670" xr:uid="{00000000-0005-0000-0000-0000F60F0000}"/>
    <cellStyle name="Normal 2 4 19 4 2 3" xfId="3780" xr:uid="{00000000-0005-0000-0000-0000F70F0000}"/>
    <cellStyle name="Normal 2 4 19 4 2 3 2" xfId="21671" xr:uid="{00000000-0005-0000-0000-0000F80F0000}"/>
    <cellStyle name="Normal 2 4 19 4 2 4" xfId="3781" xr:uid="{00000000-0005-0000-0000-0000F90F0000}"/>
    <cellStyle name="Normal 2 4 19 4 2 4 2" xfId="21672" xr:uid="{00000000-0005-0000-0000-0000FA0F0000}"/>
    <cellStyle name="Normal 2 4 19 4 2 5" xfId="3782" xr:uid="{00000000-0005-0000-0000-0000FB0F0000}"/>
    <cellStyle name="Normal 2 4 19 4 2 5 2" xfId="21673" xr:uid="{00000000-0005-0000-0000-0000FC0F0000}"/>
    <cellStyle name="Normal 2 4 19 4 2 6" xfId="3783" xr:uid="{00000000-0005-0000-0000-0000FD0F0000}"/>
    <cellStyle name="Normal 2 4 19 4 2 6 2" xfId="21674" xr:uid="{00000000-0005-0000-0000-0000FE0F0000}"/>
    <cellStyle name="Normal 2 4 19 4 2 7" xfId="3784" xr:uid="{00000000-0005-0000-0000-0000FF0F0000}"/>
    <cellStyle name="Normal 2 4 19 4 2 7 2" xfId="21675" xr:uid="{00000000-0005-0000-0000-000000100000}"/>
    <cellStyle name="Normal 2 4 19 4 2 8" xfId="3785" xr:uid="{00000000-0005-0000-0000-000001100000}"/>
    <cellStyle name="Normal 2 4 19 4 2 8 2" xfId="21676" xr:uid="{00000000-0005-0000-0000-000002100000}"/>
    <cellStyle name="Normal 2 4 19 4 2 9" xfId="3786" xr:uid="{00000000-0005-0000-0000-000003100000}"/>
    <cellStyle name="Normal 2 4 19 4 2 9 2" xfId="21677" xr:uid="{00000000-0005-0000-0000-000004100000}"/>
    <cellStyle name="Normal 2 4 19 4 3" xfId="3787" xr:uid="{00000000-0005-0000-0000-000005100000}"/>
    <cellStyle name="Normal 2 4 19 4 3 2" xfId="21678" xr:uid="{00000000-0005-0000-0000-000006100000}"/>
    <cellStyle name="Normal 2 4 19 4 4" xfId="3788" xr:uid="{00000000-0005-0000-0000-000007100000}"/>
    <cellStyle name="Normal 2 4 19 4 4 2" xfId="21679" xr:uid="{00000000-0005-0000-0000-000008100000}"/>
    <cellStyle name="Normal 2 4 19 4 5" xfId="3789" xr:uid="{00000000-0005-0000-0000-000009100000}"/>
    <cellStyle name="Normal 2 4 19 4 5 2" xfId="21680" xr:uid="{00000000-0005-0000-0000-00000A100000}"/>
    <cellStyle name="Normal 2 4 19 4 6" xfId="3790" xr:uid="{00000000-0005-0000-0000-00000B100000}"/>
    <cellStyle name="Normal 2 4 19 4 6 2" xfId="21681" xr:uid="{00000000-0005-0000-0000-00000C100000}"/>
    <cellStyle name="Normal 2 4 19 4 7" xfId="3791" xr:uid="{00000000-0005-0000-0000-00000D100000}"/>
    <cellStyle name="Normal 2 4 19 4 7 2" xfId="21682" xr:uid="{00000000-0005-0000-0000-00000E100000}"/>
    <cellStyle name="Normal 2 4 19 4 8" xfId="3792" xr:uid="{00000000-0005-0000-0000-00000F100000}"/>
    <cellStyle name="Normal 2 4 19 4 8 2" xfId="21683" xr:uid="{00000000-0005-0000-0000-000010100000}"/>
    <cellStyle name="Normal 2 4 19 4 9" xfId="3793" xr:uid="{00000000-0005-0000-0000-000011100000}"/>
    <cellStyle name="Normal 2 4 19 4 9 2" xfId="21684" xr:uid="{00000000-0005-0000-0000-000012100000}"/>
    <cellStyle name="Normal 2 4 19 5" xfId="3794" xr:uid="{00000000-0005-0000-0000-000013100000}"/>
    <cellStyle name="Normal 2 4 19 5 10" xfId="3795" xr:uid="{00000000-0005-0000-0000-000014100000}"/>
    <cellStyle name="Normal 2 4 19 5 10 2" xfId="21686" xr:uid="{00000000-0005-0000-0000-000015100000}"/>
    <cellStyle name="Normal 2 4 19 5 11" xfId="3796" xr:uid="{00000000-0005-0000-0000-000016100000}"/>
    <cellStyle name="Normal 2 4 19 5 11 2" xfId="21687" xr:uid="{00000000-0005-0000-0000-000017100000}"/>
    <cellStyle name="Normal 2 4 19 5 12" xfId="3797" xr:uid="{00000000-0005-0000-0000-000018100000}"/>
    <cellStyle name="Normal 2 4 19 5 12 2" xfId="21688" xr:uid="{00000000-0005-0000-0000-000019100000}"/>
    <cellStyle name="Normal 2 4 19 5 13" xfId="3798" xr:uid="{00000000-0005-0000-0000-00001A100000}"/>
    <cellStyle name="Normal 2 4 19 5 13 2" xfId="21689" xr:uid="{00000000-0005-0000-0000-00001B100000}"/>
    <cellStyle name="Normal 2 4 19 5 14" xfId="3799" xr:uid="{00000000-0005-0000-0000-00001C100000}"/>
    <cellStyle name="Normal 2 4 19 5 14 2" xfId="21690" xr:uid="{00000000-0005-0000-0000-00001D100000}"/>
    <cellStyle name="Normal 2 4 19 5 15" xfId="21685" xr:uid="{00000000-0005-0000-0000-00001E100000}"/>
    <cellStyle name="Normal 2 4 19 5 2" xfId="3800" xr:uid="{00000000-0005-0000-0000-00001F100000}"/>
    <cellStyle name="Normal 2 4 19 5 2 2" xfId="21691" xr:uid="{00000000-0005-0000-0000-000020100000}"/>
    <cellStyle name="Normal 2 4 19 5 3" xfId="3801" xr:uid="{00000000-0005-0000-0000-000021100000}"/>
    <cellStyle name="Normal 2 4 19 5 3 2" xfId="21692" xr:uid="{00000000-0005-0000-0000-000022100000}"/>
    <cellStyle name="Normal 2 4 19 5 4" xfId="3802" xr:uid="{00000000-0005-0000-0000-000023100000}"/>
    <cellStyle name="Normal 2 4 19 5 4 2" xfId="21693" xr:uid="{00000000-0005-0000-0000-000024100000}"/>
    <cellStyle name="Normal 2 4 19 5 5" xfId="3803" xr:uid="{00000000-0005-0000-0000-000025100000}"/>
    <cellStyle name="Normal 2 4 19 5 5 2" xfId="21694" xr:uid="{00000000-0005-0000-0000-000026100000}"/>
    <cellStyle name="Normal 2 4 19 5 6" xfId="3804" xr:uid="{00000000-0005-0000-0000-000027100000}"/>
    <cellStyle name="Normal 2 4 19 5 6 2" xfId="21695" xr:uid="{00000000-0005-0000-0000-000028100000}"/>
    <cellStyle name="Normal 2 4 19 5 7" xfId="3805" xr:uid="{00000000-0005-0000-0000-000029100000}"/>
    <cellStyle name="Normal 2 4 19 5 7 2" xfId="21696" xr:uid="{00000000-0005-0000-0000-00002A100000}"/>
    <cellStyle name="Normal 2 4 19 5 8" xfId="3806" xr:uid="{00000000-0005-0000-0000-00002B100000}"/>
    <cellStyle name="Normal 2 4 19 5 8 2" xfId="21697" xr:uid="{00000000-0005-0000-0000-00002C100000}"/>
    <cellStyle name="Normal 2 4 19 5 9" xfId="3807" xr:uid="{00000000-0005-0000-0000-00002D100000}"/>
    <cellStyle name="Normal 2 4 19 5 9 2" xfId="21698" xr:uid="{00000000-0005-0000-0000-00002E100000}"/>
    <cellStyle name="Normal 2 4 19 6" xfId="3808" xr:uid="{00000000-0005-0000-0000-00002F100000}"/>
    <cellStyle name="Normal 2 4 19 6 10" xfId="3809" xr:uid="{00000000-0005-0000-0000-000030100000}"/>
    <cellStyle name="Normal 2 4 19 6 10 2" xfId="21700" xr:uid="{00000000-0005-0000-0000-000031100000}"/>
    <cellStyle name="Normal 2 4 19 6 11" xfId="3810" xr:uid="{00000000-0005-0000-0000-000032100000}"/>
    <cellStyle name="Normal 2 4 19 6 11 2" xfId="21701" xr:uid="{00000000-0005-0000-0000-000033100000}"/>
    <cellStyle name="Normal 2 4 19 6 12" xfId="3811" xr:uid="{00000000-0005-0000-0000-000034100000}"/>
    <cellStyle name="Normal 2 4 19 6 12 2" xfId="21702" xr:uid="{00000000-0005-0000-0000-000035100000}"/>
    <cellStyle name="Normal 2 4 19 6 13" xfId="3812" xr:uid="{00000000-0005-0000-0000-000036100000}"/>
    <cellStyle name="Normal 2 4 19 6 13 2" xfId="21703" xr:uid="{00000000-0005-0000-0000-000037100000}"/>
    <cellStyle name="Normal 2 4 19 6 14" xfId="3813" xr:uid="{00000000-0005-0000-0000-000038100000}"/>
    <cellStyle name="Normal 2 4 19 6 14 2" xfId="21704" xr:uid="{00000000-0005-0000-0000-000039100000}"/>
    <cellStyle name="Normal 2 4 19 6 15" xfId="21699" xr:uid="{00000000-0005-0000-0000-00003A100000}"/>
    <cellStyle name="Normal 2 4 19 6 2" xfId="3814" xr:uid="{00000000-0005-0000-0000-00003B100000}"/>
    <cellStyle name="Normal 2 4 19 6 2 2" xfId="21705" xr:uid="{00000000-0005-0000-0000-00003C100000}"/>
    <cellStyle name="Normal 2 4 19 6 3" xfId="3815" xr:uid="{00000000-0005-0000-0000-00003D100000}"/>
    <cellStyle name="Normal 2 4 19 6 3 2" xfId="21706" xr:uid="{00000000-0005-0000-0000-00003E100000}"/>
    <cellStyle name="Normal 2 4 19 6 4" xfId="3816" xr:uid="{00000000-0005-0000-0000-00003F100000}"/>
    <cellStyle name="Normal 2 4 19 6 4 2" xfId="21707" xr:uid="{00000000-0005-0000-0000-000040100000}"/>
    <cellStyle name="Normal 2 4 19 6 5" xfId="3817" xr:uid="{00000000-0005-0000-0000-000041100000}"/>
    <cellStyle name="Normal 2 4 19 6 5 2" xfId="21708" xr:uid="{00000000-0005-0000-0000-000042100000}"/>
    <cellStyle name="Normal 2 4 19 6 6" xfId="3818" xr:uid="{00000000-0005-0000-0000-000043100000}"/>
    <cellStyle name="Normal 2 4 19 6 6 2" xfId="21709" xr:uid="{00000000-0005-0000-0000-000044100000}"/>
    <cellStyle name="Normal 2 4 19 6 7" xfId="3819" xr:uid="{00000000-0005-0000-0000-000045100000}"/>
    <cellStyle name="Normal 2 4 19 6 7 2" xfId="21710" xr:uid="{00000000-0005-0000-0000-000046100000}"/>
    <cellStyle name="Normal 2 4 19 6 8" xfId="3820" xr:uid="{00000000-0005-0000-0000-000047100000}"/>
    <cellStyle name="Normal 2 4 19 6 8 2" xfId="21711" xr:uid="{00000000-0005-0000-0000-000048100000}"/>
    <cellStyle name="Normal 2 4 19 6 9" xfId="3821" xr:uid="{00000000-0005-0000-0000-000049100000}"/>
    <cellStyle name="Normal 2 4 19 6 9 2" xfId="21712" xr:uid="{00000000-0005-0000-0000-00004A100000}"/>
    <cellStyle name="Normal 2 4 19 7" xfId="3822" xr:uid="{00000000-0005-0000-0000-00004B100000}"/>
    <cellStyle name="Normal 2 4 19 7 10" xfId="3823" xr:uid="{00000000-0005-0000-0000-00004C100000}"/>
    <cellStyle name="Normal 2 4 19 7 10 2" xfId="21714" xr:uid="{00000000-0005-0000-0000-00004D100000}"/>
    <cellStyle name="Normal 2 4 19 7 11" xfId="3824" xr:uid="{00000000-0005-0000-0000-00004E100000}"/>
    <cellStyle name="Normal 2 4 19 7 11 2" xfId="21715" xr:uid="{00000000-0005-0000-0000-00004F100000}"/>
    <cellStyle name="Normal 2 4 19 7 12" xfId="3825" xr:uid="{00000000-0005-0000-0000-000050100000}"/>
    <cellStyle name="Normal 2 4 19 7 12 2" xfId="21716" xr:uid="{00000000-0005-0000-0000-000051100000}"/>
    <cellStyle name="Normal 2 4 19 7 13" xfId="3826" xr:uid="{00000000-0005-0000-0000-000052100000}"/>
    <cellStyle name="Normal 2 4 19 7 13 2" xfId="21717" xr:uid="{00000000-0005-0000-0000-000053100000}"/>
    <cellStyle name="Normal 2 4 19 7 14" xfId="3827" xr:uid="{00000000-0005-0000-0000-000054100000}"/>
    <cellStyle name="Normal 2 4 19 7 14 2" xfId="21718" xr:uid="{00000000-0005-0000-0000-000055100000}"/>
    <cellStyle name="Normal 2 4 19 7 15" xfId="21713" xr:uid="{00000000-0005-0000-0000-000056100000}"/>
    <cellStyle name="Normal 2 4 19 7 2" xfId="3828" xr:uid="{00000000-0005-0000-0000-000057100000}"/>
    <cellStyle name="Normal 2 4 19 7 2 2" xfId="21719" xr:uid="{00000000-0005-0000-0000-000058100000}"/>
    <cellStyle name="Normal 2 4 19 7 3" xfId="3829" xr:uid="{00000000-0005-0000-0000-000059100000}"/>
    <cellStyle name="Normal 2 4 19 7 3 2" xfId="21720" xr:uid="{00000000-0005-0000-0000-00005A100000}"/>
    <cellStyle name="Normal 2 4 19 7 4" xfId="3830" xr:uid="{00000000-0005-0000-0000-00005B100000}"/>
    <cellStyle name="Normal 2 4 19 7 4 2" xfId="21721" xr:uid="{00000000-0005-0000-0000-00005C100000}"/>
    <cellStyle name="Normal 2 4 19 7 5" xfId="3831" xr:uid="{00000000-0005-0000-0000-00005D100000}"/>
    <cellStyle name="Normal 2 4 19 7 5 2" xfId="21722" xr:uid="{00000000-0005-0000-0000-00005E100000}"/>
    <cellStyle name="Normal 2 4 19 7 6" xfId="3832" xr:uid="{00000000-0005-0000-0000-00005F100000}"/>
    <cellStyle name="Normal 2 4 19 7 6 2" xfId="21723" xr:uid="{00000000-0005-0000-0000-000060100000}"/>
    <cellStyle name="Normal 2 4 19 7 7" xfId="3833" xr:uid="{00000000-0005-0000-0000-000061100000}"/>
    <cellStyle name="Normal 2 4 19 7 7 2" xfId="21724" xr:uid="{00000000-0005-0000-0000-000062100000}"/>
    <cellStyle name="Normal 2 4 19 7 8" xfId="3834" xr:uid="{00000000-0005-0000-0000-000063100000}"/>
    <cellStyle name="Normal 2 4 19 7 8 2" xfId="21725" xr:uid="{00000000-0005-0000-0000-000064100000}"/>
    <cellStyle name="Normal 2 4 19 7 9" xfId="3835" xr:uid="{00000000-0005-0000-0000-000065100000}"/>
    <cellStyle name="Normal 2 4 19 7 9 2" xfId="21726" xr:uid="{00000000-0005-0000-0000-000066100000}"/>
    <cellStyle name="Normal 2 4 19 8" xfId="3836" xr:uid="{00000000-0005-0000-0000-000067100000}"/>
    <cellStyle name="Normal 2 4 19 8 10" xfId="3837" xr:uid="{00000000-0005-0000-0000-000068100000}"/>
    <cellStyle name="Normal 2 4 19 8 10 2" xfId="21728" xr:uid="{00000000-0005-0000-0000-000069100000}"/>
    <cellStyle name="Normal 2 4 19 8 11" xfId="3838" xr:uid="{00000000-0005-0000-0000-00006A100000}"/>
    <cellStyle name="Normal 2 4 19 8 11 2" xfId="21729" xr:uid="{00000000-0005-0000-0000-00006B100000}"/>
    <cellStyle name="Normal 2 4 19 8 12" xfId="3839" xr:uid="{00000000-0005-0000-0000-00006C100000}"/>
    <cellStyle name="Normal 2 4 19 8 12 2" xfId="21730" xr:uid="{00000000-0005-0000-0000-00006D100000}"/>
    <cellStyle name="Normal 2 4 19 8 13" xfId="3840" xr:uid="{00000000-0005-0000-0000-00006E100000}"/>
    <cellStyle name="Normal 2 4 19 8 13 2" xfId="21731" xr:uid="{00000000-0005-0000-0000-00006F100000}"/>
    <cellStyle name="Normal 2 4 19 8 14" xfId="3841" xr:uid="{00000000-0005-0000-0000-000070100000}"/>
    <cellStyle name="Normal 2 4 19 8 14 2" xfId="21732" xr:uid="{00000000-0005-0000-0000-000071100000}"/>
    <cellStyle name="Normal 2 4 19 8 15" xfId="21727" xr:uid="{00000000-0005-0000-0000-000072100000}"/>
    <cellStyle name="Normal 2 4 19 8 2" xfId="3842" xr:uid="{00000000-0005-0000-0000-000073100000}"/>
    <cellStyle name="Normal 2 4 19 8 2 2" xfId="21733" xr:uid="{00000000-0005-0000-0000-000074100000}"/>
    <cellStyle name="Normal 2 4 19 8 3" xfId="3843" xr:uid="{00000000-0005-0000-0000-000075100000}"/>
    <cellStyle name="Normal 2 4 19 8 3 2" xfId="21734" xr:uid="{00000000-0005-0000-0000-000076100000}"/>
    <cellStyle name="Normal 2 4 19 8 4" xfId="3844" xr:uid="{00000000-0005-0000-0000-000077100000}"/>
    <cellStyle name="Normal 2 4 19 8 4 2" xfId="21735" xr:uid="{00000000-0005-0000-0000-000078100000}"/>
    <cellStyle name="Normal 2 4 19 8 5" xfId="3845" xr:uid="{00000000-0005-0000-0000-000079100000}"/>
    <cellStyle name="Normal 2 4 19 8 5 2" xfId="21736" xr:uid="{00000000-0005-0000-0000-00007A100000}"/>
    <cellStyle name="Normal 2 4 19 8 6" xfId="3846" xr:uid="{00000000-0005-0000-0000-00007B100000}"/>
    <cellStyle name="Normal 2 4 19 8 6 2" xfId="21737" xr:uid="{00000000-0005-0000-0000-00007C100000}"/>
    <cellStyle name="Normal 2 4 19 8 7" xfId="3847" xr:uid="{00000000-0005-0000-0000-00007D100000}"/>
    <cellStyle name="Normal 2 4 19 8 7 2" xfId="21738" xr:uid="{00000000-0005-0000-0000-00007E100000}"/>
    <cellStyle name="Normal 2 4 19 8 8" xfId="3848" xr:uid="{00000000-0005-0000-0000-00007F100000}"/>
    <cellStyle name="Normal 2 4 19 8 8 2" xfId="21739" xr:uid="{00000000-0005-0000-0000-000080100000}"/>
    <cellStyle name="Normal 2 4 19 8 9" xfId="3849" xr:uid="{00000000-0005-0000-0000-000081100000}"/>
    <cellStyle name="Normal 2 4 19 8 9 2" xfId="21740" xr:uid="{00000000-0005-0000-0000-000082100000}"/>
    <cellStyle name="Normal 2 4 19 9" xfId="3850" xr:uid="{00000000-0005-0000-0000-000083100000}"/>
    <cellStyle name="Normal 2 4 19 9 10" xfId="3851" xr:uid="{00000000-0005-0000-0000-000084100000}"/>
    <cellStyle name="Normal 2 4 19 9 10 2" xfId="21742" xr:uid="{00000000-0005-0000-0000-000085100000}"/>
    <cellStyle name="Normal 2 4 19 9 11" xfId="3852" xr:uid="{00000000-0005-0000-0000-000086100000}"/>
    <cellStyle name="Normal 2 4 19 9 11 2" xfId="21743" xr:uid="{00000000-0005-0000-0000-000087100000}"/>
    <cellStyle name="Normal 2 4 19 9 12" xfId="3853" xr:uid="{00000000-0005-0000-0000-000088100000}"/>
    <cellStyle name="Normal 2 4 19 9 12 2" xfId="21744" xr:uid="{00000000-0005-0000-0000-000089100000}"/>
    <cellStyle name="Normal 2 4 19 9 13" xfId="3854" xr:uid="{00000000-0005-0000-0000-00008A100000}"/>
    <cellStyle name="Normal 2 4 19 9 13 2" xfId="21745" xr:uid="{00000000-0005-0000-0000-00008B100000}"/>
    <cellStyle name="Normal 2 4 19 9 14" xfId="3855" xr:uid="{00000000-0005-0000-0000-00008C100000}"/>
    <cellStyle name="Normal 2 4 19 9 14 2" xfId="21746" xr:uid="{00000000-0005-0000-0000-00008D100000}"/>
    <cellStyle name="Normal 2 4 19 9 15" xfId="21741" xr:uid="{00000000-0005-0000-0000-00008E100000}"/>
    <cellStyle name="Normal 2 4 19 9 2" xfId="3856" xr:uid="{00000000-0005-0000-0000-00008F100000}"/>
    <cellStyle name="Normal 2 4 19 9 2 2" xfId="21747" xr:uid="{00000000-0005-0000-0000-000090100000}"/>
    <cellStyle name="Normal 2 4 19 9 3" xfId="3857" xr:uid="{00000000-0005-0000-0000-000091100000}"/>
    <cellStyle name="Normal 2 4 19 9 3 2" xfId="21748" xr:uid="{00000000-0005-0000-0000-000092100000}"/>
    <cellStyle name="Normal 2 4 19 9 4" xfId="3858" xr:uid="{00000000-0005-0000-0000-000093100000}"/>
    <cellStyle name="Normal 2 4 19 9 4 2" xfId="21749" xr:uid="{00000000-0005-0000-0000-000094100000}"/>
    <cellStyle name="Normal 2 4 19 9 5" xfId="3859" xr:uid="{00000000-0005-0000-0000-000095100000}"/>
    <cellStyle name="Normal 2 4 19 9 5 2" xfId="21750" xr:uid="{00000000-0005-0000-0000-000096100000}"/>
    <cellStyle name="Normal 2 4 19 9 6" xfId="3860" xr:uid="{00000000-0005-0000-0000-000097100000}"/>
    <cellStyle name="Normal 2 4 19 9 6 2" xfId="21751" xr:uid="{00000000-0005-0000-0000-000098100000}"/>
    <cellStyle name="Normal 2 4 19 9 7" xfId="3861" xr:uid="{00000000-0005-0000-0000-000099100000}"/>
    <cellStyle name="Normal 2 4 19 9 7 2" xfId="21752" xr:uid="{00000000-0005-0000-0000-00009A100000}"/>
    <cellStyle name="Normal 2 4 19 9 8" xfId="3862" xr:uid="{00000000-0005-0000-0000-00009B100000}"/>
    <cellStyle name="Normal 2 4 19 9 8 2" xfId="21753" xr:uid="{00000000-0005-0000-0000-00009C100000}"/>
    <cellStyle name="Normal 2 4 19 9 9" xfId="3863" xr:uid="{00000000-0005-0000-0000-00009D100000}"/>
    <cellStyle name="Normal 2 4 19 9 9 2" xfId="21754" xr:uid="{00000000-0005-0000-0000-00009E100000}"/>
    <cellStyle name="Normal 2 4 2" xfId="47" xr:uid="{00000000-0005-0000-0000-00009F100000}"/>
    <cellStyle name="Normal 2 4 2 10" xfId="3864" xr:uid="{00000000-0005-0000-0000-0000A0100000}"/>
    <cellStyle name="Normal 2 4 2 11" xfId="3865" xr:uid="{00000000-0005-0000-0000-0000A1100000}"/>
    <cellStyle name="Normal 2 4 2 12" xfId="3866" xr:uid="{00000000-0005-0000-0000-0000A2100000}"/>
    <cellStyle name="Normal 2 4 2 13" xfId="3867" xr:uid="{00000000-0005-0000-0000-0000A3100000}"/>
    <cellStyle name="Normal 2 4 2 14" xfId="3868" xr:uid="{00000000-0005-0000-0000-0000A4100000}"/>
    <cellStyle name="Normal 2 4 2 15" xfId="3869" xr:uid="{00000000-0005-0000-0000-0000A5100000}"/>
    <cellStyle name="Normal 2 4 2 16" xfId="3870" xr:uid="{00000000-0005-0000-0000-0000A6100000}"/>
    <cellStyle name="Normal 2 4 2 16 10" xfId="3871" xr:uid="{00000000-0005-0000-0000-0000A7100000}"/>
    <cellStyle name="Normal 2 4 2 16 10 2" xfId="21757" xr:uid="{00000000-0005-0000-0000-0000A8100000}"/>
    <cellStyle name="Normal 2 4 2 16 11" xfId="3872" xr:uid="{00000000-0005-0000-0000-0000A9100000}"/>
    <cellStyle name="Normal 2 4 2 16 11 2" xfId="21758" xr:uid="{00000000-0005-0000-0000-0000AA100000}"/>
    <cellStyle name="Normal 2 4 2 16 12" xfId="3873" xr:uid="{00000000-0005-0000-0000-0000AB100000}"/>
    <cellStyle name="Normal 2 4 2 16 12 2" xfId="21759" xr:uid="{00000000-0005-0000-0000-0000AC100000}"/>
    <cellStyle name="Normal 2 4 2 16 13" xfId="3874" xr:uid="{00000000-0005-0000-0000-0000AD100000}"/>
    <cellStyle name="Normal 2 4 2 16 13 2" xfId="21760" xr:uid="{00000000-0005-0000-0000-0000AE100000}"/>
    <cellStyle name="Normal 2 4 2 16 14" xfId="3875" xr:uid="{00000000-0005-0000-0000-0000AF100000}"/>
    <cellStyle name="Normal 2 4 2 16 14 2" xfId="21761" xr:uid="{00000000-0005-0000-0000-0000B0100000}"/>
    <cellStyle name="Normal 2 4 2 16 15" xfId="3876" xr:uid="{00000000-0005-0000-0000-0000B1100000}"/>
    <cellStyle name="Normal 2 4 2 16 15 2" xfId="21762" xr:uid="{00000000-0005-0000-0000-0000B2100000}"/>
    <cellStyle name="Normal 2 4 2 16 16" xfId="3877" xr:uid="{00000000-0005-0000-0000-0000B3100000}"/>
    <cellStyle name="Normal 2 4 2 16 16 2" xfId="21763" xr:uid="{00000000-0005-0000-0000-0000B4100000}"/>
    <cellStyle name="Normal 2 4 2 16 17" xfId="3878" xr:uid="{00000000-0005-0000-0000-0000B5100000}"/>
    <cellStyle name="Normal 2 4 2 16 17 2" xfId="21764" xr:uid="{00000000-0005-0000-0000-0000B6100000}"/>
    <cellStyle name="Normal 2 4 2 16 18" xfId="21756" xr:uid="{00000000-0005-0000-0000-0000B7100000}"/>
    <cellStyle name="Normal 2 4 2 16 2" xfId="3879" xr:uid="{00000000-0005-0000-0000-0000B8100000}"/>
    <cellStyle name="Normal 2 4 2 16 3" xfId="3880" xr:uid="{00000000-0005-0000-0000-0000B9100000}"/>
    <cellStyle name="Normal 2 4 2 16 4" xfId="3881" xr:uid="{00000000-0005-0000-0000-0000BA100000}"/>
    <cellStyle name="Normal 2 4 2 16 5" xfId="3882" xr:uid="{00000000-0005-0000-0000-0000BB100000}"/>
    <cellStyle name="Normal 2 4 2 16 5 2" xfId="21765" xr:uid="{00000000-0005-0000-0000-0000BC100000}"/>
    <cellStyle name="Normal 2 4 2 16 6" xfId="3883" xr:uid="{00000000-0005-0000-0000-0000BD100000}"/>
    <cellStyle name="Normal 2 4 2 16 6 2" xfId="21766" xr:uid="{00000000-0005-0000-0000-0000BE100000}"/>
    <cellStyle name="Normal 2 4 2 16 7" xfId="3884" xr:uid="{00000000-0005-0000-0000-0000BF100000}"/>
    <cellStyle name="Normal 2 4 2 16 7 2" xfId="21767" xr:uid="{00000000-0005-0000-0000-0000C0100000}"/>
    <cellStyle name="Normal 2 4 2 16 8" xfId="3885" xr:uid="{00000000-0005-0000-0000-0000C1100000}"/>
    <cellStyle name="Normal 2 4 2 16 8 2" xfId="21768" xr:uid="{00000000-0005-0000-0000-0000C2100000}"/>
    <cellStyle name="Normal 2 4 2 16 9" xfId="3886" xr:uid="{00000000-0005-0000-0000-0000C3100000}"/>
    <cellStyle name="Normal 2 4 2 16 9 2" xfId="21769" xr:uid="{00000000-0005-0000-0000-0000C4100000}"/>
    <cellStyle name="Normal 2 4 2 17" xfId="3887" xr:uid="{00000000-0005-0000-0000-0000C5100000}"/>
    <cellStyle name="Normal 2 4 2 18" xfId="3888" xr:uid="{00000000-0005-0000-0000-0000C6100000}"/>
    <cellStyle name="Normal 2 4 2 19" xfId="3889" xr:uid="{00000000-0005-0000-0000-0000C7100000}"/>
    <cellStyle name="Normal 2 4 2 19 10" xfId="3890" xr:uid="{00000000-0005-0000-0000-0000C8100000}"/>
    <cellStyle name="Normal 2 4 2 19 10 2" xfId="21771" xr:uid="{00000000-0005-0000-0000-0000C9100000}"/>
    <cellStyle name="Normal 2 4 2 19 11" xfId="3891" xr:uid="{00000000-0005-0000-0000-0000CA100000}"/>
    <cellStyle name="Normal 2 4 2 19 11 2" xfId="21772" xr:uid="{00000000-0005-0000-0000-0000CB100000}"/>
    <cellStyle name="Normal 2 4 2 19 12" xfId="3892" xr:uid="{00000000-0005-0000-0000-0000CC100000}"/>
    <cellStyle name="Normal 2 4 2 19 12 2" xfId="21773" xr:uid="{00000000-0005-0000-0000-0000CD100000}"/>
    <cellStyle name="Normal 2 4 2 19 13" xfId="3893" xr:uid="{00000000-0005-0000-0000-0000CE100000}"/>
    <cellStyle name="Normal 2 4 2 19 13 2" xfId="21774" xr:uid="{00000000-0005-0000-0000-0000CF100000}"/>
    <cellStyle name="Normal 2 4 2 19 14" xfId="3894" xr:uid="{00000000-0005-0000-0000-0000D0100000}"/>
    <cellStyle name="Normal 2 4 2 19 14 2" xfId="21775" xr:uid="{00000000-0005-0000-0000-0000D1100000}"/>
    <cellStyle name="Normal 2 4 2 19 15" xfId="3895" xr:uid="{00000000-0005-0000-0000-0000D2100000}"/>
    <cellStyle name="Normal 2 4 2 19 15 2" xfId="21776" xr:uid="{00000000-0005-0000-0000-0000D3100000}"/>
    <cellStyle name="Normal 2 4 2 19 16" xfId="21770" xr:uid="{00000000-0005-0000-0000-0000D4100000}"/>
    <cellStyle name="Normal 2 4 2 19 2" xfId="3896" xr:uid="{00000000-0005-0000-0000-0000D5100000}"/>
    <cellStyle name="Normal 2 4 2 19 2 10" xfId="3897" xr:uid="{00000000-0005-0000-0000-0000D6100000}"/>
    <cellStyle name="Normal 2 4 2 19 2 10 2" xfId="21778" xr:uid="{00000000-0005-0000-0000-0000D7100000}"/>
    <cellStyle name="Normal 2 4 2 19 2 11" xfId="3898" xr:uid="{00000000-0005-0000-0000-0000D8100000}"/>
    <cellStyle name="Normal 2 4 2 19 2 11 2" xfId="21779" xr:uid="{00000000-0005-0000-0000-0000D9100000}"/>
    <cellStyle name="Normal 2 4 2 19 2 12" xfId="3899" xr:uid="{00000000-0005-0000-0000-0000DA100000}"/>
    <cellStyle name="Normal 2 4 2 19 2 12 2" xfId="21780" xr:uid="{00000000-0005-0000-0000-0000DB100000}"/>
    <cellStyle name="Normal 2 4 2 19 2 13" xfId="3900" xr:uid="{00000000-0005-0000-0000-0000DC100000}"/>
    <cellStyle name="Normal 2 4 2 19 2 13 2" xfId="21781" xr:uid="{00000000-0005-0000-0000-0000DD100000}"/>
    <cellStyle name="Normal 2 4 2 19 2 14" xfId="3901" xr:uid="{00000000-0005-0000-0000-0000DE100000}"/>
    <cellStyle name="Normal 2 4 2 19 2 14 2" xfId="21782" xr:uid="{00000000-0005-0000-0000-0000DF100000}"/>
    <cellStyle name="Normal 2 4 2 19 2 15" xfId="21777" xr:uid="{00000000-0005-0000-0000-0000E0100000}"/>
    <cellStyle name="Normal 2 4 2 19 2 2" xfId="3902" xr:uid="{00000000-0005-0000-0000-0000E1100000}"/>
    <cellStyle name="Normal 2 4 2 19 2 2 2" xfId="21783" xr:uid="{00000000-0005-0000-0000-0000E2100000}"/>
    <cellStyle name="Normal 2 4 2 19 2 3" xfId="3903" xr:uid="{00000000-0005-0000-0000-0000E3100000}"/>
    <cellStyle name="Normal 2 4 2 19 2 3 2" xfId="21784" xr:uid="{00000000-0005-0000-0000-0000E4100000}"/>
    <cellStyle name="Normal 2 4 2 19 2 4" xfId="3904" xr:uid="{00000000-0005-0000-0000-0000E5100000}"/>
    <cellStyle name="Normal 2 4 2 19 2 4 2" xfId="21785" xr:uid="{00000000-0005-0000-0000-0000E6100000}"/>
    <cellStyle name="Normal 2 4 2 19 2 5" xfId="3905" xr:uid="{00000000-0005-0000-0000-0000E7100000}"/>
    <cellStyle name="Normal 2 4 2 19 2 5 2" xfId="21786" xr:uid="{00000000-0005-0000-0000-0000E8100000}"/>
    <cellStyle name="Normal 2 4 2 19 2 6" xfId="3906" xr:uid="{00000000-0005-0000-0000-0000E9100000}"/>
    <cellStyle name="Normal 2 4 2 19 2 6 2" xfId="21787" xr:uid="{00000000-0005-0000-0000-0000EA100000}"/>
    <cellStyle name="Normal 2 4 2 19 2 7" xfId="3907" xr:uid="{00000000-0005-0000-0000-0000EB100000}"/>
    <cellStyle name="Normal 2 4 2 19 2 7 2" xfId="21788" xr:uid="{00000000-0005-0000-0000-0000EC100000}"/>
    <cellStyle name="Normal 2 4 2 19 2 8" xfId="3908" xr:uid="{00000000-0005-0000-0000-0000ED100000}"/>
    <cellStyle name="Normal 2 4 2 19 2 8 2" xfId="21789" xr:uid="{00000000-0005-0000-0000-0000EE100000}"/>
    <cellStyle name="Normal 2 4 2 19 2 9" xfId="3909" xr:uid="{00000000-0005-0000-0000-0000EF100000}"/>
    <cellStyle name="Normal 2 4 2 19 2 9 2" xfId="21790" xr:uid="{00000000-0005-0000-0000-0000F0100000}"/>
    <cellStyle name="Normal 2 4 2 19 3" xfId="3910" xr:uid="{00000000-0005-0000-0000-0000F1100000}"/>
    <cellStyle name="Normal 2 4 2 19 3 2" xfId="21791" xr:uid="{00000000-0005-0000-0000-0000F2100000}"/>
    <cellStyle name="Normal 2 4 2 19 4" xfId="3911" xr:uid="{00000000-0005-0000-0000-0000F3100000}"/>
    <cellStyle name="Normal 2 4 2 19 4 2" xfId="21792" xr:uid="{00000000-0005-0000-0000-0000F4100000}"/>
    <cellStyle name="Normal 2 4 2 19 5" xfId="3912" xr:uid="{00000000-0005-0000-0000-0000F5100000}"/>
    <cellStyle name="Normal 2 4 2 19 5 2" xfId="21793" xr:uid="{00000000-0005-0000-0000-0000F6100000}"/>
    <cellStyle name="Normal 2 4 2 19 6" xfId="3913" xr:uid="{00000000-0005-0000-0000-0000F7100000}"/>
    <cellStyle name="Normal 2 4 2 19 6 2" xfId="21794" xr:uid="{00000000-0005-0000-0000-0000F8100000}"/>
    <cellStyle name="Normal 2 4 2 19 7" xfId="3914" xr:uid="{00000000-0005-0000-0000-0000F9100000}"/>
    <cellStyle name="Normal 2 4 2 19 7 2" xfId="21795" xr:uid="{00000000-0005-0000-0000-0000FA100000}"/>
    <cellStyle name="Normal 2 4 2 19 8" xfId="3915" xr:uid="{00000000-0005-0000-0000-0000FB100000}"/>
    <cellStyle name="Normal 2 4 2 19 8 2" xfId="21796" xr:uid="{00000000-0005-0000-0000-0000FC100000}"/>
    <cellStyle name="Normal 2 4 2 19 9" xfId="3916" xr:uid="{00000000-0005-0000-0000-0000FD100000}"/>
    <cellStyle name="Normal 2 4 2 19 9 2" xfId="21797" xr:uid="{00000000-0005-0000-0000-0000FE100000}"/>
    <cellStyle name="Normal 2 4 2 2" xfId="3917" xr:uid="{00000000-0005-0000-0000-0000FF100000}"/>
    <cellStyle name="Normal 2 4 2 2 10" xfId="3918" xr:uid="{00000000-0005-0000-0000-000000110000}"/>
    <cellStyle name="Normal 2 4 2 2 11" xfId="3919" xr:uid="{00000000-0005-0000-0000-000001110000}"/>
    <cellStyle name="Normal 2 4 2 2 12" xfId="3920" xr:uid="{00000000-0005-0000-0000-000002110000}"/>
    <cellStyle name="Normal 2 4 2 2 13" xfId="3921" xr:uid="{00000000-0005-0000-0000-000003110000}"/>
    <cellStyle name="Normal 2 4 2 2 14" xfId="3922" xr:uid="{00000000-0005-0000-0000-000004110000}"/>
    <cellStyle name="Normal 2 4 2 2 2" xfId="3923" xr:uid="{00000000-0005-0000-0000-000005110000}"/>
    <cellStyle name="Normal 2 4 2 2 2 2" xfId="3924" xr:uid="{00000000-0005-0000-0000-000006110000}"/>
    <cellStyle name="Normal 2 4 2 2 2 3" xfId="3925" xr:uid="{00000000-0005-0000-0000-000007110000}"/>
    <cellStyle name="Normal 2 4 2 2 2 4" xfId="3926" xr:uid="{00000000-0005-0000-0000-000008110000}"/>
    <cellStyle name="Normal 2 4 2 2 2 5" xfId="3927" xr:uid="{00000000-0005-0000-0000-000009110000}"/>
    <cellStyle name="Normal 2 4 2 2 2 6" xfId="3928" xr:uid="{00000000-0005-0000-0000-00000A110000}"/>
    <cellStyle name="Normal 2 4 2 2 3" xfId="3929" xr:uid="{00000000-0005-0000-0000-00000B110000}"/>
    <cellStyle name="Normal 2 4 2 2 4" xfId="3930" xr:uid="{00000000-0005-0000-0000-00000C110000}"/>
    <cellStyle name="Normal 2 4 2 2 5" xfId="3931" xr:uid="{00000000-0005-0000-0000-00000D110000}"/>
    <cellStyle name="Normal 2 4 2 2 6" xfId="3932" xr:uid="{00000000-0005-0000-0000-00000E110000}"/>
    <cellStyle name="Normal 2 4 2 2 7" xfId="3933" xr:uid="{00000000-0005-0000-0000-00000F110000}"/>
    <cellStyle name="Normal 2 4 2 2 8" xfId="3934" xr:uid="{00000000-0005-0000-0000-000010110000}"/>
    <cellStyle name="Normal 2 4 2 2 9" xfId="3935" xr:uid="{00000000-0005-0000-0000-000011110000}"/>
    <cellStyle name="Normal 2 4 2 20" xfId="3936" xr:uid="{00000000-0005-0000-0000-000012110000}"/>
    <cellStyle name="Normal 2 4 2 20 10" xfId="3937" xr:uid="{00000000-0005-0000-0000-000013110000}"/>
    <cellStyle name="Normal 2 4 2 20 10 2" xfId="21799" xr:uid="{00000000-0005-0000-0000-000014110000}"/>
    <cellStyle name="Normal 2 4 2 20 11" xfId="3938" xr:uid="{00000000-0005-0000-0000-000015110000}"/>
    <cellStyle name="Normal 2 4 2 20 11 2" xfId="21800" xr:uid="{00000000-0005-0000-0000-000016110000}"/>
    <cellStyle name="Normal 2 4 2 20 12" xfId="3939" xr:uid="{00000000-0005-0000-0000-000017110000}"/>
    <cellStyle name="Normal 2 4 2 20 12 2" xfId="21801" xr:uid="{00000000-0005-0000-0000-000018110000}"/>
    <cellStyle name="Normal 2 4 2 20 13" xfId="3940" xr:uid="{00000000-0005-0000-0000-000019110000}"/>
    <cellStyle name="Normal 2 4 2 20 13 2" xfId="21802" xr:uid="{00000000-0005-0000-0000-00001A110000}"/>
    <cellStyle name="Normal 2 4 2 20 14" xfId="3941" xr:uid="{00000000-0005-0000-0000-00001B110000}"/>
    <cellStyle name="Normal 2 4 2 20 14 2" xfId="21803" xr:uid="{00000000-0005-0000-0000-00001C110000}"/>
    <cellStyle name="Normal 2 4 2 20 15" xfId="3942" xr:uid="{00000000-0005-0000-0000-00001D110000}"/>
    <cellStyle name="Normal 2 4 2 20 15 2" xfId="21804" xr:uid="{00000000-0005-0000-0000-00001E110000}"/>
    <cellStyle name="Normal 2 4 2 20 16" xfId="21798" xr:uid="{00000000-0005-0000-0000-00001F110000}"/>
    <cellStyle name="Normal 2 4 2 20 2" xfId="3943" xr:uid="{00000000-0005-0000-0000-000020110000}"/>
    <cellStyle name="Normal 2 4 2 20 2 10" xfId="3944" xr:uid="{00000000-0005-0000-0000-000021110000}"/>
    <cellStyle name="Normal 2 4 2 20 2 10 2" xfId="21806" xr:uid="{00000000-0005-0000-0000-000022110000}"/>
    <cellStyle name="Normal 2 4 2 20 2 11" xfId="3945" xr:uid="{00000000-0005-0000-0000-000023110000}"/>
    <cellStyle name="Normal 2 4 2 20 2 11 2" xfId="21807" xr:uid="{00000000-0005-0000-0000-000024110000}"/>
    <cellStyle name="Normal 2 4 2 20 2 12" xfId="3946" xr:uid="{00000000-0005-0000-0000-000025110000}"/>
    <cellStyle name="Normal 2 4 2 20 2 12 2" xfId="21808" xr:uid="{00000000-0005-0000-0000-000026110000}"/>
    <cellStyle name="Normal 2 4 2 20 2 13" xfId="3947" xr:uid="{00000000-0005-0000-0000-000027110000}"/>
    <cellStyle name="Normal 2 4 2 20 2 13 2" xfId="21809" xr:uid="{00000000-0005-0000-0000-000028110000}"/>
    <cellStyle name="Normal 2 4 2 20 2 14" xfId="3948" xr:uid="{00000000-0005-0000-0000-000029110000}"/>
    <cellStyle name="Normal 2 4 2 20 2 14 2" xfId="21810" xr:uid="{00000000-0005-0000-0000-00002A110000}"/>
    <cellStyle name="Normal 2 4 2 20 2 15" xfId="21805" xr:uid="{00000000-0005-0000-0000-00002B110000}"/>
    <cellStyle name="Normal 2 4 2 20 2 2" xfId="3949" xr:uid="{00000000-0005-0000-0000-00002C110000}"/>
    <cellStyle name="Normal 2 4 2 20 2 2 2" xfId="21811" xr:uid="{00000000-0005-0000-0000-00002D110000}"/>
    <cellStyle name="Normal 2 4 2 20 2 3" xfId="3950" xr:uid="{00000000-0005-0000-0000-00002E110000}"/>
    <cellStyle name="Normal 2 4 2 20 2 3 2" xfId="21812" xr:uid="{00000000-0005-0000-0000-00002F110000}"/>
    <cellStyle name="Normal 2 4 2 20 2 4" xfId="3951" xr:uid="{00000000-0005-0000-0000-000030110000}"/>
    <cellStyle name="Normal 2 4 2 20 2 4 2" xfId="21813" xr:uid="{00000000-0005-0000-0000-000031110000}"/>
    <cellStyle name="Normal 2 4 2 20 2 5" xfId="3952" xr:uid="{00000000-0005-0000-0000-000032110000}"/>
    <cellStyle name="Normal 2 4 2 20 2 5 2" xfId="21814" xr:uid="{00000000-0005-0000-0000-000033110000}"/>
    <cellStyle name="Normal 2 4 2 20 2 6" xfId="3953" xr:uid="{00000000-0005-0000-0000-000034110000}"/>
    <cellStyle name="Normal 2 4 2 20 2 6 2" xfId="21815" xr:uid="{00000000-0005-0000-0000-000035110000}"/>
    <cellStyle name="Normal 2 4 2 20 2 7" xfId="3954" xr:uid="{00000000-0005-0000-0000-000036110000}"/>
    <cellStyle name="Normal 2 4 2 20 2 7 2" xfId="21816" xr:uid="{00000000-0005-0000-0000-000037110000}"/>
    <cellStyle name="Normal 2 4 2 20 2 8" xfId="3955" xr:uid="{00000000-0005-0000-0000-000038110000}"/>
    <cellStyle name="Normal 2 4 2 20 2 8 2" xfId="21817" xr:uid="{00000000-0005-0000-0000-000039110000}"/>
    <cellStyle name="Normal 2 4 2 20 2 9" xfId="3956" xr:uid="{00000000-0005-0000-0000-00003A110000}"/>
    <cellStyle name="Normal 2 4 2 20 2 9 2" xfId="21818" xr:uid="{00000000-0005-0000-0000-00003B110000}"/>
    <cellStyle name="Normal 2 4 2 20 3" xfId="3957" xr:uid="{00000000-0005-0000-0000-00003C110000}"/>
    <cellStyle name="Normal 2 4 2 20 3 2" xfId="21819" xr:uid="{00000000-0005-0000-0000-00003D110000}"/>
    <cellStyle name="Normal 2 4 2 20 4" xfId="3958" xr:uid="{00000000-0005-0000-0000-00003E110000}"/>
    <cellStyle name="Normal 2 4 2 20 4 2" xfId="21820" xr:uid="{00000000-0005-0000-0000-00003F110000}"/>
    <cellStyle name="Normal 2 4 2 20 5" xfId="3959" xr:uid="{00000000-0005-0000-0000-000040110000}"/>
    <cellStyle name="Normal 2 4 2 20 5 2" xfId="21821" xr:uid="{00000000-0005-0000-0000-000041110000}"/>
    <cellStyle name="Normal 2 4 2 20 6" xfId="3960" xr:uid="{00000000-0005-0000-0000-000042110000}"/>
    <cellStyle name="Normal 2 4 2 20 6 2" xfId="21822" xr:uid="{00000000-0005-0000-0000-000043110000}"/>
    <cellStyle name="Normal 2 4 2 20 7" xfId="3961" xr:uid="{00000000-0005-0000-0000-000044110000}"/>
    <cellStyle name="Normal 2 4 2 20 7 2" xfId="21823" xr:uid="{00000000-0005-0000-0000-000045110000}"/>
    <cellStyle name="Normal 2 4 2 20 8" xfId="3962" xr:uid="{00000000-0005-0000-0000-000046110000}"/>
    <cellStyle name="Normal 2 4 2 20 8 2" xfId="21824" xr:uid="{00000000-0005-0000-0000-000047110000}"/>
    <cellStyle name="Normal 2 4 2 20 9" xfId="3963" xr:uid="{00000000-0005-0000-0000-000048110000}"/>
    <cellStyle name="Normal 2 4 2 20 9 2" xfId="21825" xr:uid="{00000000-0005-0000-0000-000049110000}"/>
    <cellStyle name="Normal 2 4 2 21" xfId="3964" xr:uid="{00000000-0005-0000-0000-00004A110000}"/>
    <cellStyle name="Normal 2 4 2 21 10" xfId="3965" xr:uid="{00000000-0005-0000-0000-00004B110000}"/>
    <cellStyle name="Normal 2 4 2 21 10 2" xfId="21827" xr:uid="{00000000-0005-0000-0000-00004C110000}"/>
    <cellStyle name="Normal 2 4 2 21 11" xfId="3966" xr:uid="{00000000-0005-0000-0000-00004D110000}"/>
    <cellStyle name="Normal 2 4 2 21 11 2" xfId="21828" xr:uid="{00000000-0005-0000-0000-00004E110000}"/>
    <cellStyle name="Normal 2 4 2 21 12" xfId="3967" xr:uid="{00000000-0005-0000-0000-00004F110000}"/>
    <cellStyle name="Normal 2 4 2 21 12 2" xfId="21829" xr:uid="{00000000-0005-0000-0000-000050110000}"/>
    <cellStyle name="Normal 2 4 2 21 13" xfId="3968" xr:uid="{00000000-0005-0000-0000-000051110000}"/>
    <cellStyle name="Normal 2 4 2 21 13 2" xfId="21830" xr:uid="{00000000-0005-0000-0000-000052110000}"/>
    <cellStyle name="Normal 2 4 2 21 14" xfId="3969" xr:uid="{00000000-0005-0000-0000-000053110000}"/>
    <cellStyle name="Normal 2 4 2 21 14 2" xfId="21831" xr:uid="{00000000-0005-0000-0000-000054110000}"/>
    <cellStyle name="Normal 2 4 2 21 15" xfId="3970" xr:uid="{00000000-0005-0000-0000-000055110000}"/>
    <cellStyle name="Normal 2 4 2 21 15 2" xfId="21832" xr:uid="{00000000-0005-0000-0000-000056110000}"/>
    <cellStyle name="Normal 2 4 2 21 16" xfId="21826" xr:uid="{00000000-0005-0000-0000-000057110000}"/>
    <cellStyle name="Normal 2 4 2 21 2" xfId="3971" xr:uid="{00000000-0005-0000-0000-000058110000}"/>
    <cellStyle name="Normal 2 4 2 21 2 10" xfId="3972" xr:uid="{00000000-0005-0000-0000-000059110000}"/>
    <cellStyle name="Normal 2 4 2 21 2 10 2" xfId="21834" xr:uid="{00000000-0005-0000-0000-00005A110000}"/>
    <cellStyle name="Normal 2 4 2 21 2 11" xfId="3973" xr:uid="{00000000-0005-0000-0000-00005B110000}"/>
    <cellStyle name="Normal 2 4 2 21 2 11 2" xfId="21835" xr:uid="{00000000-0005-0000-0000-00005C110000}"/>
    <cellStyle name="Normal 2 4 2 21 2 12" xfId="3974" xr:uid="{00000000-0005-0000-0000-00005D110000}"/>
    <cellStyle name="Normal 2 4 2 21 2 12 2" xfId="21836" xr:uid="{00000000-0005-0000-0000-00005E110000}"/>
    <cellStyle name="Normal 2 4 2 21 2 13" xfId="3975" xr:uid="{00000000-0005-0000-0000-00005F110000}"/>
    <cellStyle name="Normal 2 4 2 21 2 13 2" xfId="21837" xr:uid="{00000000-0005-0000-0000-000060110000}"/>
    <cellStyle name="Normal 2 4 2 21 2 14" xfId="3976" xr:uid="{00000000-0005-0000-0000-000061110000}"/>
    <cellStyle name="Normal 2 4 2 21 2 14 2" xfId="21838" xr:uid="{00000000-0005-0000-0000-000062110000}"/>
    <cellStyle name="Normal 2 4 2 21 2 15" xfId="21833" xr:uid="{00000000-0005-0000-0000-000063110000}"/>
    <cellStyle name="Normal 2 4 2 21 2 2" xfId="3977" xr:uid="{00000000-0005-0000-0000-000064110000}"/>
    <cellStyle name="Normal 2 4 2 21 2 2 2" xfId="21839" xr:uid="{00000000-0005-0000-0000-000065110000}"/>
    <cellStyle name="Normal 2 4 2 21 2 3" xfId="3978" xr:uid="{00000000-0005-0000-0000-000066110000}"/>
    <cellStyle name="Normal 2 4 2 21 2 3 2" xfId="21840" xr:uid="{00000000-0005-0000-0000-000067110000}"/>
    <cellStyle name="Normal 2 4 2 21 2 4" xfId="3979" xr:uid="{00000000-0005-0000-0000-000068110000}"/>
    <cellStyle name="Normal 2 4 2 21 2 4 2" xfId="21841" xr:uid="{00000000-0005-0000-0000-000069110000}"/>
    <cellStyle name="Normal 2 4 2 21 2 5" xfId="3980" xr:uid="{00000000-0005-0000-0000-00006A110000}"/>
    <cellStyle name="Normal 2 4 2 21 2 5 2" xfId="21842" xr:uid="{00000000-0005-0000-0000-00006B110000}"/>
    <cellStyle name="Normal 2 4 2 21 2 6" xfId="3981" xr:uid="{00000000-0005-0000-0000-00006C110000}"/>
    <cellStyle name="Normal 2 4 2 21 2 6 2" xfId="21843" xr:uid="{00000000-0005-0000-0000-00006D110000}"/>
    <cellStyle name="Normal 2 4 2 21 2 7" xfId="3982" xr:uid="{00000000-0005-0000-0000-00006E110000}"/>
    <cellStyle name="Normal 2 4 2 21 2 7 2" xfId="21844" xr:uid="{00000000-0005-0000-0000-00006F110000}"/>
    <cellStyle name="Normal 2 4 2 21 2 8" xfId="3983" xr:uid="{00000000-0005-0000-0000-000070110000}"/>
    <cellStyle name="Normal 2 4 2 21 2 8 2" xfId="21845" xr:uid="{00000000-0005-0000-0000-000071110000}"/>
    <cellStyle name="Normal 2 4 2 21 2 9" xfId="3984" xr:uid="{00000000-0005-0000-0000-000072110000}"/>
    <cellStyle name="Normal 2 4 2 21 2 9 2" xfId="21846" xr:uid="{00000000-0005-0000-0000-000073110000}"/>
    <cellStyle name="Normal 2 4 2 21 3" xfId="3985" xr:uid="{00000000-0005-0000-0000-000074110000}"/>
    <cellStyle name="Normal 2 4 2 21 3 2" xfId="21847" xr:uid="{00000000-0005-0000-0000-000075110000}"/>
    <cellStyle name="Normal 2 4 2 21 4" xfId="3986" xr:uid="{00000000-0005-0000-0000-000076110000}"/>
    <cellStyle name="Normal 2 4 2 21 4 2" xfId="21848" xr:uid="{00000000-0005-0000-0000-000077110000}"/>
    <cellStyle name="Normal 2 4 2 21 5" xfId="3987" xr:uid="{00000000-0005-0000-0000-000078110000}"/>
    <cellStyle name="Normal 2 4 2 21 5 2" xfId="21849" xr:uid="{00000000-0005-0000-0000-000079110000}"/>
    <cellStyle name="Normal 2 4 2 21 6" xfId="3988" xr:uid="{00000000-0005-0000-0000-00007A110000}"/>
    <cellStyle name="Normal 2 4 2 21 6 2" xfId="21850" xr:uid="{00000000-0005-0000-0000-00007B110000}"/>
    <cellStyle name="Normal 2 4 2 21 7" xfId="3989" xr:uid="{00000000-0005-0000-0000-00007C110000}"/>
    <cellStyle name="Normal 2 4 2 21 7 2" xfId="21851" xr:uid="{00000000-0005-0000-0000-00007D110000}"/>
    <cellStyle name="Normal 2 4 2 21 8" xfId="3990" xr:uid="{00000000-0005-0000-0000-00007E110000}"/>
    <cellStyle name="Normal 2 4 2 21 8 2" xfId="21852" xr:uid="{00000000-0005-0000-0000-00007F110000}"/>
    <cellStyle name="Normal 2 4 2 21 9" xfId="3991" xr:uid="{00000000-0005-0000-0000-000080110000}"/>
    <cellStyle name="Normal 2 4 2 21 9 2" xfId="21853" xr:uid="{00000000-0005-0000-0000-000081110000}"/>
    <cellStyle name="Normal 2 4 2 22" xfId="3992" xr:uid="{00000000-0005-0000-0000-000082110000}"/>
    <cellStyle name="Normal 2 4 2 22 10" xfId="3993" xr:uid="{00000000-0005-0000-0000-000083110000}"/>
    <cellStyle name="Normal 2 4 2 22 10 2" xfId="21855" xr:uid="{00000000-0005-0000-0000-000084110000}"/>
    <cellStyle name="Normal 2 4 2 22 11" xfId="3994" xr:uid="{00000000-0005-0000-0000-000085110000}"/>
    <cellStyle name="Normal 2 4 2 22 11 2" xfId="21856" xr:uid="{00000000-0005-0000-0000-000086110000}"/>
    <cellStyle name="Normal 2 4 2 22 12" xfId="3995" xr:uid="{00000000-0005-0000-0000-000087110000}"/>
    <cellStyle name="Normal 2 4 2 22 12 2" xfId="21857" xr:uid="{00000000-0005-0000-0000-000088110000}"/>
    <cellStyle name="Normal 2 4 2 22 13" xfId="3996" xr:uid="{00000000-0005-0000-0000-000089110000}"/>
    <cellStyle name="Normal 2 4 2 22 13 2" xfId="21858" xr:uid="{00000000-0005-0000-0000-00008A110000}"/>
    <cellStyle name="Normal 2 4 2 22 14" xfId="3997" xr:uid="{00000000-0005-0000-0000-00008B110000}"/>
    <cellStyle name="Normal 2 4 2 22 14 2" xfId="21859" xr:uid="{00000000-0005-0000-0000-00008C110000}"/>
    <cellStyle name="Normal 2 4 2 22 15" xfId="21854" xr:uid="{00000000-0005-0000-0000-00008D110000}"/>
    <cellStyle name="Normal 2 4 2 22 2" xfId="3998" xr:uid="{00000000-0005-0000-0000-00008E110000}"/>
    <cellStyle name="Normal 2 4 2 22 2 2" xfId="21860" xr:uid="{00000000-0005-0000-0000-00008F110000}"/>
    <cellStyle name="Normal 2 4 2 22 3" xfId="3999" xr:uid="{00000000-0005-0000-0000-000090110000}"/>
    <cellStyle name="Normal 2 4 2 22 3 2" xfId="21861" xr:uid="{00000000-0005-0000-0000-000091110000}"/>
    <cellStyle name="Normal 2 4 2 22 4" xfId="4000" xr:uid="{00000000-0005-0000-0000-000092110000}"/>
    <cellStyle name="Normal 2 4 2 22 4 2" xfId="21862" xr:uid="{00000000-0005-0000-0000-000093110000}"/>
    <cellStyle name="Normal 2 4 2 22 5" xfId="4001" xr:uid="{00000000-0005-0000-0000-000094110000}"/>
    <cellStyle name="Normal 2 4 2 22 5 2" xfId="21863" xr:uid="{00000000-0005-0000-0000-000095110000}"/>
    <cellStyle name="Normal 2 4 2 22 6" xfId="4002" xr:uid="{00000000-0005-0000-0000-000096110000}"/>
    <cellStyle name="Normal 2 4 2 22 6 2" xfId="21864" xr:uid="{00000000-0005-0000-0000-000097110000}"/>
    <cellStyle name="Normal 2 4 2 22 7" xfId="4003" xr:uid="{00000000-0005-0000-0000-000098110000}"/>
    <cellStyle name="Normal 2 4 2 22 7 2" xfId="21865" xr:uid="{00000000-0005-0000-0000-000099110000}"/>
    <cellStyle name="Normal 2 4 2 22 8" xfId="4004" xr:uid="{00000000-0005-0000-0000-00009A110000}"/>
    <cellStyle name="Normal 2 4 2 22 8 2" xfId="21866" xr:uid="{00000000-0005-0000-0000-00009B110000}"/>
    <cellStyle name="Normal 2 4 2 22 9" xfId="4005" xr:uid="{00000000-0005-0000-0000-00009C110000}"/>
    <cellStyle name="Normal 2 4 2 22 9 2" xfId="21867" xr:uid="{00000000-0005-0000-0000-00009D110000}"/>
    <cellStyle name="Normal 2 4 2 23" xfId="4006" xr:uid="{00000000-0005-0000-0000-00009E110000}"/>
    <cellStyle name="Normal 2 4 2 23 10" xfId="4007" xr:uid="{00000000-0005-0000-0000-00009F110000}"/>
    <cellStyle name="Normal 2 4 2 23 10 2" xfId="21869" xr:uid="{00000000-0005-0000-0000-0000A0110000}"/>
    <cellStyle name="Normal 2 4 2 23 11" xfId="4008" xr:uid="{00000000-0005-0000-0000-0000A1110000}"/>
    <cellStyle name="Normal 2 4 2 23 11 2" xfId="21870" xr:uid="{00000000-0005-0000-0000-0000A2110000}"/>
    <cellStyle name="Normal 2 4 2 23 12" xfId="4009" xr:uid="{00000000-0005-0000-0000-0000A3110000}"/>
    <cellStyle name="Normal 2 4 2 23 12 2" xfId="21871" xr:uid="{00000000-0005-0000-0000-0000A4110000}"/>
    <cellStyle name="Normal 2 4 2 23 13" xfId="4010" xr:uid="{00000000-0005-0000-0000-0000A5110000}"/>
    <cellStyle name="Normal 2 4 2 23 13 2" xfId="21872" xr:uid="{00000000-0005-0000-0000-0000A6110000}"/>
    <cellStyle name="Normal 2 4 2 23 14" xfId="4011" xr:uid="{00000000-0005-0000-0000-0000A7110000}"/>
    <cellStyle name="Normal 2 4 2 23 14 2" xfId="21873" xr:uid="{00000000-0005-0000-0000-0000A8110000}"/>
    <cellStyle name="Normal 2 4 2 23 15" xfId="21868" xr:uid="{00000000-0005-0000-0000-0000A9110000}"/>
    <cellStyle name="Normal 2 4 2 23 2" xfId="4012" xr:uid="{00000000-0005-0000-0000-0000AA110000}"/>
    <cellStyle name="Normal 2 4 2 23 2 2" xfId="21874" xr:uid="{00000000-0005-0000-0000-0000AB110000}"/>
    <cellStyle name="Normal 2 4 2 23 3" xfId="4013" xr:uid="{00000000-0005-0000-0000-0000AC110000}"/>
    <cellStyle name="Normal 2 4 2 23 3 2" xfId="21875" xr:uid="{00000000-0005-0000-0000-0000AD110000}"/>
    <cellStyle name="Normal 2 4 2 23 4" xfId="4014" xr:uid="{00000000-0005-0000-0000-0000AE110000}"/>
    <cellStyle name="Normal 2 4 2 23 4 2" xfId="21876" xr:uid="{00000000-0005-0000-0000-0000AF110000}"/>
    <cellStyle name="Normal 2 4 2 23 5" xfId="4015" xr:uid="{00000000-0005-0000-0000-0000B0110000}"/>
    <cellStyle name="Normal 2 4 2 23 5 2" xfId="21877" xr:uid="{00000000-0005-0000-0000-0000B1110000}"/>
    <cellStyle name="Normal 2 4 2 23 6" xfId="4016" xr:uid="{00000000-0005-0000-0000-0000B2110000}"/>
    <cellStyle name="Normal 2 4 2 23 6 2" xfId="21878" xr:uid="{00000000-0005-0000-0000-0000B3110000}"/>
    <cellStyle name="Normal 2 4 2 23 7" xfId="4017" xr:uid="{00000000-0005-0000-0000-0000B4110000}"/>
    <cellStyle name="Normal 2 4 2 23 7 2" xfId="21879" xr:uid="{00000000-0005-0000-0000-0000B5110000}"/>
    <cellStyle name="Normal 2 4 2 23 8" xfId="4018" xr:uid="{00000000-0005-0000-0000-0000B6110000}"/>
    <cellStyle name="Normal 2 4 2 23 8 2" xfId="21880" xr:uid="{00000000-0005-0000-0000-0000B7110000}"/>
    <cellStyle name="Normal 2 4 2 23 9" xfId="4019" xr:uid="{00000000-0005-0000-0000-0000B8110000}"/>
    <cellStyle name="Normal 2 4 2 23 9 2" xfId="21881" xr:uid="{00000000-0005-0000-0000-0000B9110000}"/>
    <cellStyle name="Normal 2 4 2 24" xfId="4020" xr:uid="{00000000-0005-0000-0000-0000BA110000}"/>
    <cellStyle name="Normal 2 4 2 24 10" xfId="4021" xr:uid="{00000000-0005-0000-0000-0000BB110000}"/>
    <cellStyle name="Normal 2 4 2 24 10 2" xfId="21883" xr:uid="{00000000-0005-0000-0000-0000BC110000}"/>
    <cellStyle name="Normal 2 4 2 24 11" xfId="4022" xr:uid="{00000000-0005-0000-0000-0000BD110000}"/>
    <cellStyle name="Normal 2 4 2 24 11 2" xfId="21884" xr:uid="{00000000-0005-0000-0000-0000BE110000}"/>
    <cellStyle name="Normal 2 4 2 24 12" xfId="4023" xr:uid="{00000000-0005-0000-0000-0000BF110000}"/>
    <cellStyle name="Normal 2 4 2 24 12 2" xfId="21885" xr:uid="{00000000-0005-0000-0000-0000C0110000}"/>
    <cellStyle name="Normal 2 4 2 24 13" xfId="4024" xr:uid="{00000000-0005-0000-0000-0000C1110000}"/>
    <cellStyle name="Normal 2 4 2 24 13 2" xfId="21886" xr:uid="{00000000-0005-0000-0000-0000C2110000}"/>
    <cellStyle name="Normal 2 4 2 24 14" xfId="4025" xr:uid="{00000000-0005-0000-0000-0000C3110000}"/>
    <cellStyle name="Normal 2 4 2 24 14 2" xfId="21887" xr:uid="{00000000-0005-0000-0000-0000C4110000}"/>
    <cellStyle name="Normal 2 4 2 24 15" xfId="21882" xr:uid="{00000000-0005-0000-0000-0000C5110000}"/>
    <cellStyle name="Normal 2 4 2 24 2" xfId="4026" xr:uid="{00000000-0005-0000-0000-0000C6110000}"/>
    <cellStyle name="Normal 2 4 2 24 2 2" xfId="21888" xr:uid="{00000000-0005-0000-0000-0000C7110000}"/>
    <cellStyle name="Normal 2 4 2 24 3" xfId="4027" xr:uid="{00000000-0005-0000-0000-0000C8110000}"/>
    <cellStyle name="Normal 2 4 2 24 3 2" xfId="21889" xr:uid="{00000000-0005-0000-0000-0000C9110000}"/>
    <cellStyle name="Normal 2 4 2 24 4" xfId="4028" xr:uid="{00000000-0005-0000-0000-0000CA110000}"/>
    <cellStyle name="Normal 2 4 2 24 4 2" xfId="21890" xr:uid="{00000000-0005-0000-0000-0000CB110000}"/>
    <cellStyle name="Normal 2 4 2 24 5" xfId="4029" xr:uid="{00000000-0005-0000-0000-0000CC110000}"/>
    <cellStyle name="Normal 2 4 2 24 5 2" xfId="21891" xr:uid="{00000000-0005-0000-0000-0000CD110000}"/>
    <cellStyle name="Normal 2 4 2 24 6" xfId="4030" xr:uid="{00000000-0005-0000-0000-0000CE110000}"/>
    <cellStyle name="Normal 2 4 2 24 6 2" xfId="21892" xr:uid="{00000000-0005-0000-0000-0000CF110000}"/>
    <cellStyle name="Normal 2 4 2 24 7" xfId="4031" xr:uid="{00000000-0005-0000-0000-0000D0110000}"/>
    <cellStyle name="Normal 2 4 2 24 7 2" xfId="21893" xr:uid="{00000000-0005-0000-0000-0000D1110000}"/>
    <cellStyle name="Normal 2 4 2 24 8" xfId="4032" xr:uid="{00000000-0005-0000-0000-0000D2110000}"/>
    <cellStyle name="Normal 2 4 2 24 8 2" xfId="21894" xr:uid="{00000000-0005-0000-0000-0000D3110000}"/>
    <cellStyle name="Normal 2 4 2 24 9" xfId="4033" xr:uid="{00000000-0005-0000-0000-0000D4110000}"/>
    <cellStyle name="Normal 2 4 2 24 9 2" xfId="21895" xr:uid="{00000000-0005-0000-0000-0000D5110000}"/>
    <cellStyle name="Normal 2 4 2 25" xfId="4034" xr:uid="{00000000-0005-0000-0000-0000D6110000}"/>
    <cellStyle name="Normal 2 4 2 25 10" xfId="4035" xr:uid="{00000000-0005-0000-0000-0000D7110000}"/>
    <cellStyle name="Normal 2 4 2 25 10 2" xfId="21897" xr:uid="{00000000-0005-0000-0000-0000D8110000}"/>
    <cellStyle name="Normal 2 4 2 25 11" xfId="4036" xr:uid="{00000000-0005-0000-0000-0000D9110000}"/>
    <cellStyle name="Normal 2 4 2 25 11 2" xfId="21898" xr:uid="{00000000-0005-0000-0000-0000DA110000}"/>
    <cellStyle name="Normal 2 4 2 25 12" xfId="4037" xr:uid="{00000000-0005-0000-0000-0000DB110000}"/>
    <cellStyle name="Normal 2 4 2 25 12 2" xfId="21899" xr:uid="{00000000-0005-0000-0000-0000DC110000}"/>
    <cellStyle name="Normal 2 4 2 25 13" xfId="4038" xr:uid="{00000000-0005-0000-0000-0000DD110000}"/>
    <cellStyle name="Normal 2 4 2 25 13 2" xfId="21900" xr:uid="{00000000-0005-0000-0000-0000DE110000}"/>
    <cellStyle name="Normal 2 4 2 25 14" xfId="4039" xr:uid="{00000000-0005-0000-0000-0000DF110000}"/>
    <cellStyle name="Normal 2 4 2 25 14 2" xfId="21901" xr:uid="{00000000-0005-0000-0000-0000E0110000}"/>
    <cellStyle name="Normal 2 4 2 25 15" xfId="21896" xr:uid="{00000000-0005-0000-0000-0000E1110000}"/>
    <cellStyle name="Normal 2 4 2 25 2" xfId="4040" xr:uid="{00000000-0005-0000-0000-0000E2110000}"/>
    <cellStyle name="Normal 2 4 2 25 2 2" xfId="21902" xr:uid="{00000000-0005-0000-0000-0000E3110000}"/>
    <cellStyle name="Normal 2 4 2 25 3" xfId="4041" xr:uid="{00000000-0005-0000-0000-0000E4110000}"/>
    <cellStyle name="Normal 2 4 2 25 3 2" xfId="21903" xr:uid="{00000000-0005-0000-0000-0000E5110000}"/>
    <cellStyle name="Normal 2 4 2 25 4" xfId="4042" xr:uid="{00000000-0005-0000-0000-0000E6110000}"/>
    <cellStyle name="Normal 2 4 2 25 4 2" xfId="21904" xr:uid="{00000000-0005-0000-0000-0000E7110000}"/>
    <cellStyle name="Normal 2 4 2 25 5" xfId="4043" xr:uid="{00000000-0005-0000-0000-0000E8110000}"/>
    <cellStyle name="Normal 2 4 2 25 5 2" xfId="21905" xr:uid="{00000000-0005-0000-0000-0000E9110000}"/>
    <cellStyle name="Normal 2 4 2 25 6" xfId="4044" xr:uid="{00000000-0005-0000-0000-0000EA110000}"/>
    <cellStyle name="Normal 2 4 2 25 6 2" xfId="21906" xr:uid="{00000000-0005-0000-0000-0000EB110000}"/>
    <cellStyle name="Normal 2 4 2 25 7" xfId="4045" xr:uid="{00000000-0005-0000-0000-0000EC110000}"/>
    <cellStyle name="Normal 2 4 2 25 7 2" xfId="21907" xr:uid="{00000000-0005-0000-0000-0000ED110000}"/>
    <cellStyle name="Normal 2 4 2 25 8" xfId="4046" xr:uid="{00000000-0005-0000-0000-0000EE110000}"/>
    <cellStyle name="Normal 2 4 2 25 8 2" xfId="21908" xr:uid="{00000000-0005-0000-0000-0000EF110000}"/>
    <cellStyle name="Normal 2 4 2 25 9" xfId="4047" xr:uid="{00000000-0005-0000-0000-0000F0110000}"/>
    <cellStyle name="Normal 2 4 2 25 9 2" xfId="21909" xr:uid="{00000000-0005-0000-0000-0000F1110000}"/>
    <cellStyle name="Normal 2 4 2 26" xfId="4048" xr:uid="{00000000-0005-0000-0000-0000F2110000}"/>
    <cellStyle name="Normal 2 4 2 26 10" xfId="4049" xr:uid="{00000000-0005-0000-0000-0000F3110000}"/>
    <cellStyle name="Normal 2 4 2 26 10 2" xfId="21911" xr:uid="{00000000-0005-0000-0000-0000F4110000}"/>
    <cellStyle name="Normal 2 4 2 26 11" xfId="4050" xr:uid="{00000000-0005-0000-0000-0000F5110000}"/>
    <cellStyle name="Normal 2 4 2 26 11 2" xfId="21912" xr:uid="{00000000-0005-0000-0000-0000F6110000}"/>
    <cellStyle name="Normal 2 4 2 26 12" xfId="4051" xr:uid="{00000000-0005-0000-0000-0000F7110000}"/>
    <cellStyle name="Normal 2 4 2 26 12 2" xfId="21913" xr:uid="{00000000-0005-0000-0000-0000F8110000}"/>
    <cellStyle name="Normal 2 4 2 26 13" xfId="4052" xr:uid="{00000000-0005-0000-0000-0000F9110000}"/>
    <cellStyle name="Normal 2 4 2 26 13 2" xfId="21914" xr:uid="{00000000-0005-0000-0000-0000FA110000}"/>
    <cellStyle name="Normal 2 4 2 26 14" xfId="4053" xr:uid="{00000000-0005-0000-0000-0000FB110000}"/>
    <cellStyle name="Normal 2 4 2 26 14 2" xfId="21915" xr:uid="{00000000-0005-0000-0000-0000FC110000}"/>
    <cellStyle name="Normal 2 4 2 26 15" xfId="21910" xr:uid="{00000000-0005-0000-0000-0000FD110000}"/>
    <cellStyle name="Normal 2 4 2 26 2" xfId="4054" xr:uid="{00000000-0005-0000-0000-0000FE110000}"/>
    <cellStyle name="Normal 2 4 2 26 2 2" xfId="21916" xr:uid="{00000000-0005-0000-0000-0000FF110000}"/>
    <cellStyle name="Normal 2 4 2 26 3" xfId="4055" xr:uid="{00000000-0005-0000-0000-000000120000}"/>
    <cellStyle name="Normal 2 4 2 26 3 2" xfId="21917" xr:uid="{00000000-0005-0000-0000-000001120000}"/>
    <cellStyle name="Normal 2 4 2 26 4" xfId="4056" xr:uid="{00000000-0005-0000-0000-000002120000}"/>
    <cellStyle name="Normal 2 4 2 26 4 2" xfId="21918" xr:uid="{00000000-0005-0000-0000-000003120000}"/>
    <cellStyle name="Normal 2 4 2 26 5" xfId="4057" xr:uid="{00000000-0005-0000-0000-000004120000}"/>
    <cellStyle name="Normal 2 4 2 26 5 2" xfId="21919" xr:uid="{00000000-0005-0000-0000-000005120000}"/>
    <cellStyle name="Normal 2 4 2 26 6" xfId="4058" xr:uid="{00000000-0005-0000-0000-000006120000}"/>
    <cellStyle name="Normal 2 4 2 26 6 2" xfId="21920" xr:uid="{00000000-0005-0000-0000-000007120000}"/>
    <cellStyle name="Normal 2 4 2 26 7" xfId="4059" xr:uid="{00000000-0005-0000-0000-000008120000}"/>
    <cellStyle name="Normal 2 4 2 26 7 2" xfId="21921" xr:uid="{00000000-0005-0000-0000-000009120000}"/>
    <cellStyle name="Normal 2 4 2 26 8" xfId="4060" xr:uid="{00000000-0005-0000-0000-00000A120000}"/>
    <cellStyle name="Normal 2 4 2 26 8 2" xfId="21922" xr:uid="{00000000-0005-0000-0000-00000B120000}"/>
    <cellStyle name="Normal 2 4 2 26 9" xfId="4061" xr:uid="{00000000-0005-0000-0000-00000C120000}"/>
    <cellStyle name="Normal 2 4 2 26 9 2" xfId="21923" xr:uid="{00000000-0005-0000-0000-00000D120000}"/>
    <cellStyle name="Normal 2 4 2 27" xfId="4062" xr:uid="{00000000-0005-0000-0000-00000E120000}"/>
    <cellStyle name="Normal 2 4 2 27 10" xfId="4063" xr:uid="{00000000-0005-0000-0000-00000F120000}"/>
    <cellStyle name="Normal 2 4 2 27 10 2" xfId="21925" xr:uid="{00000000-0005-0000-0000-000010120000}"/>
    <cellStyle name="Normal 2 4 2 27 11" xfId="4064" xr:uid="{00000000-0005-0000-0000-000011120000}"/>
    <cellStyle name="Normal 2 4 2 27 11 2" xfId="21926" xr:uid="{00000000-0005-0000-0000-000012120000}"/>
    <cellStyle name="Normal 2 4 2 27 12" xfId="4065" xr:uid="{00000000-0005-0000-0000-000013120000}"/>
    <cellStyle name="Normal 2 4 2 27 12 2" xfId="21927" xr:uid="{00000000-0005-0000-0000-000014120000}"/>
    <cellStyle name="Normal 2 4 2 27 13" xfId="4066" xr:uid="{00000000-0005-0000-0000-000015120000}"/>
    <cellStyle name="Normal 2 4 2 27 13 2" xfId="21928" xr:uid="{00000000-0005-0000-0000-000016120000}"/>
    <cellStyle name="Normal 2 4 2 27 14" xfId="4067" xr:uid="{00000000-0005-0000-0000-000017120000}"/>
    <cellStyle name="Normal 2 4 2 27 14 2" xfId="21929" xr:uid="{00000000-0005-0000-0000-000018120000}"/>
    <cellStyle name="Normal 2 4 2 27 15" xfId="21924" xr:uid="{00000000-0005-0000-0000-000019120000}"/>
    <cellStyle name="Normal 2 4 2 27 2" xfId="4068" xr:uid="{00000000-0005-0000-0000-00001A120000}"/>
    <cellStyle name="Normal 2 4 2 27 2 2" xfId="21930" xr:uid="{00000000-0005-0000-0000-00001B120000}"/>
    <cellStyle name="Normal 2 4 2 27 3" xfId="4069" xr:uid="{00000000-0005-0000-0000-00001C120000}"/>
    <cellStyle name="Normal 2 4 2 27 3 2" xfId="21931" xr:uid="{00000000-0005-0000-0000-00001D120000}"/>
    <cellStyle name="Normal 2 4 2 27 4" xfId="4070" xr:uid="{00000000-0005-0000-0000-00001E120000}"/>
    <cellStyle name="Normal 2 4 2 27 4 2" xfId="21932" xr:uid="{00000000-0005-0000-0000-00001F120000}"/>
    <cellStyle name="Normal 2 4 2 27 5" xfId="4071" xr:uid="{00000000-0005-0000-0000-000020120000}"/>
    <cellStyle name="Normal 2 4 2 27 5 2" xfId="21933" xr:uid="{00000000-0005-0000-0000-000021120000}"/>
    <cellStyle name="Normal 2 4 2 27 6" xfId="4072" xr:uid="{00000000-0005-0000-0000-000022120000}"/>
    <cellStyle name="Normal 2 4 2 27 6 2" xfId="21934" xr:uid="{00000000-0005-0000-0000-000023120000}"/>
    <cellStyle name="Normal 2 4 2 27 7" xfId="4073" xr:uid="{00000000-0005-0000-0000-000024120000}"/>
    <cellStyle name="Normal 2 4 2 27 7 2" xfId="21935" xr:uid="{00000000-0005-0000-0000-000025120000}"/>
    <cellStyle name="Normal 2 4 2 27 8" xfId="4074" xr:uid="{00000000-0005-0000-0000-000026120000}"/>
    <cellStyle name="Normal 2 4 2 27 8 2" xfId="21936" xr:uid="{00000000-0005-0000-0000-000027120000}"/>
    <cellStyle name="Normal 2 4 2 27 9" xfId="4075" xr:uid="{00000000-0005-0000-0000-000028120000}"/>
    <cellStyle name="Normal 2 4 2 27 9 2" xfId="21937" xr:uid="{00000000-0005-0000-0000-000029120000}"/>
    <cellStyle name="Normal 2 4 2 28" xfId="4076" xr:uid="{00000000-0005-0000-0000-00002A120000}"/>
    <cellStyle name="Normal 2 4 2 28 10" xfId="4077" xr:uid="{00000000-0005-0000-0000-00002B120000}"/>
    <cellStyle name="Normal 2 4 2 28 10 2" xfId="21939" xr:uid="{00000000-0005-0000-0000-00002C120000}"/>
    <cellStyle name="Normal 2 4 2 28 11" xfId="4078" xr:uid="{00000000-0005-0000-0000-00002D120000}"/>
    <cellStyle name="Normal 2 4 2 28 11 2" xfId="21940" xr:uid="{00000000-0005-0000-0000-00002E120000}"/>
    <cellStyle name="Normal 2 4 2 28 12" xfId="4079" xr:uid="{00000000-0005-0000-0000-00002F120000}"/>
    <cellStyle name="Normal 2 4 2 28 12 2" xfId="21941" xr:uid="{00000000-0005-0000-0000-000030120000}"/>
    <cellStyle name="Normal 2 4 2 28 13" xfId="4080" xr:uid="{00000000-0005-0000-0000-000031120000}"/>
    <cellStyle name="Normal 2 4 2 28 13 2" xfId="21942" xr:uid="{00000000-0005-0000-0000-000032120000}"/>
    <cellStyle name="Normal 2 4 2 28 14" xfId="4081" xr:uid="{00000000-0005-0000-0000-000033120000}"/>
    <cellStyle name="Normal 2 4 2 28 14 2" xfId="21943" xr:uid="{00000000-0005-0000-0000-000034120000}"/>
    <cellStyle name="Normal 2 4 2 28 15" xfId="21938" xr:uid="{00000000-0005-0000-0000-000035120000}"/>
    <cellStyle name="Normal 2 4 2 28 2" xfId="4082" xr:uid="{00000000-0005-0000-0000-000036120000}"/>
    <cellStyle name="Normal 2 4 2 28 2 2" xfId="21944" xr:uid="{00000000-0005-0000-0000-000037120000}"/>
    <cellStyle name="Normal 2 4 2 28 3" xfId="4083" xr:uid="{00000000-0005-0000-0000-000038120000}"/>
    <cellStyle name="Normal 2 4 2 28 3 2" xfId="21945" xr:uid="{00000000-0005-0000-0000-000039120000}"/>
    <cellStyle name="Normal 2 4 2 28 4" xfId="4084" xr:uid="{00000000-0005-0000-0000-00003A120000}"/>
    <cellStyle name="Normal 2 4 2 28 4 2" xfId="21946" xr:uid="{00000000-0005-0000-0000-00003B120000}"/>
    <cellStyle name="Normal 2 4 2 28 5" xfId="4085" xr:uid="{00000000-0005-0000-0000-00003C120000}"/>
    <cellStyle name="Normal 2 4 2 28 5 2" xfId="21947" xr:uid="{00000000-0005-0000-0000-00003D120000}"/>
    <cellStyle name="Normal 2 4 2 28 6" xfId="4086" xr:uid="{00000000-0005-0000-0000-00003E120000}"/>
    <cellStyle name="Normal 2 4 2 28 6 2" xfId="21948" xr:uid="{00000000-0005-0000-0000-00003F120000}"/>
    <cellStyle name="Normal 2 4 2 28 7" xfId="4087" xr:uid="{00000000-0005-0000-0000-000040120000}"/>
    <cellStyle name="Normal 2 4 2 28 7 2" xfId="21949" xr:uid="{00000000-0005-0000-0000-000041120000}"/>
    <cellStyle name="Normal 2 4 2 28 8" xfId="4088" xr:uid="{00000000-0005-0000-0000-000042120000}"/>
    <cellStyle name="Normal 2 4 2 28 8 2" xfId="21950" xr:uid="{00000000-0005-0000-0000-000043120000}"/>
    <cellStyle name="Normal 2 4 2 28 9" xfId="4089" xr:uid="{00000000-0005-0000-0000-000044120000}"/>
    <cellStyle name="Normal 2 4 2 28 9 2" xfId="21951" xr:uid="{00000000-0005-0000-0000-000045120000}"/>
    <cellStyle name="Normal 2 4 2 29" xfId="4090" xr:uid="{00000000-0005-0000-0000-000046120000}"/>
    <cellStyle name="Normal 2 4 2 29 10" xfId="4091" xr:uid="{00000000-0005-0000-0000-000047120000}"/>
    <cellStyle name="Normal 2 4 2 29 10 2" xfId="21953" xr:uid="{00000000-0005-0000-0000-000048120000}"/>
    <cellStyle name="Normal 2 4 2 29 11" xfId="4092" xr:uid="{00000000-0005-0000-0000-000049120000}"/>
    <cellStyle name="Normal 2 4 2 29 11 2" xfId="21954" xr:uid="{00000000-0005-0000-0000-00004A120000}"/>
    <cellStyle name="Normal 2 4 2 29 12" xfId="4093" xr:uid="{00000000-0005-0000-0000-00004B120000}"/>
    <cellStyle name="Normal 2 4 2 29 12 2" xfId="21955" xr:uid="{00000000-0005-0000-0000-00004C120000}"/>
    <cellStyle name="Normal 2 4 2 29 13" xfId="4094" xr:uid="{00000000-0005-0000-0000-00004D120000}"/>
    <cellStyle name="Normal 2 4 2 29 13 2" xfId="21956" xr:uid="{00000000-0005-0000-0000-00004E120000}"/>
    <cellStyle name="Normal 2 4 2 29 14" xfId="4095" xr:uid="{00000000-0005-0000-0000-00004F120000}"/>
    <cellStyle name="Normal 2 4 2 29 14 2" xfId="21957" xr:uid="{00000000-0005-0000-0000-000050120000}"/>
    <cellStyle name="Normal 2 4 2 29 15" xfId="21952" xr:uid="{00000000-0005-0000-0000-000051120000}"/>
    <cellStyle name="Normal 2 4 2 29 2" xfId="4096" xr:uid="{00000000-0005-0000-0000-000052120000}"/>
    <cellStyle name="Normal 2 4 2 29 2 2" xfId="21958" xr:uid="{00000000-0005-0000-0000-000053120000}"/>
    <cellStyle name="Normal 2 4 2 29 3" xfId="4097" xr:uid="{00000000-0005-0000-0000-000054120000}"/>
    <cellStyle name="Normal 2 4 2 29 3 2" xfId="21959" xr:uid="{00000000-0005-0000-0000-000055120000}"/>
    <cellStyle name="Normal 2 4 2 29 4" xfId="4098" xr:uid="{00000000-0005-0000-0000-000056120000}"/>
    <cellStyle name="Normal 2 4 2 29 4 2" xfId="21960" xr:uid="{00000000-0005-0000-0000-000057120000}"/>
    <cellStyle name="Normal 2 4 2 29 5" xfId="4099" xr:uid="{00000000-0005-0000-0000-000058120000}"/>
    <cellStyle name="Normal 2 4 2 29 5 2" xfId="21961" xr:uid="{00000000-0005-0000-0000-000059120000}"/>
    <cellStyle name="Normal 2 4 2 29 6" xfId="4100" xr:uid="{00000000-0005-0000-0000-00005A120000}"/>
    <cellStyle name="Normal 2 4 2 29 6 2" xfId="21962" xr:uid="{00000000-0005-0000-0000-00005B120000}"/>
    <cellStyle name="Normal 2 4 2 29 7" xfId="4101" xr:uid="{00000000-0005-0000-0000-00005C120000}"/>
    <cellStyle name="Normal 2 4 2 29 7 2" xfId="21963" xr:uid="{00000000-0005-0000-0000-00005D120000}"/>
    <cellStyle name="Normal 2 4 2 29 8" xfId="4102" xr:uid="{00000000-0005-0000-0000-00005E120000}"/>
    <cellStyle name="Normal 2 4 2 29 8 2" xfId="21964" xr:uid="{00000000-0005-0000-0000-00005F120000}"/>
    <cellStyle name="Normal 2 4 2 29 9" xfId="4103" xr:uid="{00000000-0005-0000-0000-000060120000}"/>
    <cellStyle name="Normal 2 4 2 29 9 2" xfId="21965" xr:uid="{00000000-0005-0000-0000-000061120000}"/>
    <cellStyle name="Normal 2 4 2 3" xfId="4104" xr:uid="{00000000-0005-0000-0000-000062120000}"/>
    <cellStyle name="Normal 2 4 2 3 2" xfId="4105" xr:uid="{00000000-0005-0000-0000-000063120000}"/>
    <cellStyle name="Normal 2 4 2 30" xfId="4106" xr:uid="{00000000-0005-0000-0000-000064120000}"/>
    <cellStyle name="Normal 2 4 2 30 10" xfId="4107" xr:uid="{00000000-0005-0000-0000-000065120000}"/>
    <cellStyle name="Normal 2 4 2 30 10 2" xfId="21967" xr:uid="{00000000-0005-0000-0000-000066120000}"/>
    <cellStyle name="Normal 2 4 2 30 11" xfId="4108" xr:uid="{00000000-0005-0000-0000-000067120000}"/>
    <cellStyle name="Normal 2 4 2 30 11 2" xfId="21968" xr:uid="{00000000-0005-0000-0000-000068120000}"/>
    <cellStyle name="Normal 2 4 2 30 12" xfId="4109" xr:uid="{00000000-0005-0000-0000-000069120000}"/>
    <cellStyle name="Normal 2 4 2 30 12 2" xfId="21969" xr:uid="{00000000-0005-0000-0000-00006A120000}"/>
    <cellStyle name="Normal 2 4 2 30 13" xfId="4110" xr:uid="{00000000-0005-0000-0000-00006B120000}"/>
    <cellStyle name="Normal 2 4 2 30 13 2" xfId="21970" xr:uid="{00000000-0005-0000-0000-00006C120000}"/>
    <cellStyle name="Normal 2 4 2 30 14" xfId="4111" xr:uid="{00000000-0005-0000-0000-00006D120000}"/>
    <cellStyle name="Normal 2 4 2 30 14 2" xfId="21971" xr:uid="{00000000-0005-0000-0000-00006E120000}"/>
    <cellStyle name="Normal 2 4 2 30 15" xfId="21966" xr:uid="{00000000-0005-0000-0000-00006F120000}"/>
    <cellStyle name="Normal 2 4 2 30 2" xfId="4112" xr:uid="{00000000-0005-0000-0000-000070120000}"/>
    <cellStyle name="Normal 2 4 2 30 2 2" xfId="21972" xr:uid="{00000000-0005-0000-0000-000071120000}"/>
    <cellStyle name="Normal 2 4 2 30 3" xfId="4113" xr:uid="{00000000-0005-0000-0000-000072120000}"/>
    <cellStyle name="Normal 2 4 2 30 3 2" xfId="21973" xr:uid="{00000000-0005-0000-0000-000073120000}"/>
    <cellStyle name="Normal 2 4 2 30 4" xfId="4114" xr:uid="{00000000-0005-0000-0000-000074120000}"/>
    <cellStyle name="Normal 2 4 2 30 4 2" xfId="21974" xr:uid="{00000000-0005-0000-0000-000075120000}"/>
    <cellStyle name="Normal 2 4 2 30 5" xfId="4115" xr:uid="{00000000-0005-0000-0000-000076120000}"/>
    <cellStyle name="Normal 2 4 2 30 5 2" xfId="21975" xr:uid="{00000000-0005-0000-0000-000077120000}"/>
    <cellStyle name="Normal 2 4 2 30 6" xfId="4116" xr:uid="{00000000-0005-0000-0000-000078120000}"/>
    <cellStyle name="Normal 2 4 2 30 6 2" xfId="21976" xr:uid="{00000000-0005-0000-0000-000079120000}"/>
    <cellStyle name="Normal 2 4 2 30 7" xfId="4117" xr:uid="{00000000-0005-0000-0000-00007A120000}"/>
    <cellStyle name="Normal 2 4 2 30 7 2" xfId="21977" xr:uid="{00000000-0005-0000-0000-00007B120000}"/>
    <cellStyle name="Normal 2 4 2 30 8" xfId="4118" xr:uid="{00000000-0005-0000-0000-00007C120000}"/>
    <cellStyle name="Normal 2 4 2 30 8 2" xfId="21978" xr:uid="{00000000-0005-0000-0000-00007D120000}"/>
    <cellStyle name="Normal 2 4 2 30 9" xfId="4119" xr:uid="{00000000-0005-0000-0000-00007E120000}"/>
    <cellStyle name="Normal 2 4 2 30 9 2" xfId="21979" xr:uid="{00000000-0005-0000-0000-00007F120000}"/>
    <cellStyle name="Normal 2 4 2 31" xfId="4120" xr:uid="{00000000-0005-0000-0000-000080120000}"/>
    <cellStyle name="Normal 2 4 2 31 10" xfId="4121" xr:uid="{00000000-0005-0000-0000-000081120000}"/>
    <cellStyle name="Normal 2 4 2 31 10 2" xfId="21981" xr:uid="{00000000-0005-0000-0000-000082120000}"/>
    <cellStyle name="Normal 2 4 2 31 11" xfId="4122" xr:uid="{00000000-0005-0000-0000-000083120000}"/>
    <cellStyle name="Normal 2 4 2 31 11 2" xfId="21982" xr:uid="{00000000-0005-0000-0000-000084120000}"/>
    <cellStyle name="Normal 2 4 2 31 12" xfId="4123" xr:uid="{00000000-0005-0000-0000-000085120000}"/>
    <cellStyle name="Normal 2 4 2 31 12 2" xfId="21983" xr:uid="{00000000-0005-0000-0000-000086120000}"/>
    <cellStyle name="Normal 2 4 2 31 13" xfId="4124" xr:uid="{00000000-0005-0000-0000-000087120000}"/>
    <cellStyle name="Normal 2 4 2 31 13 2" xfId="21984" xr:uid="{00000000-0005-0000-0000-000088120000}"/>
    <cellStyle name="Normal 2 4 2 31 14" xfId="4125" xr:uid="{00000000-0005-0000-0000-000089120000}"/>
    <cellStyle name="Normal 2 4 2 31 14 2" xfId="21985" xr:uid="{00000000-0005-0000-0000-00008A120000}"/>
    <cellStyle name="Normal 2 4 2 31 15" xfId="21980" xr:uid="{00000000-0005-0000-0000-00008B120000}"/>
    <cellStyle name="Normal 2 4 2 31 2" xfId="4126" xr:uid="{00000000-0005-0000-0000-00008C120000}"/>
    <cellStyle name="Normal 2 4 2 31 2 2" xfId="21986" xr:uid="{00000000-0005-0000-0000-00008D120000}"/>
    <cellStyle name="Normal 2 4 2 31 3" xfId="4127" xr:uid="{00000000-0005-0000-0000-00008E120000}"/>
    <cellStyle name="Normal 2 4 2 31 3 2" xfId="21987" xr:uid="{00000000-0005-0000-0000-00008F120000}"/>
    <cellStyle name="Normal 2 4 2 31 4" xfId="4128" xr:uid="{00000000-0005-0000-0000-000090120000}"/>
    <cellStyle name="Normal 2 4 2 31 4 2" xfId="21988" xr:uid="{00000000-0005-0000-0000-000091120000}"/>
    <cellStyle name="Normal 2 4 2 31 5" xfId="4129" xr:uid="{00000000-0005-0000-0000-000092120000}"/>
    <cellStyle name="Normal 2 4 2 31 5 2" xfId="21989" xr:uid="{00000000-0005-0000-0000-000093120000}"/>
    <cellStyle name="Normal 2 4 2 31 6" xfId="4130" xr:uid="{00000000-0005-0000-0000-000094120000}"/>
    <cellStyle name="Normal 2 4 2 31 6 2" xfId="21990" xr:uid="{00000000-0005-0000-0000-000095120000}"/>
    <cellStyle name="Normal 2 4 2 31 7" xfId="4131" xr:uid="{00000000-0005-0000-0000-000096120000}"/>
    <cellStyle name="Normal 2 4 2 31 7 2" xfId="21991" xr:uid="{00000000-0005-0000-0000-000097120000}"/>
    <cellStyle name="Normal 2 4 2 31 8" xfId="4132" xr:uid="{00000000-0005-0000-0000-000098120000}"/>
    <cellStyle name="Normal 2 4 2 31 8 2" xfId="21992" xr:uid="{00000000-0005-0000-0000-000099120000}"/>
    <cellStyle name="Normal 2 4 2 31 9" xfId="4133" xr:uid="{00000000-0005-0000-0000-00009A120000}"/>
    <cellStyle name="Normal 2 4 2 31 9 2" xfId="21993" xr:uid="{00000000-0005-0000-0000-00009B120000}"/>
    <cellStyle name="Normal 2 4 2 32" xfId="4134" xr:uid="{00000000-0005-0000-0000-00009C120000}"/>
    <cellStyle name="Normal 2 4 2 33" xfId="4135" xr:uid="{00000000-0005-0000-0000-00009D120000}"/>
    <cellStyle name="Normal 2 4 2 33 2" xfId="21994" xr:uid="{00000000-0005-0000-0000-00009E120000}"/>
    <cellStyle name="Normal 2 4 2 34" xfId="4136" xr:uid="{00000000-0005-0000-0000-00009F120000}"/>
    <cellStyle name="Normal 2 4 2 34 2" xfId="21995" xr:uid="{00000000-0005-0000-0000-0000A0120000}"/>
    <cellStyle name="Normal 2 4 2 35" xfId="4137" xr:uid="{00000000-0005-0000-0000-0000A1120000}"/>
    <cellStyle name="Normal 2 4 2 35 2" xfId="21996" xr:uid="{00000000-0005-0000-0000-0000A2120000}"/>
    <cellStyle name="Normal 2 4 2 36" xfId="4138" xr:uid="{00000000-0005-0000-0000-0000A3120000}"/>
    <cellStyle name="Normal 2 4 2 36 2" xfId="21997" xr:uid="{00000000-0005-0000-0000-0000A4120000}"/>
    <cellStyle name="Normal 2 4 2 37" xfId="4139" xr:uid="{00000000-0005-0000-0000-0000A5120000}"/>
    <cellStyle name="Normal 2 4 2 37 2" xfId="21998" xr:uid="{00000000-0005-0000-0000-0000A6120000}"/>
    <cellStyle name="Normal 2 4 2 38" xfId="4140" xr:uid="{00000000-0005-0000-0000-0000A7120000}"/>
    <cellStyle name="Normal 2 4 2 38 2" xfId="21999" xr:uid="{00000000-0005-0000-0000-0000A8120000}"/>
    <cellStyle name="Normal 2 4 2 39" xfId="4141" xr:uid="{00000000-0005-0000-0000-0000A9120000}"/>
    <cellStyle name="Normal 2 4 2 39 2" xfId="22000" xr:uid="{00000000-0005-0000-0000-0000AA120000}"/>
    <cellStyle name="Normal 2 4 2 4" xfId="4142" xr:uid="{00000000-0005-0000-0000-0000AB120000}"/>
    <cellStyle name="Normal 2 4 2 4 2" xfId="4143" xr:uid="{00000000-0005-0000-0000-0000AC120000}"/>
    <cellStyle name="Normal 2 4 2 40" xfId="4144" xr:uid="{00000000-0005-0000-0000-0000AD120000}"/>
    <cellStyle name="Normal 2 4 2 40 2" xfId="22001" xr:uid="{00000000-0005-0000-0000-0000AE120000}"/>
    <cellStyle name="Normal 2 4 2 41" xfId="4145" xr:uid="{00000000-0005-0000-0000-0000AF120000}"/>
    <cellStyle name="Normal 2 4 2 41 2" xfId="22002" xr:uid="{00000000-0005-0000-0000-0000B0120000}"/>
    <cellStyle name="Normal 2 4 2 42" xfId="4146" xr:uid="{00000000-0005-0000-0000-0000B1120000}"/>
    <cellStyle name="Normal 2 4 2 42 2" xfId="22003" xr:uid="{00000000-0005-0000-0000-0000B2120000}"/>
    <cellStyle name="Normal 2 4 2 43" xfId="4147" xr:uid="{00000000-0005-0000-0000-0000B3120000}"/>
    <cellStyle name="Normal 2 4 2 43 2" xfId="22004" xr:uid="{00000000-0005-0000-0000-0000B4120000}"/>
    <cellStyle name="Normal 2 4 2 44" xfId="4148" xr:uid="{00000000-0005-0000-0000-0000B5120000}"/>
    <cellStyle name="Normal 2 4 2 44 2" xfId="22005" xr:uid="{00000000-0005-0000-0000-0000B6120000}"/>
    <cellStyle name="Normal 2 4 2 45" xfId="4149" xr:uid="{00000000-0005-0000-0000-0000B7120000}"/>
    <cellStyle name="Normal 2 4 2 45 2" xfId="22006" xr:uid="{00000000-0005-0000-0000-0000B8120000}"/>
    <cellStyle name="Normal 2 4 2 46" xfId="37665" xr:uid="{00000000-0005-0000-0000-0000B9120000}"/>
    <cellStyle name="Normal 2 4 2 47" xfId="21755" xr:uid="{00000000-0005-0000-0000-0000BA120000}"/>
    <cellStyle name="Normal 2 4 2 5" xfId="4150" xr:uid="{00000000-0005-0000-0000-0000BB120000}"/>
    <cellStyle name="Normal 2 4 2 5 2" xfId="4151" xr:uid="{00000000-0005-0000-0000-0000BC120000}"/>
    <cellStyle name="Normal 2 4 2 6" xfId="4152" xr:uid="{00000000-0005-0000-0000-0000BD120000}"/>
    <cellStyle name="Normal 2 4 2 6 2" xfId="4153" xr:uid="{00000000-0005-0000-0000-0000BE120000}"/>
    <cellStyle name="Normal 2 4 2 7" xfId="4154" xr:uid="{00000000-0005-0000-0000-0000BF120000}"/>
    <cellStyle name="Normal 2 4 2 7 2" xfId="4155" xr:uid="{00000000-0005-0000-0000-0000C0120000}"/>
    <cellStyle name="Normal 2 4 2 8" xfId="4156" xr:uid="{00000000-0005-0000-0000-0000C1120000}"/>
    <cellStyle name="Normal 2 4 2 9" xfId="4157" xr:uid="{00000000-0005-0000-0000-0000C2120000}"/>
    <cellStyle name="Normal 2 4 20" xfId="4158" xr:uid="{00000000-0005-0000-0000-0000C3120000}"/>
    <cellStyle name="Normal 2 4 20 10" xfId="4159" xr:uid="{00000000-0005-0000-0000-0000C4120000}"/>
    <cellStyle name="Normal 2 4 20 10 2" xfId="22008" xr:uid="{00000000-0005-0000-0000-0000C5120000}"/>
    <cellStyle name="Normal 2 4 20 11" xfId="4160" xr:uid="{00000000-0005-0000-0000-0000C6120000}"/>
    <cellStyle name="Normal 2 4 20 11 2" xfId="22009" xr:uid="{00000000-0005-0000-0000-0000C7120000}"/>
    <cellStyle name="Normal 2 4 20 12" xfId="4161" xr:uid="{00000000-0005-0000-0000-0000C8120000}"/>
    <cellStyle name="Normal 2 4 20 12 2" xfId="22010" xr:uid="{00000000-0005-0000-0000-0000C9120000}"/>
    <cellStyle name="Normal 2 4 20 13" xfId="4162" xr:uid="{00000000-0005-0000-0000-0000CA120000}"/>
    <cellStyle name="Normal 2 4 20 13 2" xfId="22011" xr:uid="{00000000-0005-0000-0000-0000CB120000}"/>
    <cellStyle name="Normal 2 4 20 14" xfId="4163" xr:uid="{00000000-0005-0000-0000-0000CC120000}"/>
    <cellStyle name="Normal 2 4 20 14 2" xfId="22012" xr:uid="{00000000-0005-0000-0000-0000CD120000}"/>
    <cellStyle name="Normal 2 4 20 15" xfId="22007" xr:uid="{00000000-0005-0000-0000-0000CE120000}"/>
    <cellStyle name="Normal 2 4 20 2" xfId="4164" xr:uid="{00000000-0005-0000-0000-0000CF120000}"/>
    <cellStyle name="Normal 2 4 20 2 2" xfId="22013" xr:uid="{00000000-0005-0000-0000-0000D0120000}"/>
    <cellStyle name="Normal 2 4 20 3" xfId="4165" xr:uid="{00000000-0005-0000-0000-0000D1120000}"/>
    <cellStyle name="Normal 2 4 20 3 2" xfId="22014" xr:uid="{00000000-0005-0000-0000-0000D2120000}"/>
    <cellStyle name="Normal 2 4 20 4" xfId="4166" xr:uid="{00000000-0005-0000-0000-0000D3120000}"/>
    <cellStyle name="Normal 2 4 20 4 2" xfId="22015" xr:uid="{00000000-0005-0000-0000-0000D4120000}"/>
    <cellStyle name="Normal 2 4 20 5" xfId="4167" xr:uid="{00000000-0005-0000-0000-0000D5120000}"/>
    <cellStyle name="Normal 2 4 20 5 2" xfId="22016" xr:uid="{00000000-0005-0000-0000-0000D6120000}"/>
    <cellStyle name="Normal 2 4 20 6" xfId="4168" xr:uid="{00000000-0005-0000-0000-0000D7120000}"/>
    <cellStyle name="Normal 2 4 20 6 2" xfId="22017" xr:uid="{00000000-0005-0000-0000-0000D8120000}"/>
    <cellStyle name="Normal 2 4 20 7" xfId="4169" xr:uid="{00000000-0005-0000-0000-0000D9120000}"/>
    <cellStyle name="Normal 2 4 20 7 2" xfId="22018" xr:uid="{00000000-0005-0000-0000-0000DA120000}"/>
    <cellStyle name="Normal 2 4 20 8" xfId="4170" xr:uid="{00000000-0005-0000-0000-0000DB120000}"/>
    <cellStyle name="Normal 2 4 20 8 2" xfId="22019" xr:uid="{00000000-0005-0000-0000-0000DC120000}"/>
    <cellStyle name="Normal 2 4 20 9" xfId="4171" xr:uid="{00000000-0005-0000-0000-0000DD120000}"/>
    <cellStyle name="Normal 2 4 20 9 2" xfId="22020" xr:uid="{00000000-0005-0000-0000-0000DE120000}"/>
    <cellStyle name="Normal 2 4 21" xfId="37664" xr:uid="{00000000-0005-0000-0000-0000DF120000}"/>
    <cellStyle name="Normal 2 4 3" xfId="4172" xr:uid="{00000000-0005-0000-0000-0000E0120000}"/>
    <cellStyle name="Normal 2 4 3 10" xfId="4173" xr:uid="{00000000-0005-0000-0000-0000E1120000}"/>
    <cellStyle name="Normal 2 4 3 11" xfId="4174" xr:uid="{00000000-0005-0000-0000-0000E2120000}"/>
    <cellStyle name="Normal 2 4 3 11 2" xfId="4175" xr:uid="{00000000-0005-0000-0000-0000E3120000}"/>
    <cellStyle name="Normal 2 4 3 11 2 10" xfId="4176" xr:uid="{00000000-0005-0000-0000-0000E4120000}"/>
    <cellStyle name="Normal 2 4 3 11 2 10 2" xfId="22023" xr:uid="{00000000-0005-0000-0000-0000E5120000}"/>
    <cellStyle name="Normal 2 4 3 11 2 11" xfId="4177" xr:uid="{00000000-0005-0000-0000-0000E6120000}"/>
    <cellStyle name="Normal 2 4 3 11 2 11 2" xfId="22024" xr:uid="{00000000-0005-0000-0000-0000E7120000}"/>
    <cellStyle name="Normal 2 4 3 11 2 12" xfId="4178" xr:uid="{00000000-0005-0000-0000-0000E8120000}"/>
    <cellStyle name="Normal 2 4 3 11 2 12 2" xfId="22025" xr:uid="{00000000-0005-0000-0000-0000E9120000}"/>
    <cellStyle name="Normal 2 4 3 11 2 13" xfId="4179" xr:uid="{00000000-0005-0000-0000-0000EA120000}"/>
    <cellStyle name="Normal 2 4 3 11 2 13 2" xfId="22026" xr:uid="{00000000-0005-0000-0000-0000EB120000}"/>
    <cellStyle name="Normal 2 4 3 11 2 14" xfId="4180" xr:uid="{00000000-0005-0000-0000-0000EC120000}"/>
    <cellStyle name="Normal 2 4 3 11 2 14 2" xfId="22027" xr:uid="{00000000-0005-0000-0000-0000ED120000}"/>
    <cellStyle name="Normal 2 4 3 11 2 15" xfId="22022" xr:uid="{00000000-0005-0000-0000-0000EE120000}"/>
    <cellStyle name="Normal 2 4 3 11 2 2" xfId="4181" xr:uid="{00000000-0005-0000-0000-0000EF120000}"/>
    <cellStyle name="Normal 2 4 3 11 2 2 2" xfId="22028" xr:uid="{00000000-0005-0000-0000-0000F0120000}"/>
    <cellStyle name="Normal 2 4 3 11 2 3" xfId="4182" xr:uid="{00000000-0005-0000-0000-0000F1120000}"/>
    <cellStyle name="Normal 2 4 3 11 2 3 2" xfId="22029" xr:uid="{00000000-0005-0000-0000-0000F2120000}"/>
    <cellStyle name="Normal 2 4 3 11 2 4" xfId="4183" xr:uid="{00000000-0005-0000-0000-0000F3120000}"/>
    <cellStyle name="Normal 2 4 3 11 2 4 2" xfId="22030" xr:uid="{00000000-0005-0000-0000-0000F4120000}"/>
    <cellStyle name="Normal 2 4 3 11 2 5" xfId="4184" xr:uid="{00000000-0005-0000-0000-0000F5120000}"/>
    <cellStyle name="Normal 2 4 3 11 2 5 2" xfId="22031" xr:uid="{00000000-0005-0000-0000-0000F6120000}"/>
    <cellStyle name="Normal 2 4 3 11 2 6" xfId="4185" xr:uid="{00000000-0005-0000-0000-0000F7120000}"/>
    <cellStyle name="Normal 2 4 3 11 2 6 2" xfId="22032" xr:uid="{00000000-0005-0000-0000-0000F8120000}"/>
    <cellStyle name="Normal 2 4 3 11 2 7" xfId="4186" xr:uid="{00000000-0005-0000-0000-0000F9120000}"/>
    <cellStyle name="Normal 2 4 3 11 2 7 2" xfId="22033" xr:uid="{00000000-0005-0000-0000-0000FA120000}"/>
    <cellStyle name="Normal 2 4 3 11 2 8" xfId="4187" xr:uid="{00000000-0005-0000-0000-0000FB120000}"/>
    <cellStyle name="Normal 2 4 3 11 2 8 2" xfId="22034" xr:uid="{00000000-0005-0000-0000-0000FC120000}"/>
    <cellStyle name="Normal 2 4 3 11 2 9" xfId="4188" xr:uid="{00000000-0005-0000-0000-0000FD120000}"/>
    <cellStyle name="Normal 2 4 3 11 2 9 2" xfId="22035" xr:uid="{00000000-0005-0000-0000-0000FE120000}"/>
    <cellStyle name="Normal 2 4 3 11 3" xfId="4189" xr:uid="{00000000-0005-0000-0000-0000FF120000}"/>
    <cellStyle name="Normal 2 4 3 11 3 10" xfId="4190" xr:uid="{00000000-0005-0000-0000-000000130000}"/>
    <cellStyle name="Normal 2 4 3 11 3 10 2" xfId="22037" xr:uid="{00000000-0005-0000-0000-000001130000}"/>
    <cellStyle name="Normal 2 4 3 11 3 11" xfId="4191" xr:uid="{00000000-0005-0000-0000-000002130000}"/>
    <cellStyle name="Normal 2 4 3 11 3 11 2" xfId="22038" xr:uid="{00000000-0005-0000-0000-000003130000}"/>
    <cellStyle name="Normal 2 4 3 11 3 12" xfId="4192" xr:uid="{00000000-0005-0000-0000-000004130000}"/>
    <cellStyle name="Normal 2 4 3 11 3 12 2" xfId="22039" xr:uid="{00000000-0005-0000-0000-000005130000}"/>
    <cellStyle name="Normal 2 4 3 11 3 13" xfId="4193" xr:uid="{00000000-0005-0000-0000-000006130000}"/>
    <cellStyle name="Normal 2 4 3 11 3 13 2" xfId="22040" xr:uid="{00000000-0005-0000-0000-000007130000}"/>
    <cellStyle name="Normal 2 4 3 11 3 14" xfId="4194" xr:uid="{00000000-0005-0000-0000-000008130000}"/>
    <cellStyle name="Normal 2 4 3 11 3 14 2" xfId="22041" xr:uid="{00000000-0005-0000-0000-000009130000}"/>
    <cellStyle name="Normal 2 4 3 11 3 15" xfId="22036" xr:uid="{00000000-0005-0000-0000-00000A130000}"/>
    <cellStyle name="Normal 2 4 3 11 3 2" xfId="4195" xr:uid="{00000000-0005-0000-0000-00000B130000}"/>
    <cellStyle name="Normal 2 4 3 11 3 2 2" xfId="22042" xr:uid="{00000000-0005-0000-0000-00000C130000}"/>
    <cellStyle name="Normal 2 4 3 11 3 3" xfId="4196" xr:uid="{00000000-0005-0000-0000-00000D130000}"/>
    <cellStyle name="Normal 2 4 3 11 3 3 2" xfId="22043" xr:uid="{00000000-0005-0000-0000-00000E130000}"/>
    <cellStyle name="Normal 2 4 3 11 3 4" xfId="4197" xr:uid="{00000000-0005-0000-0000-00000F130000}"/>
    <cellStyle name="Normal 2 4 3 11 3 4 2" xfId="22044" xr:uid="{00000000-0005-0000-0000-000010130000}"/>
    <cellStyle name="Normal 2 4 3 11 3 5" xfId="4198" xr:uid="{00000000-0005-0000-0000-000011130000}"/>
    <cellStyle name="Normal 2 4 3 11 3 5 2" xfId="22045" xr:uid="{00000000-0005-0000-0000-000012130000}"/>
    <cellStyle name="Normal 2 4 3 11 3 6" xfId="4199" xr:uid="{00000000-0005-0000-0000-000013130000}"/>
    <cellStyle name="Normal 2 4 3 11 3 6 2" xfId="22046" xr:uid="{00000000-0005-0000-0000-000014130000}"/>
    <cellStyle name="Normal 2 4 3 11 3 7" xfId="4200" xr:uid="{00000000-0005-0000-0000-000015130000}"/>
    <cellStyle name="Normal 2 4 3 11 3 7 2" xfId="22047" xr:uid="{00000000-0005-0000-0000-000016130000}"/>
    <cellStyle name="Normal 2 4 3 11 3 8" xfId="4201" xr:uid="{00000000-0005-0000-0000-000017130000}"/>
    <cellStyle name="Normal 2 4 3 11 3 8 2" xfId="22048" xr:uid="{00000000-0005-0000-0000-000018130000}"/>
    <cellStyle name="Normal 2 4 3 11 3 9" xfId="4202" xr:uid="{00000000-0005-0000-0000-000019130000}"/>
    <cellStyle name="Normal 2 4 3 11 3 9 2" xfId="22049" xr:uid="{00000000-0005-0000-0000-00001A130000}"/>
    <cellStyle name="Normal 2 4 3 11 4" xfId="4203" xr:uid="{00000000-0005-0000-0000-00001B130000}"/>
    <cellStyle name="Normal 2 4 3 11 4 10" xfId="4204" xr:uid="{00000000-0005-0000-0000-00001C130000}"/>
    <cellStyle name="Normal 2 4 3 11 4 10 2" xfId="22051" xr:uid="{00000000-0005-0000-0000-00001D130000}"/>
    <cellStyle name="Normal 2 4 3 11 4 11" xfId="4205" xr:uid="{00000000-0005-0000-0000-00001E130000}"/>
    <cellStyle name="Normal 2 4 3 11 4 11 2" xfId="22052" xr:uid="{00000000-0005-0000-0000-00001F130000}"/>
    <cellStyle name="Normal 2 4 3 11 4 12" xfId="4206" xr:uid="{00000000-0005-0000-0000-000020130000}"/>
    <cellStyle name="Normal 2 4 3 11 4 12 2" xfId="22053" xr:uid="{00000000-0005-0000-0000-000021130000}"/>
    <cellStyle name="Normal 2 4 3 11 4 13" xfId="4207" xr:uid="{00000000-0005-0000-0000-000022130000}"/>
    <cellStyle name="Normal 2 4 3 11 4 13 2" xfId="22054" xr:uid="{00000000-0005-0000-0000-000023130000}"/>
    <cellStyle name="Normal 2 4 3 11 4 14" xfId="4208" xr:uid="{00000000-0005-0000-0000-000024130000}"/>
    <cellStyle name="Normal 2 4 3 11 4 14 2" xfId="22055" xr:uid="{00000000-0005-0000-0000-000025130000}"/>
    <cellStyle name="Normal 2 4 3 11 4 15" xfId="22050" xr:uid="{00000000-0005-0000-0000-000026130000}"/>
    <cellStyle name="Normal 2 4 3 11 4 2" xfId="4209" xr:uid="{00000000-0005-0000-0000-000027130000}"/>
    <cellStyle name="Normal 2 4 3 11 4 2 2" xfId="22056" xr:uid="{00000000-0005-0000-0000-000028130000}"/>
    <cellStyle name="Normal 2 4 3 11 4 3" xfId="4210" xr:uid="{00000000-0005-0000-0000-000029130000}"/>
    <cellStyle name="Normal 2 4 3 11 4 3 2" xfId="22057" xr:uid="{00000000-0005-0000-0000-00002A130000}"/>
    <cellStyle name="Normal 2 4 3 11 4 4" xfId="4211" xr:uid="{00000000-0005-0000-0000-00002B130000}"/>
    <cellStyle name="Normal 2 4 3 11 4 4 2" xfId="22058" xr:uid="{00000000-0005-0000-0000-00002C130000}"/>
    <cellStyle name="Normal 2 4 3 11 4 5" xfId="4212" xr:uid="{00000000-0005-0000-0000-00002D130000}"/>
    <cellStyle name="Normal 2 4 3 11 4 5 2" xfId="22059" xr:uid="{00000000-0005-0000-0000-00002E130000}"/>
    <cellStyle name="Normal 2 4 3 11 4 6" xfId="4213" xr:uid="{00000000-0005-0000-0000-00002F130000}"/>
    <cellStyle name="Normal 2 4 3 11 4 6 2" xfId="22060" xr:uid="{00000000-0005-0000-0000-000030130000}"/>
    <cellStyle name="Normal 2 4 3 11 4 7" xfId="4214" xr:uid="{00000000-0005-0000-0000-000031130000}"/>
    <cellStyle name="Normal 2 4 3 11 4 7 2" xfId="22061" xr:uid="{00000000-0005-0000-0000-000032130000}"/>
    <cellStyle name="Normal 2 4 3 11 4 8" xfId="4215" xr:uid="{00000000-0005-0000-0000-000033130000}"/>
    <cellStyle name="Normal 2 4 3 11 4 8 2" xfId="22062" xr:uid="{00000000-0005-0000-0000-000034130000}"/>
    <cellStyle name="Normal 2 4 3 11 4 9" xfId="4216" xr:uid="{00000000-0005-0000-0000-000035130000}"/>
    <cellStyle name="Normal 2 4 3 11 4 9 2" xfId="22063" xr:uid="{00000000-0005-0000-0000-000036130000}"/>
    <cellStyle name="Normal 2 4 3 12" xfId="4217" xr:uid="{00000000-0005-0000-0000-000037130000}"/>
    <cellStyle name="Normal 2 4 3 12 10" xfId="4218" xr:uid="{00000000-0005-0000-0000-000038130000}"/>
    <cellStyle name="Normal 2 4 3 12 10 2" xfId="22065" xr:uid="{00000000-0005-0000-0000-000039130000}"/>
    <cellStyle name="Normal 2 4 3 12 11" xfId="4219" xr:uid="{00000000-0005-0000-0000-00003A130000}"/>
    <cellStyle name="Normal 2 4 3 12 11 2" xfId="22066" xr:uid="{00000000-0005-0000-0000-00003B130000}"/>
    <cellStyle name="Normal 2 4 3 12 12" xfId="4220" xr:uid="{00000000-0005-0000-0000-00003C130000}"/>
    <cellStyle name="Normal 2 4 3 12 12 2" xfId="22067" xr:uid="{00000000-0005-0000-0000-00003D130000}"/>
    <cellStyle name="Normal 2 4 3 12 13" xfId="4221" xr:uid="{00000000-0005-0000-0000-00003E130000}"/>
    <cellStyle name="Normal 2 4 3 12 13 2" xfId="22068" xr:uid="{00000000-0005-0000-0000-00003F130000}"/>
    <cellStyle name="Normal 2 4 3 12 14" xfId="4222" xr:uid="{00000000-0005-0000-0000-000040130000}"/>
    <cellStyle name="Normal 2 4 3 12 14 2" xfId="22069" xr:uid="{00000000-0005-0000-0000-000041130000}"/>
    <cellStyle name="Normal 2 4 3 12 15" xfId="22064" xr:uid="{00000000-0005-0000-0000-000042130000}"/>
    <cellStyle name="Normal 2 4 3 12 2" xfId="4223" xr:uid="{00000000-0005-0000-0000-000043130000}"/>
    <cellStyle name="Normal 2 4 3 12 2 2" xfId="22070" xr:uid="{00000000-0005-0000-0000-000044130000}"/>
    <cellStyle name="Normal 2 4 3 12 3" xfId="4224" xr:uid="{00000000-0005-0000-0000-000045130000}"/>
    <cellStyle name="Normal 2 4 3 12 3 2" xfId="22071" xr:uid="{00000000-0005-0000-0000-000046130000}"/>
    <cellStyle name="Normal 2 4 3 12 4" xfId="4225" xr:uid="{00000000-0005-0000-0000-000047130000}"/>
    <cellStyle name="Normal 2 4 3 12 4 2" xfId="22072" xr:uid="{00000000-0005-0000-0000-000048130000}"/>
    <cellStyle name="Normal 2 4 3 12 5" xfId="4226" xr:uid="{00000000-0005-0000-0000-000049130000}"/>
    <cellStyle name="Normal 2 4 3 12 5 2" xfId="22073" xr:uid="{00000000-0005-0000-0000-00004A130000}"/>
    <cellStyle name="Normal 2 4 3 12 6" xfId="4227" xr:uid="{00000000-0005-0000-0000-00004B130000}"/>
    <cellStyle name="Normal 2 4 3 12 6 2" xfId="22074" xr:uid="{00000000-0005-0000-0000-00004C130000}"/>
    <cellStyle name="Normal 2 4 3 12 7" xfId="4228" xr:uid="{00000000-0005-0000-0000-00004D130000}"/>
    <cellStyle name="Normal 2 4 3 12 7 2" xfId="22075" xr:uid="{00000000-0005-0000-0000-00004E130000}"/>
    <cellStyle name="Normal 2 4 3 12 8" xfId="4229" xr:uid="{00000000-0005-0000-0000-00004F130000}"/>
    <cellStyle name="Normal 2 4 3 12 8 2" xfId="22076" xr:uid="{00000000-0005-0000-0000-000050130000}"/>
    <cellStyle name="Normal 2 4 3 12 9" xfId="4230" xr:uid="{00000000-0005-0000-0000-000051130000}"/>
    <cellStyle name="Normal 2 4 3 12 9 2" xfId="22077" xr:uid="{00000000-0005-0000-0000-000052130000}"/>
    <cellStyle name="Normal 2 4 3 13" xfId="4231" xr:uid="{00000000-0005-0000-0000-000053130000}"/>
    <cellStyle name="Normal 2 4 3 14" xfId="4232" xr:uid="{00000000-0005-0000-0000-000054130000}"/>
    <cellStyle name="Normal 2 4 3 15" xfId="4233" xr:uid="{00000000-0005-0000-0000-000055130000}"/>
    <cellStyle name="Normal 2 4 3 16" xfId="4234" xr:uid="{00000000-0005-0000-0000-000056130000}"/>
    <cellStyle name="Normal 2 4 3 16 2" xfId="22078" xr:uid="{00000000-0005-0000-0000-000057130000}"/>
    <cellStyle name="Normal 2 4 3 17" xfId="4235" xr:uid="{00000000-0005-0000-0000-000058130000}"/>
    <cellStyle name="Normal 2 4 3 17 2" xfId="22079" xr:uid="{00000000-0005-0000-0000-000059130000}"/>
    <cellStyle name="Normal 2 4 3 18" xfId="4236" xr:uid="{00000000-0005-0000-0000-00005A130000}"/>
    <cellStyle name="Normal 2 4 3 18 2" xfId="22080" xr:uid="{00000000-0005-0000-0000-00005B130000}"/>
    <cellStyle name="Normal 2 4 3 19" xfId="4237" xr:uid="{00000000-0005-0000-0000-00005C130000}"/>
    <cellStyle name="Normal 2 4 3 19 2" xfId="22081" xr:uid="{00000000-0005-0000-0000-00005D130000}"/>
    <cellStyle name="Normal 2 4 3 2" xfId="4238" xr:uid="{00000000-0005-0000-0000-00005E130000}"/>
    <cellStyle name="Normal 2 4 3 2 2" xfId="4239" xr:uid="{00000000-0005-0000-0000-00005F130000}"/>
    <cellStyle name="Normal 2 4 3 2 2 2" xfId="4240" xr:uid="{00000000-0005-0000-0000-000060130000}"/>
    <cellStyle name="Normal 2 4 3 2 2 2 2" xfId="4241" xr:uid="{00000000-0005-0000-0000-000061130000}"/>
    <cellStyle name="Normal 2 4 3 2 2 2 3" xfId="4242" xr:uid="{00000000-0005-0000-0000-000062130000}"/>
    <cellStyle name="Normal 2 4 3 2 2 2 4" xfId="4243" xr:uid="{00000000-0005-0000-0000-000063130000}"/>
    <cellStyle name="Normal 2 4 3 2 2 3" xfId="4244" xr:uid="{00000000-0005-0000-0000-000064130000}"/>
    <cellStyle name="Normal 2 4 3 2 2 4" xfId="4245" xr:uid="{00000000-0005-0000-0000-000065130000}"/>
    <cellStyle name="Normal 2 4 3 2 2 5" xfId="4246" xr:uid="{00000000-0005-0000-0000-000066130000}"/>
    <cellStyle name="Normal 2 4 3 2 3" xfId="4247" xr:uid="{00000000-0005-0000-0000-000067130000}"/>
    <cellStyle name="Normal 2 4 3 2 3 2" xfId="4248" xr:uid="{00000000-0005-0000-0000-000068130000}"/>
    <cellStyle name="Normal 2 4 3 2 3 3" xfId="4249" xr:uid="{00000000-0005-0000-0000-000069130000}"/>
    <cellStyle name="Normal 2 4 3 2 3 4" xfId="4250" xr:uid="{00000000-0005-0000-0000-00006A130000}"/>
    <cellStyle name="Normal 2 4 3 2 4" xfId="4251" xr:uid="{00000000-0005-0000-0000-00006B130000}"/>
    <cellStyle name="Normal 2 4 3 2 5" xfId="4252" xr:uid="{00000000-0005-0000-0000-00006C130000}"/>
    <cellStyle name="Normal 2 4 3 2 6" xfId="4253" xr:uid="{00000000-0005-0000-0000-00006D130000}"/>
    <cellStyle name="Normal 2 4 3 20" xfId="4254" xr:uid="{00000000-0005-0000-0000-00006E130000}"/>
    <cellStyle name="Normal 2 4 3 20 2" xfId="22082" xr:uid="{00000000-0005-0000-0000-00006F130000}"/>
    <cellStyle name="Normal 2 4 3 21" xfId="4255" xr:uid="{00000000-0005-0000-0000-000070130000}"/>
    <cellStyle name="Normal 2 4 3 21 2" xfId="22083" xr:uid="{00000000-0005-0000-0000-000071130000}"/>
    <cellStyle name="Normal 2 4 3 22" xfId="4256" xr:uid="{00000000-0005-0000-0000-000072130000}"/>
    <cellStyle name="Normal 2 4 3 22 2" xfId="22084" xr:uid="{00000000-0005-0000-0000-000073130000}"/>
    <cellStyle name="Normal 2 4 3 23" xfId="4257" xr:uid="{00000000-0005-0000-0000-000074130000}"/>
    <cellStyle name="Normal 2 4 3 23 2" xfId="22085" xr:uid="{00000000-0005-0000-0000-000075130000}"/>
    <cellStyle name="Normal 2 4 3 24" xfId="4258" xr:uid="{00000000-0005-0000-0000-000076130000}"/>
    <cellStyle name="Normal 2 4 3 24 2" xfId="22086" xr:uid="{00000000-0005-0000-0000-000077130000}"/>
    <cellStyle name="Normal 2 4 3 25" xfId="4259" xr:uid="{00000000-0005-0000-0000-000078130000}"/>
    <cellStyle name="Normal 2 4 3 25 2" xfId="22087" xr:uid="{00000000-0005-0000-0000-000079130000}"/>
    <cellStyle name="Normal 2 4 3 26" xfId="4260" xr:uid="{00000000-0005-0000-0000-00007A130000}"/>
    <cellStyle name="Normal 2 4 3 26 2" xfId="22088" xr:uid="{00000000-0005-0000-0000-00007B130000}"/>
    <cellStyle name="Normal 2 4 3 27" xfId="4261" xr:uid="{00000000-0005-0000-0000-00007C130000}"/>
    <cellStyle name="Normal 2 4 3 27 2" xfId="22089" xr:uid="{00000000-0005-0000-0000-00007D130000}"/>
    <cellStyle name="Normal 2 4 3 28" xfId="4262" xr:uid="{00000000-0005-0000-0000-00007E130000}"/>
    <cellStyle name="Normal 2 4 3 28 2" xfId="22090" xr:uid="{00000000-0005-0000-0000-00007F130000}"/>
    <cellStyle name="Normal 2 4 3 29" xfId="22021" xr:uid="{00000000-0005-0000-0000-000080130000}"/>
    <cellStyle name="Normal 2 4 3 3" xfId="4263" xr:uid="{00000000-0005-0000-0000-000081130000}"/>
    <cellStyle name="Normal 2 4 3 4" xfId="4264" xr:uid="{00000000-0005-0000-0000-000082130000}"/>
    <cellStyle name="Normal 2 4 3 5" xfId="4265" xr:uid="{00000000-0005-0000-0000-000083130000}"/>
    <cellStyle name="Normal 2 4 3 6" xfId="4266" xr:uid="{00000000-0005-0000-0000-000084130000}"/>
    <cellStyle name="Normal 2 4 3 7" xfId="4267" xr:uid="{00000000-0005-0000-0000-000085130000}"/>
    <cellStyle name="Normal 2 4 3 8" xfId="4268" xr:uid="{00000000-0005-0000-0000-000086130000}"/>
    <cellStyle name="Normal 2 4 3 9" xfId="4269" xr:uid="{00000000-0005-0000-0000-000087130000}"/>
    <cellStyle name="Normal 2 4 4" xfId="4270" xr:uid="{00000000-0005-0000-0000-000088130000}"/>
    <cellStyle name="Normal 2 4 4 10" xfId="4271" xr:uid="{00000000-0005-0000-0000-000089130000}"/>
    <cellStyle name="Normal 2 4 4 10 2" xfId="22092" xr:uid="{00000000-0005-0000-0000-00008A130000}"/>
    <cellStyle name="Normal 2 4 4 11" xfId="4272" xr:uid="{00000000-0005-0000-0000-00008B130000}"/>
    <cellStyle name="Normal 2 4 4 11 2" xfId="22093" xr:uid="{00000000-0005-0000-0000-00008C130000}"/>
    <cellStyle name="Normal 2 4 4 12" xfId="4273" xr:uid="{00000000-0005-0000-0000-00008D130000}"/>
    <cellStyle name="Normal 2 4 4 12 2" xfId="22094" xr:uid="{00000000-0005-0000-0000-00008E130000}"/>
    <cellStyle name="Normal 2 4 4 13" xfId="4274" xr:uid="{00000000-0005-0000-0000-00008F130000}"/>
    <cellStyle name="Normal 2 4 4 13 2" xfId="22095" xr:uid="{00000000-0005-0000-0000-000090130000}"/>
    <cellStyle name="Normal 2 4 4 14" xfId="4275" xr:uid="{00000000-0005-0000-0000-000091130000}"/>
    <cellStyle name="Normal 2 4 4 14 2" xfId="22096" xr:uid="{00000000-0005-0000-0000-000092130000}"/>
    <cellStyle name="Normal 2 4 4 15" xfId="4276" xr:uid="{00000000-0005-0000-0000-000093130000}"/>
    <cellStyle name="Normal 2 4 4 15 2" xfId="22097" xr:uid="{00000000-0005-0000-0000-000094130000}"/>
    <cellStyle name="Normal 2 4 4 16" xfId="4277" xr:uid="{00000000-0005-0000-0000-000095130000}"/>
    <cellStyle name="Normal 2 4 4 16 2" xfId="22098" xr:uid="{00000000-0005-0000-0000-000096130000}"/>
    <cellStyle name="Normal 2 4 4 17" xfId="4278" xr:uid="{00000000-0005-0000-0000-000097130000}"/>
    <cellStyle name="Normal 2 4 4 17 2" xfId="22099" xr:uid="{00000000-0005-0000-0000-000098130000}"/>
    <cellStyle name="Normal 2 4 4 18" xfId="4279" xr:uid="{00000000-0005-0000-0000-000099130000}"/>
    <cellStyle name="Normal 2 4 4 18 2" xfId="22100" xr:uid="{00000000-0005-0000-0000-00009A130000}"/>
    <cellStyle name="Normal 2 4 4 19" xfId="4280" xr:uid="{00000000-0005-0000-0000-00009B130000}"/>
    <cellStyle name="Normal 2 4 4 19 2" xfId="22101" xr:uid="{00000000-0005-0000-0000-00009C130000}"/>
    <cellStyle name="Normal 2 4 4 2" xfId="4281" xr:uid="{00000000-0005-0000-0000-00009D130000}"/>
    <cellStyle name="Normal 2 4 4 2 2" xfId="4282" xr:uid="{00000000-0005-0000-0000-00009E130000}"/>
    <cellStyle name="Normal 2 4 4 2 2 10" xfId="4283" xr:uid="{00000000-0005-0000-0000-00009F130000}"/>
    <cellStyle name="Normal 2 4 4 2 2 10 2" xfId="22103" xr:uid="{00000000-0005-0000-0000-0000A0130000}"/>
    <cellStyle name="Normal 2 4 4 2 2 11" xfId="4284" xr:uid="{00000000-0005-0000-0000-0000A1130000}"/>
    <cellStyle name="Normal 2 4 4 2 2 11 2" xfId="22104" xr:uid="{00000000-0005-0000-0000-0000A2130000}"/>
    <cellStyle name="Normal 2 4 4 2 2 12" xfId="4285" xr:uid="{00000000-0005-0000-0000-0000A3130000}"/>
    <cellStyle name="Normal 2 4 4 2 2 12 2" xfId="22105" xr:uid="{00000000-0005-0000-0000-0000A4130000}"/>
    <cellStyle name="Normal 2 4 4 2 2 13" xfId="4286" xr:uid="{00000000-0005-0000-0000-0000A5130000}"/>
    <cellStyle name="Normal 2 4 4 2 2 13 2" xfId="22106" xr:uid="{00000000-0005-0000-0000-0000A6130000}"/>
    <cellStyle name="Normal 2 4 4 2 2 14" xfId="4287" xr:uid="{00000000-0005-0000-0000-0000A7130000}"/>
    <cellStyle name="Normal 2 4 4 2 2 14 2" xfId="22107" xr:uid="{00000000-0005-0000-0000-0000A8130000}"/>
    <cellStyle name="Normal 2 4 4 2 2 15" xfId="4288" xr:uid="{00000000-0005-0000-0000-0000A9130000}"/>
    <cellStyle name="Normal 2 4 4 2 2 15 2" xfId="22108" xr:uid="{00000000-0005-0000-0000-0000AA130000}"/>
    <cellStyle name="Normal 2 4 4 2 2 16" xfId="4289" xr:uid="{00000000-0005-0000-0000-0000AB130000}"/>
    <cellStyle name="Normal 2 4 4 2 2 16 2" xfId="22109" xr:uid="{00000000-0005-0000-0000-0000AC130000}"/>
    <cellStyle name="Normal 2 4 4 2 2 17" xfId="4290" xr:uid="{00000000-0005-0000-0000-0000AD130000}"/>
    <cellStyle name="Normal 2 4 4 2 2 17 2" xfId="22110" xr:uid="{00000000-0005-0000-0000-0000AE130000}"/>
    <cellStyle name="Normal 2 4 4 2 2 18" xfId="22102" xr:uid="{00000000-0005-0000-0000-0000AF130000}"/>
    <cellStyle name="Normal 2 4 4 2 2 2" xfId="4291" xr:uid="{00000000-0005-0000-0000-0000B0130000}"/>
    <cellStyle name="Normal 2 4 4 2 2 3" xfId="4292" xr:uid="{00000000-0005-0000-0000-0000B1130000}"/>
    <cellStyle name="Normal 2 4 4 2 2 4" xfId="4293" xr:uid="{00000000-0005-0000-0000-0000B2130000}"/>
    <cellStyle name="Normal 2 4 4 2 2 5" xfId="4294" xr:uid="{00000000-0005-0000-0000-0000B3130000}"/>
    <cellStyle name="Normal 2 4 4 2 2 5 2" xfId="22111" xr:uid="{00000000-0005-0000-0000-0000B4130000}"/>
    <cellStyle name="Normal 2 4 4 2 2 6" xfId="4295" xr:uid="{00000000-0005-0000-0000-0000B5130000}"/>
    <cellStyle name="Normal 2 4 4 2 2 6 2" xfId="22112" xr:uid="{00000000-0005-0000-0000-0000B6130000}"/>
    <cellStyle name="Normal 2 4 4 2 2 7" xfId="4296" xr:uid="{00000000-0005-0000-0000-0000B7130000}"/>
    <cellStyle name="Normal 2 4 4 2 2 7 2" xfId="22113" xr:uid="{00000000-0005-0000-0000-0000B8130000}"/>
    <cellStyle name="Normal 2 4 4 2 2 8" xfId="4297" xr:uid="{00000000-0005-0000-0000-0000B9130000}"/>
    <cellStyle name="Normal 2 4 4 2 2 8 2" xfId="22114" xr:uid="{00000000-0005-0000-0000-0000BA130000}"/>
    <cellStyle name="Normal 2 4 4 2 2 9" xfId="4298" xr:uid="{00000000-0005-0000-0000-0000BB130000}"/>
    <cellStyle name="Normal 2 4 4 2 2 9 2" xfId="22115" xr:uid="{00000000-0005-0000-0000-0000BC130000}"/>
    <cellStyle name="Normal 2 4 4 2 3" xfId="4299" xr:uid="{00000000-0005-0000-0000-0000BD130000}"/>
    <cellStyle name="Normal 2 4 4 2 4" xfId="4300" xr:uid="{00000000-0005-0000-0000-0000BE130000}"/>
    <cellStyle name="Normal 2 4 4 2 4 10" xfId="4301" xr:uid="{00000000-0005-0000-0000-0000BF130000}"/>
    <cellStyle name="Normal 2 4 4 2 4 10 2" xfId="22117" xr:uid="{00000000-0005-0000-0000-0000C0130000}"/>
    <cellStyle name="Normal 2 4 4 2 4 11" xfId="4302" xr:uid="{00000000-0005-0000-0000-0000C1130000}"/>
    <cellStyle name="Normal 2 4 4 2 4 11 2" xfId="22118" xr:uid="{00000000-0005-0000-0000-0000C2130000}"/>
    <cellStyle name="Normal 2 4 4 2 4 12" xfId="4303" xr:uid="{00000000-0005-0000-0000-0000C3130000}"/>
    <cellStyle name="Normal 2 4 4 2 4 12 2" xfId="22119" xr:uid="{00000000-0005-0000-0000-0000C4130000}"/>
    <cellStyle name="Normal 2 4 4 2 4 13" xfId="4304" xr:uid="{00000000-0005-0000-0000-0000C5130000}"/>
    <cellStyle name="Normal 2 4 4 2 4 13 2" xfId="22120" xr:uid="{00000000-0005-0000-0000-0000C6130000}"/>
    <cellStyle name="Normal 2 4 4 2 4 14" xfId="4305" xr:uid="{00000000-0005-0000-0000-0000C7130000}"/>
    <cellStyle name="Normal 2 4 4 2 4 14 2" xfId="22121" xr:uid="{00000000-0005-0000-0000-0000C8130000}"/>
    <cellStyle name="Normal 2 4 4 2 4 15" xfId="22116" xr:uid="{00000000-0005-0000-0000-0000C9130000}"/>
    <cellStyle name="Normal 2 4 4 2 4 2" xfId="4306" xr:uid="{00000000-0005-0000-0000-0000CA130000}"/>
    <cellStyle name="Normal 2 4 4 2 4 2 2" xfId="22122" xr:uid="{00000000-0005-0000-0000-0000CB130000}"/>
    <cellStyle name="Normal 2 4 4 2 4 3" xfId="4307" xr:uid="{00000000-0005-0000-0000-0000CC130000}"/>
    <cellStyle name="Normal 2 4 4 2 4 3 2" xfId="22123" xr:uid="{00000000-0005-0000-0000-0000CD130000}"/>
    <cellStyle name="Normal 2 4 4 2 4 4" xfId="4308" xr:uid="{00000000-0005-0000-0000-0000CE130000}"/>
    <cellStyle name="Normal 2 4 4 2 4 4 2" xfId="22124" xr:uid="{00000000-0005-0000-0000-0000CF130000}"/>
    <cellStyle name="Normal 2 4 4 2 4 5" xfId="4309" xr:uid="{00000000-0005-0000-0000-0000D0130000}"/>
    <cellStyle name="Normal 2 4 4 2 4 5 2" xfId="22125" xr:uid="{00000000-0005-0000-0000-0000D1130000}"/>
    <cellStyle name="Normal 2 4 4 2 4 6" xfId="4310" xr:uid="{00000000-0005-0000-0000-0000D2130000}"/>
    <cellStyle name="Normal 2 4 4 2 4 6 2" xfId="22126" xr:uid="{00000000-0005-0000-0000-0000D3130000}"/>
    <cellStyle name="Normal 2 4 4 2 4 7" xfId="4311" xr:uid="{00000000-0005-0000-0000-0000D4130000}"/>
    <cellStyle name="Normal 2 4 4 2 4 7 2" xfId="22127" xr:uid="{00000000-0005-0000-0000-0000D5130000}"/>
    <cellStyle name="Normal 2 4 4 2 4 8" xfId="4312" xr:uid="{00000000-0005-0000-0000-0000D6130000}"/>
    <cellStyle name="Normal 2 4 4 2 4 8 2" xfId="22128" xr:uid="{00000000-0005-0000-0000-0000D7130000}"/>
    <cellStyle name="Normal 2 4 4 2 4 9" xfId="4313" xr:uid="{00000000-0005-0000-0000-0000D8130000}"/>
    <cellStyle name="Normal 2 4 4 2 4 9 2" xfId="22129" xr:uid="{00000000-0005-0000-0000-0000D9130000}"/>
    <cellStyle name="Normal 2 4 4 2 5" xfId="4314" xr:uid="{00000000-0005-0000-0000-0000DA130000}"/>
    <cellStyle name="Normal 2 4 4 2 5 10" xfId="4315" xr:uid="{00000000-0005-0000-0000-0000DB130000}"/>
    <cellStyle name="Normal 2 4 4 2 5 10 2" xfId="22131" xr:uid="{00000000-0005-0000-0000-0000DC130000}"/>
    <cellStyle name="Normal 2 4 4 2 5 11" xfId="4316" xr:uid="{00000000-0005-0000-0000-0000DD130000}"/>
    <cellStyle name="Normal 2 4 4 2 5 11 2" xfId="22132" xr:uid="{00000000-0005-0000-0000-0000DE130000}"/>
    <cellStyle name="Normal 2 4 4 2 5 12" xfId="4317" xr:uid="{00000000-0005-0000-0000-0000DF130000}"/>
    <cellStyle name="Normal 2 4 4 2 5 12 2" xfId="22133" xr:uid="{00000000-0005-0000-0000-0000E0130000}"/>
    <cellStyle name="Normal 2 4 4 2 5 13" xfId="4318" xr:uid="{00000000-0005-0000-0000-0000E1130000}"/>
    <cellStyle name="Normal 2 4 4 2 5 13 2" xfId="22134" xr:uid="{00000000-0005-0000-0000-0000E2130000}"/>
    <cellStyle name="Normal 2 4 4 2 5 14" xfId="4319" xr:uid="{00000000-0005-0000-0000-0000E3130000}"/>
    <cellStyle name="Normal 2 4 4 2 5 14 2" xfId="22135" xr:uid="{00000000-0005-0000-0000-0000E4130000}"/>
    <cellStyle name="Normal 2 4 4 2 5 15" xfId="22130" xr:uid="{00000000-0005-0000-0000-0000E5130000}"/>
    <cellStyle name="Normal 2 4 4 2 5 2" xfId="4320" xr:uid="{00000000-0005-0000-0000-0000E6130000}"/>
    <cellStyle name="Normal 2 4 4 2 5 2 2" xfId="22136" xr:uid="{00000000-0005-0000-0000-0000E7130000}"/>
    <cellStyle name="Normal 2 4 4 2 5 3" xfId="4321" xr:uid="{00000000-0005-0000-0000-0000E8130000}"/>
    <cellStyle name="Normal 2 4 4 2 5 3 2" xfId="22137" xr:uid="{00000000-0005-0000-0000-0000E9130000}"/>
    <cellStyle name="Normal 2 4 4 2 5 4" xfId="4322" xr:uid="{00000000-0005-0000-0000-0000EA130000}"/>
    <cellStyle name="Normal 2 4 4 2 5 4 2" xfId="22138" xr:uid="{00000000-0005-0000-0000-0000EB130000}"/>
    <cellStyle name="Normal 2 4 4 2 5 5" xfId="4323" xr:uid="{00000000-0005-0000-0000-0000EC130000}"/>
    <cellStyle name="Normal 2 4 4 2 5 5 2" xfId="22139" xr:uid="{00000000-0005-0000-0000-0000ED130000}"/>
    <cellStyle name="Normal 2 4 4 2 5 6" xfId="4324" xr:uid="{00000000-0005-0000-0000-0000EE130000}"/>
    <cellStyle name="Normal 2 4 4 2 5 6 2" xfId="22140" xr:uid="{00000000-0005-0000-0000-0000EF130000}"/>
    <cellStyle name="Normal 2 4 4 2 5 7" xfId="4325" xr:uid="{00000000-0005-0000-0000-0000F0130000}"/>
    <cellStyle name="Normal 2 4 4 2 5 7 2" xfId="22141" xr:uid="{00000000-0005-0000-0000-0000F1130000}"/>
    <cellStyle name="Normal 2 4 4 2 5 8" xfId="4326" xr:uid="{00000000-0005-0000-0000-0000F2130000}"/>
    <cellStyle name="Normal 2 4 4 2 5 8 2" xfId="22142" xr:uid="{00000000-0005-0000-0000-0000F3130000}"/>
    <cellStyle name="Normal 2 4 4 2 5 9" xfId="4327" xr:uid="{00000000-0005-0000-0000-0000F4130000}"/>
    <cellStyle name="Normal 2 4 4 2 5 9 2" xfId="22143" xr:uid="{00000000-0005-0000-0000-0000F5130000}"/>
    <cellStyle name="Normal 2 4 4 20" xfId="22091" xr:uid="{00000000-0005-0000-0000-0000F6130000}"/>
    <cellStyle name="Normal 2 4 4 3" xfId="4328" xr:uid="{00000000-0005-0000-0000-0000F7130000}"/>
    <cellStyle name="Normal 2 4 4 3 2" xfId="4329" xr:uid="{00000000-0005-0000-0000-0000F8130000}"/>
    <cellStyle name="Normal 2 4 4 3 2 10" xfId="4330" xr:uid="{00000000-0005-0000-0000-0000F9130000}"/>
    <cellStyle name="Normal 2 4 4 3 2 10 2" xfId="22145" xr:uid="{00000000-0005-0000-0000-0000FA130000}"/>
    <cellStyle name="Normal 2 4 4 3 2 11" xfId="4331" xr:uid="{00000000-0005-0000-0000-0000FB130000}"/>
    <cellStyle name="Normal 2 4 4 3 2 11 2" xfId="22146" xr:uid="{00000000-0005-0000-0000-0000FC130000}"/>
    <cellStyle name="Normal 2 4 4 3 2 12" xfId="4332" xr:uid="{00000000-0005-0000-0000-0000FD130000}"/>
    <cellStyle name="Normal 2 4 4 3 2 12 2" xfId="22147" xr:uid="{00000000-0005-0000-0000-0000FE130000}"/>
    <cellStyle name="Normal 2 4 4 3 2 13" xfId="4333" xr:uid="{00000000-0005-0000-0000-0000FF130000}"/>
    <cellStyle name="Normal 2 4 4 3 2 13 2" xfId="22148" xr:uid="{00000000-0005-0000-0000-000000140000}"/>
    <cellStyle name="Normal 2 4 4 3 2 14" xfId="4334" xr:uid="{00000000-0005-0000-0000-000001140000}"/>
    <cellStyle name="Normal 2 4 4 3 2 14 2" xfId="22149" xr:uid="{00000000-0005-0000-0000-000002140000}"/>
    <cellStyle name="Normal 2 4 4 3 2 15" xfId="22144" xr:uid="{00000000-0005-0000-0000-000003140000}"/>
    <cellStyle name="Normal 2 4 4 3 2 2" xfId="4335" xr:uid="{00000000-0005-0000-0000-000004140000}"/>
    <cellStyle name="Normal 2 4 4 3 2 2 2" xfId="22150" xr:uid="{00000000-0005-0000-0000-000005140000}"/>
    <cellStyle name="Normal 2 4 4 3 2 3" xfId="4336" xr:uid="{00000000-0005-0000-0000-000006140000}"/>
    <cellStyle name="Normal 2 4 4 3 2 3 2" xfId="22151" xr:uid="{00000000-0005-0000-0000-000007140000}"/>
    <cellStyle name="Normal 2 4 4 3 2 4" xfId="4337" xr:uid="{00000000-0005-0000-0000-000008140000}"/>
    <cellStyle name="Normal 2 4 4 3 2 4 2" xfId="22152" xr:uid="{00000000-0005-0000-0000-000009140000}"/>
    <cellStyle name="Normal 2 4 4 3 2 5" xfId="4338" xr:uid="{00000000-0005-0000-0000-00000A140000}"/>
    <cellStyle name="Normal 2 4 4 3 2 5 2" xfId="22153" xr:uid="{00000000-0005-0000-0000-00000B140000}"/>
    <cellStyle name="Normal 2 4 4 3 2 6" xfId="4339" xr:uid="{00000000-0005-0000-0000-00000C140000}"/>
    <cellStyle name="Normal 2 4 4 3 2 6 2" xfId="22154" xr:uid="{00000000-0005-0000-0000-00000D140000}"/>
    <cellStyle name="Normal 2 4 4 3 2 7" xfId="4340" xr:uid="{00000000-0005-0000-0000-00000E140000}"/>
    <cellStyle name="Normal 2 4 4 3 2 7 2" xfId="22155" xr:uid="{00000000-0005-0000-0000-00000F140000}"/>
    <cellStyle name="Normal 2 4 4 3 2 8" xfId="4341" xr:uid="{00000000-0005-0000-0000-000010140000}"/>
    <cellStyle name="Normal 2 4 4 3 2 8 2" xfId="22156" xr:uid="{00000000-0005-0000-0000-000011140000}"/>
    <cellStyle name="Normal 2 4 4 3 2 9" xfId="4342" xr:uid="{00000000-0005-0000-0000-000012140000}"/>
    <cellStyle name="Normal 2 4 4 3 2 9 2" xfId="22157" xr:uid="{00000000-0005-0000-0000-000013140000}"/>
    <cellStyle name="Normal 2 4 4 3 3" xfId="4343" xr:uid="{00000000-0005-0000-0000-000014140000}"/>
    <cellStyle name="Normal 2 4 4 3 3 10" xfId="4344" xr:uid="{00000000-0005-0000-0000-000015140000}"/>
    <cellStyle name="Normal 2 4 4 3 3 10 2" xfId="22159" xr:uid="{00000000-0005-0000-0000-000016140000}"/>
    <cellStyle name="Normal 2 4 4 3 3 11" xfId="4345" xr:uid="{00000000-0005-0000-0000-000017140000}"/>
    <cellStyle name="Normal 2 4 4 3 3 11 2" xfId="22160" xr:uid="{00000000-0005-0000-0000-000018140000}"/>
    <cellStyle name="Normal 2 4 4 3 3 12" xfId="4346" xr:uid="{00000000-0005-0000-0000-000019140000}"/>
    <cellStyle name="Normal 2 4 4 3 3 12 2" xfId="22161" xr:uid="{00000000-0005-0000-0000-00001A140000}"/>
    <cellStyle name="Normal 2 4 4 3 3 13" xfId="4347" xr:uid="{00000000-0005-0000-0000-00001B140000}"/>
    <cellStyle name="Normal 2 4 4 3 3 13 2" xfId="22162" xr:uid="{00000000-0005-0000-0000-00001C140000}"/>
    <cellStyle name="Normal 2 4 4 3 3 14" xfId="4348" xr:uid="{00000000-0005-0000-0000-00001D140000}"/>
    <cellStyle name="Normal 2 4 4 3 3 14 2" xfId="22163" xr:uid="{00000000-0005-0000-0000-00001E140000}"/>
    <cellStyle name="Normal 2 4 4 3 3 15" xfId="22158" xr:uid="{00000000-0005-0000-0000-00001F140000}"/>
    <cellStyle name="Normal 2 4 4 3 3 2" xfId="4349" xr:uid="{00000000-0005-0000-0000-000020140000}"/>
    <cellStyle name="Normal 2 4 4 3 3 2 2" xfId="22164" xr:uid="{00000000-0005-0000-0000-000021140000}"/>
    <cellStyle name="Normal 2 4 4 3 3 3" xfId="4350" xr:uid="{00000000-0005-0000-0000-000022140000}"/>
    <cellStyle name="Normal 2 4 4 3 3 3 2" xfId="22165" xr:uid="{00000000-0005-0000-0000-000023140000}"/>
    <cellStyle name="Normal 2 4 4 3 3 4" xfId="4351" xr:uid="{00000000-0005-0000-0000-000024140000}"/>
    <cellStyle name="Normal 2 4 4 3 3 4 2" xfId="22166" xr:uid="{00000000-0005-0000-0000-000025140000}"/>
    <cellStyle name="Normal 2 4 4 3 3 5" xfId="4352" xr:uid="{00000000-0005-0000-0000-000026140000}"/>
    <cellStyle name="Normal 2 4 4 3 3 5 2" xfId="22167" xr:uid="{00000000-0005-0000-0000-000027140000}"/>
    <cellStyle name="Normal 2 4 4 3 3 6" xfId="4353" xr:uid="{00000000-0005-0000-0000-000028140000}"/>
    <cellStyle name="Normal 2 4 4 3 3 6 2" xfId="22168" xr:uid="{00000000-0005-0000-0000-000029140000}"/>
    <cellStyle name="Normal 2 4 4 3 3 7" xfId="4354" xr:uid="{00000000-0005-0000-0000-00002A140000}"/>
    <cellStyle name="Normal 2 4 4 3 3 7 2" xfId="22169" xr:uid="{00000000-0005-0000-0000-00002B140000}"/>
    <cellStyle name="Normal 2 4 4 3 3 8" xfId="4355" xr:uid="{00000000-0005-0000-0000-00002C140000}"/>
    <cellStyle name="Normal 2 4 4 3 3 8 2" xfId="22170" xr:uid="{00000000-0005-0000-0000-00002D140000}"/>
    <cellStyle name="Normal 2 4 4 3 3 9" xfId="4356" xr:uid="{00000000-0005-0000-0000-00002E140000}"/>
    <cellStyle name="Normal 2 4 4 3 3 9 2" xfId="22171" xr:uid="{00000000-0005-0000-0000-00002F140000}"/>
    <cellStyle name="Normal 2 4 4 3 4" xfId="4357" xr:uid="{00000000-0005-0000-0000-000030140000}"/>
    <cellStyle name="Normal 2 4 4 3 4 10" xfId="4358" xr:uid="{00000000-0005-0000-0000-000031140000}"/>
    <cellStyle name="Normal 2 4 4 3 4 10 2" xfId="22173" xr:uid="{00000000-0005-0000-0000-000032140000}"/>
    <cellStyle name="Normal 2 4 4 3 4 11" xfId="4359" xr:uid="{00000000-0005-0000-0000-000033140000}"/>
    <cellStyle name="Normal 2 4 4 3 4 11 2" xfId="22174" xr:uid="{00000000-0005-0000-0000-000034140000}"/>
    <cellStyle name="Normal 2 4 4 3 4 12" xfId="4360" xr:uid="{00000000-0005-0000-0000-000035140000}"/>
    <cellStyle name="Normal 2 4 4 3 4 12 2" xfId="22175" xr:uid="{00000000-0005-0000-0000-000036140000}"/>
    <cellStyle name="Normal 2 4 4 3 4 13" xfId="4361" xr:uid="{00000000-0005-0000-0000-000037140000}"/>
    <cellStyle name="Normal 2 4 4 3 4 13 2" xfId="22176" xr:uid="{00000000-0005-0000-0000-000038140000}"/>
    <cellStyle name="Normal 2 4 4 3 4 14" xfId="4362" xr:uid="{00000000-0005-0000-0000-000039140000}"/>
    <cellStyle name="Normal 2 4 4 3 4 14 2" xfId="22177" xr:uid="{00000000-0005-0000-0000-00003A140000}"/>
    <cellStyle name="Normal 2 4 4 3 4 15" xfId="22172" xr:uid="{00000000-0005-0000-0000-00003B140000}"/>
    <cellStyle name="Normal 2 4 4 3 4 2" xfId="4363" xr:uid="{00000000-0005-0000-0000-00003C140000}"/>
    <cellStyle name="Normal 2 4 4 3 4 2 2" xfId="22178" xr:uid="{00000000-0005-0000-0000-00003D140000}"/>
    <cellStyle name="Normal 2 4 4 3 4 3" xfId="4364" xr:uid="{00000000-0005-0000-0000-00003E140000}"/>
    <cellStyle name="Normal 2 4 4 3 4 3 2" xfId="22179" xr:uid="{00000000-0005-0000-0000-00003F140000}"/>
    <cellStyle name="Normal 2 4 4 3 4 4" xfId="4365" xr:uid="{00000000-0005-0000-0000-000040140000}"/>
    <cellStyle name="Normal 2 4 4 3 4 4 2" xfId="22180" xr:uid="{00000000-0005-0000-0000-000041140000}"/>
    <cellStyle name="Normal 2 4 4 3 4 5" xfId="4366" xr:uid="{00000000-0005-0000-0000-000042140000}"/>
    <cellStyle name="Normal 2 4 4 3 4 5 2" xfId="22181" xr:uid="{00000000-0005-0000-0000-000043140000}"/>
    <cellStyle name="Normal 2 4 4 3 4 6" xfId="4367" xr:uid="{00000000-0005-0000-0000-000044140000}"/>
    <cellStyle name="Normal 2 4 4 3 4 6 2" xfId="22182" xr:uid="{00000000-0005-0000-0000-000045140000}"/>
    <cellStyle name="Normal 2 4 4 3 4 7" xfId="4368" xr:uid="{00000000-0005-0000-0000-000046140000}"/>
    <cellStyle name="Normal 2 4 4 3 4 7 2" xfId="22183" xr:uid="{00000000-0005-0000-0000-000047140000}"/>
    <cellStyle name="Normal 2 4 4 3 4 8" xfId="4369" xr:uid="{00000000-0005-0000-0000-000048140000}"/>
    <cellStyle name="Normal 2 4 4 3 4 8 2" xfId="22184" xr:uid="{00000000-0005-0000-0000-000049140000}"/>
    <cellStyle name="Normal 2 4 4 3 4 9" xfId="4370" xr:uid="{00000000-0005-0000-0000-00004A140000}"/>
    <cellStyle name="Normal 2 4 4 3 4 9 2" xfId="22185" xr:uid="{00000000-0005-0000-0000-00004B140000}"/>
    <cellStyle name="Normal 2 4 4 4" xfId="4371" xr:uid="{00000000-0005-0000-0000-00004C140000}"/>
    <cellStyle name="Normal 2 4 4 5" xfId="4372" xr:uid="{00000000-0005-0000-0000-00004D140000}"/>
    <cellStyle name="Normal 2 4 4 6" xfId="4373" xr:uid="{00000000-0005-0000-0000-00004E140000}"/>
    <cellStyle name="Normal 2 4 4 7" xfId="4374" xr:uid="{00000000-0005-0000-0000-00004F140000}"/>
    <cellStyle name="Normal 2 4 4 7 2" xfId="22186" xr:uid="{00000000-0005-0000-0000-000050140000}"/>
    <cellStyle name="Normal 2 4 4 8" xfId="4375" xr:uid="{00000000-0005-0000-0000-000051140000}"/>
    <cellStyle name="Normal 2 4 4 8 2" xfId="22187" xr:uid="{00000000-0005-0000-0000-000052140000}"/>
    <cellStyle name="Normal 2 4 4 9" xfId="4376" xr:uid="{00000000-0005-0000-0000-000053140000}"/>
    <cellStyle name="Normal 2 4 4 9 2" xfId="22188" xr:uid="{00000000-0005-0000-0000-000054140000}"/>
    <cellStyle name="Normal 2 4 5" xfId="4377" xr:uid="{00000000-0005-0000-0000-000055140000}"/>
    <cellStyle name="Normal 2 4 5 10" xfId="4378" xr:uid="{00000000-0005-0000-0000-000056140000}"/>
    <cellStyle name="Normal 2 4 5 10 2" xfId="22190" xr:uid="{00000000-0005-0000-0000-000057140000}"/>
    <cellStyle name="Normal 2 4 5 11" xfId="4379" xr:uid="{00000000-0005-0000-0000-000058140000}"/>
    <cellStyle name="Normal 2 4 5 11 2" xfId="22191" xr:uid="{00000000-0005-0000-0000-000059140000}"/>
    <cellStyle name="Normal 2 4 5 12" xfId="4380" xr:uid="{00000000-0005-0000-0000-00005A140000}"/>
    <cellStyle name="Normal 2 4 5 12 2" xfId="22192" xr:uid="{00000000-0005-0000-0000-00005B140000}"/>
    <cellStyle name="Normal 2 4 5 13" xfId="4381" xr:uid="{00000000-0005-0000-0000-00005C140000}"/>
    <cellStyle name="Normal 2 4 5 13 2" xfId="22193" xr:uid="{00000000-0005-0000-0000-00005D140000}"/>
    <cellStyle name="Normal 2 4 5 14" xfId="4382" xr:uid="{00000000-0005-0000-0000-00005E140000}"/>
    <cellStyle name="Normal 2 4 5 14 2" xfId="22194" xr:uid="{00000000-0005-0000-0000-00005F140000}"/>
    <cellStyle name="Normal 2 4 5 15" xfId="4383" xr:uid="{00000000-0005-0000-0000-000060140000}"/>
    <cellStyle name="Normal 2 4 5 15 2" xfId="22195" xr:uid="{00000000-0005-0000-0000-000061140000}"/>
    <cellStyle name="Normal 2 4 5 16" xfId="4384" xr:uid="{00000000-0005-0000-0000-000062140000}"/>
    <cellStyle name="Normal 2 4 5 16 2" xfId="22196" xr:uid="{00000000-0005-0000-0000-000063140000}"/>
    <cellStyle name="Normal 2 4 5 17" xfId="4385" xr:uid="{00000000-0005-0000-0000-000064140000}"/>
    <cellStyle name="Normal 2 4 5 17 2" xfId="22197" xr:uid="{00000000-0005-0000-0000-000065140000}"/>
    <cellStyle name="Normal 2 4 5 18" xfId="4386" xr:uid="{00000000-0005-0000-0000-000066140000}"/>
    <cellStyle name="Normal 2 4 5 18 2" xfId="22198" xr:uid="{00000000-0005-0000-0000-000067140000}"/>
    <cellStyle name="Normal 2 4 5 19" xfId="4387" xr:uid="{00000000-0005-0000-0000-000068140000}"/>
    <cellStyle name="Normal 2 4 5 19 2" xfId="22199" xr:uid="{00000000-0005-0000-0000-000069140000}"/>
    <cellStyle name="Normal 2 4 5 2" xfId="4388" xr:uid="{00000000-0005-0000-0000-00006A140000}"/>
    <cellStyle name="Normal 2 4 5 2 2" xfId="4389" xr:uid="{00000000-0005-0000-0000-00006B140000}"/>
    <cellStyle name="Normal 2 4 5 2 2 10" xfId="4390" xr:uid="{00000000-0005-0000-0000-00006C140000}"/>
    <cellStyle name="Normal 2 4 5 2 2 10 2" xfId="22201" xr:uid="{00000000-0005-0000-0000-00006D140000}"/>
    <cellStyle name="Normal 2 4 5 2 2 11" xfId="4391" xr:uid="{00000000-0005-0000-0000-00006E140000}"/>
    <cellStyle name="Normal 2 4 5 2 2 11 2" xfId="22202" xr:uid="{00000000-0005-0000-0000-00006F140000}"/>
    <cellStyle name="Normal 2 4 5 2 2 12" xfId="4392" xr:uid="{00000000-0005-0000-0000-000070140000}"/>
    <cellStyle name="Normal 2 4 5 2 2 12 2" xfId="22203" xr:uid="{00000000-0005-0000-0000-000071140000}"/>
    <cellStyle name="Normal 2 4 5 2 2 13" xfId="4393" xr:uid="{00000000-0005-0000-0000-000072140000}"/>
    <cellStyle name="Normal 2 4 5 2 2 13 2" xfId="22204" xr:uid="{00000000-0005-0000-0000-000073140000}"/>
    <cellStyle name="Normal 2 4 5 2 2 14" xfId="4394" xr:uid="{00000000-0005-0000-0000-000074140000}"/>
    <cellStyle name="Normal 2 4 5 2 2 14 2" xfId="22205" xr:uid="{00000000-0005-0000-0000-000075140000}"/>
    <cellStyle name="Normal 2 4 5 2 2 15" xfId="4395" xr:uid="{00000000-0005-0000-0000-000076140000}"/>
    <cellStyle name="Normal 2 4 5 2 2 15 2" xfId="22206" xr:uid="{00000000-0005-0000-0000-000077140000}"/>
    <cellStyle name="Normal 2 4 5 2 2 16" xfId="4396" xr:uid="{00000000-0005-0000-0000-000078140000}"/>
    <cellStyle name="Normal 2 4 5 2 2 16 2" xfId="22207" xr:uid="{00000000-0005-0000-0000-000079140000}"/>
    <cellStyle name="Normal 2 4 5 2 2 17" xfId="4397" xr:uid="{00000000-0005-0000-0000-00007A140000}"/>
    <cellStyle name="Normal 2 4 5 2 2 17 2" xfId="22208" xr:uid="{00000000-0005-0000-0000-00007B140000}"/>
    <cellStyle name="Normal 2 4 5 2 2 18" xfId="22200" xr:uid="{00000000-0005-0000-0000-00007C140000}"/>
    <cellStyle name="Normal 2 4 5 2 2 2" xfId="4398" xr:uid="{00000000-0005-0000-0000-00007D140000}"/>
    <cellStyle name="Normal 2 4 5 2 2 3" xfId="4399" xr:uid="{00000000-0005-0000-0000-00007E140000}"/>
    <cellStyle name="Normal 2 4 5 2 2 4" xfId="4400" xr:uid="{00000000-0005-0000-0000-00007F140000}"/>
    <cellStyle name="Normal 2 4 5 2 2 5" xfId="4401" xr:uid="{00000000-0005-0000-0000-000080140000}"/>
    <cellStyle name="Normal 2 4 5 2 2 5 2" xfId="22209" xr:uid="{00000000-0005-0000-0000-000081140000}"/>
    <cellStyle name="Normal 2 4 5 2 2 6" xfId="4402" xr:uid="{00000000-0005-0000-0000-000082140000}"/>
    <cellStyle name="Normal 2 4 5 2 2 6 2" xfId="22210" xr:uid="{00000000-0005-0000-0000-000083140000}"/>
    <cellStyle name="Normal 2 4 5 2 2 7" xfId="4403" xr:uid="{00000000-0005-0000-0000-000084140000}"/>
    <cellStyle name="Normal 2 4 5 2 2 7 2" xfId="22211" xr:uid="{00000000-0005-0000-0000-000085140000}"/>
    <cellStyle name="Normal 2 4 5 2 2 8" xfId="4404" xr:uid="{00000000-0005-0000-0000-000086140000}"/>
    <cellStyle name="Normal 2 4 5 2 2 8 2" xfId="22212" xr:uid="{00000000-0005-0000-0000-000087140000}"/>
    <cellStyle name="Normal 2 4 5 2 2 9" xfId="4405" xr:uid="{00000000-0005-0000-0000-000088140000}"/>
    <cellStyle name="Normal 2 4 5 2 2 9 2" xfId="22213" xr:uid="{00000000-0005-0000-0000-000089140000}"/>
    <cellStyle name="Normal 2 4 5 2 3" xfId="4406" xr:uid="{00000000-0005-0000-0000-00008A140000}"/>
    <cellStyle name="Normal 2 4 5 2 4" xfId="4407" xr:uid="{00000000-0005-0000-0000-00008B140000}"/>
    <cellStyle name="Normal 2 4 5 2 4 10" xfId="4408" xr:uid="{00000000-0005-0000-0000-00008C140000}"/>
    <cellStyle name="Normal 2 4 5 2 4 10 2" xfId="22215" xr:uid="{00000000-0005-0000-0000-00008D140000}"/>
    <cellStyle name="Normal 2 4 5 2 4 11" xfId="4409" xr:uid="{00000000-0005-0000-0000-00008E140000}"/>
    <cellStyle name="Normal 2 4 5 2 4 11 2" xfId="22216" xr:uid="{00000000-0005-0000-0000-00008F140000}"/>
    <cellStyle name="Normal 2 4 5 2 4 12" xfId="4410" xr:uid="{00000000-0005-0000-0000-000090140000}"/>
    <cellStyle name="Normal 2 4 5 2 4 12 2" xfId="22217" xr:uid="{00000000-0005-0000-0000-000091140000}"/>
    <cellStyle name="Normal 2 4 5 2 4 13" xfId="4411" xr:uid="{00000000-0005-0000-0000-000092140000}"/>
    <cellStyle name="Normal 2 4 5 2 4 13 2" xfId="22218" xr:uid="{00000000-0005-0000-0000-000093140000}"/>
    <cellStyle name="Normal 2 4 5 2 4 14" xfId="4412" xr:uid="{00000000-0005-0000-0000-000094140000}"/>
    <cellStyle name="Normal 2 4 5 2 4 14 2" xfId="22219" xr:uid="{00000000-0005-0000-0000-000095140000}"/>
    <cellStyle name="Normal 2 4 5 2 4 15" xfId="22214" xr:uid="{00000000-0005-0000-0000-000096140000}"/>
    <cellStyle name="Normal 2 4 5 2 4 2" xfId="4413" xr:uid="{00000000-0005-0000-0000-000097140000}"/>
    <cellStyle name="Normal 2 4 5 2 4 2 2" xfId="22220" xr:uid="{00000000-0005-0000-0000-000098140000}"/>
    <cellStyle name="Normal 2 4 5 2 4 3" xfId="4414" xr:uid="{00000000-0005-0000-0000-000099140000}"/>
    <cellStyle name="Normal 2 4 5 2 4 3 2" xfId="22221" xr:uid="{00000000-0005-0000-0000-00009A140000}"/>
    <cellStyle name="Normal 2 4 5 2 4 4" xfId="4415" xr:uid="{00000000-0005-0000-0000-00009B140000}"/>
    <cellStyle name="Normal 2 4 5 2 4 4 2" xfId="22222" xr:uid="{00000000-0005-0000-0000-00009C140000}"/>
    <cellStyle name="Normal 2 4 5 2 4 5" xfId="4416" xr:uid="{00000000-0005-0000-0000-00009D140000}"/>
    <cellStyle name="Normal 2 4 5 2 4 5 2" xfId="22223" xr:uid="{00000000-0005-0000-0000-00009E140000}"/>
    <cellStyle name="Normal 2 4 5 2 4 6" xfId="4417" xr:uid="{00000000-0005-0000-0000-00009F140000}"/>
    <cellStyle name="Normal 2 4 5 2 4 6 2" xfId="22224" xr:uid="{00000000-0005-0000-0000-0000A0140000}"/>
    <cellStyle name="Normal 2 4 5 2 4 7" xfId="4418" xr:uid="{00000000-0005-0000-0000-0000A1140000}"/>
    <cellStyle name="Normal 2 4 5 2 4 7 2" xfId="22225" xr:uid="{00000000-0005-0000-0000-0000A2140000}"/>
    <cellStyle name="Normal 2 4 5 2 4 8" xfId="4419" xr:uid="{00000000-0005-0000-0000-0000A3140000}"/>
    <cellStyle name="Normal 2 4 5 2 4 8 2" xfId="22226" xr:uid="{00000000-0005-0000-0000-0000A4140000}"/>
    <cellStyle name="Normal 2 4 5 2 4 9" xfId="4420" xr:uid="{00000000-0005-0000-0000-0000A5140000}"/>
    <cellStyle name="Normal 2 4 5 2 4 9 2" xfId="22227" xr:uid="{00000000-0005-0000-0000-0000A6140000}"/>
    <cellStyle name="Normal 2 4 5 2 5" xfId="4421" xr:uid="{00000000-0005-0000-0000-0000A7140000}"/>
    <cellStyle name="Normal 2 4 5 2 5 10" xfId="4422" xr:uid="{00000000-0005-0000-0000-0000A8140000}"/>
    <cellStyle name="Normal 2 4 5 2 5 10 2" xfId="22229" xr:uid="{00000000-0005-0000-0000-0000A9140000}"/>
    <cellStyle name="Normal 2 4 5 2 5 11" xfId="4423" xr:uid="{00000000-0005-0000-0000-0000AA140000}"/>
    <cellStyle name="Normal 2 4 5 2 5 11 2" xfId="22230" xr:uid="{00000000-0005-0000-0000-0000AB140000}"/>
    <cellStyle name="Normal 2 4 5 2 5 12" xfId="4424" xr:uid="{00000000-0005-0000-0000-0000AC140000}"/>
    <cellStyle name="Normal 2 4 5 2 5 12 2" xfId="22231" xr:uid="{00000000-0005-0000-0000-0000AD140000}"/>
    <cellStyle name="Normal 2 4 5 2 5 13" xfId="4425" xr:uid="{00000000-0005-0000-0000-0000AE140000}"/>
    <cellStyle name="Normal 2 4 5 2 5 13 2" xfId="22232" xr:uid="{00000000-0005-0000-0000-0000AF140000}"/>
    <cellStyle name="Normal 2 4 5 2 5 14" xfId="4426" xr:uid="{00000000-0005-0000-0000-0000B0140000}"/>
    <cellStyle name="Normal 2 4 5 2 5 14 2" xfId="22233" xr:uid="{00000000-0005-0000-0000-0000B1140000}"/>
    <cellStyle name="Normal 2 4 5 2 5 15" xfId="22228" xr:uid="{00000000-0005-0000-0000-0000B2140000}"/>
    <cellStyle name="Normal 2 4 5 2 5 2" xfId="4427" xr:uid="{00000000-0005-0000-0000-0000B3140000}"/>
    <cellStyle name="Normal 2 4 5 2 5 2 2" xfId="22234" xr:uid="{00000000-0005-0000-0000-0000B4140000}"/>
    <cellStyle name="Normal 2 4 5 2 5 3" xfId="4428" xr:uid="{00000000-0005-0000-0000-0000B5140000}"/>
    <cellStyle name="Normal 2 4 5 2 5 3 2" xfId="22235" xr:uid="{00000000-0005-0000-0000-0000B6140000}"/>
    <cellStyle name="Normal 2 4 5 2 5 4" xfId="4429" xr:uid="{00000000-0005-0000-0000-0000B7140000}"/>
    <cellStyle name="Normal 2 4 5 2 5 4 2" xfId="22236" xr:uid="{00000000-0005-0000-0000-0000B8140000}"/>
    <cellStyle name="Normal 2 4 5 2 5 5" xfId="4430" xr:uid="{00000000-0005-0000-0000-0000B9140000}"/>
    <cellStyle name="Normal 2 4 5 2 5 5 2" xfId="22237" xr:uid="{00000000-0005-0000-0000-0000BA140000}"/>
    <cellStyle name="Normal 2 4 5 2 5 6" xfId="4431" xr:uid="{00000000-0005-0000-0000-0000BB140000}"/>
    <cellStyle name="Normal 2 4 5 2 5 6 2" xfId="22238" xr:uid="{00000000-0005-0000-0000-0000BC140000}"/>
    <cellStyle name="Normal 2 4 5 2 5 7" xfId="4432" xr:uid="{00000000-0005-0000-0000-0000BD140000}"/>
    <cellStyle name="Normal 2 4 5 2 5 7 2" xfId="22239" xr:uid="{00000000-0005-0000-0000-0000BE140000}"/>
    <cellStyle name="Normal 2 4 5 2 5 8" xfId="4433" xr:uid="{00000000-0005-0000-0000-0000BF140000}"/>
    <cellStyle name="Normal 2 4 5 2 5 8 2" xfId="22240" xr:uid="{00000000-0005-0000-0000-0000C0140000}"/>
    <cellStyle name="Normal 2 4 5 2 5 9" xfId="4434" xr:uid="{00000000-0005-0000-0000-0000C1140000}"/>
    <cellStyle name="Normal 2 4 5 2 5 9 2" xfId="22241" xr:uid="{00000000-0005-0000-0000-0000C2140000}"/>
    <cellStyle name="Normal 2 4 5 20" xfId="22189" xr:uid="{00000000-0005-0000-0000-0000C3140000}"/>
    <cellStyle name="Normal 2 4 5 3" xfId="4435" xr:uid="{00000000-0005-0000-0000-0000C4140000}"/>
    <cellStyle name="Normal 2 4 5 3 2" xfId="4436" xr:uid="{00000000-0005-0000-0000-0000C5140000}"/>
    <cellStyle name="Normal 2 4 5 3 2 10" xfId="4437" xr:uid="{00000000-0005-0000-0000-0000C6140000}"/>
    <cellStyle name="Normal 2 4 5 3 2 10 2" xfId="22243" xr:uid="{00000000-0005-0000-0000-0000C7140000}"/>
    <cellStyle name="Normal 2 4 5 3 2 11" xfId="4438" xr:uid="{00000000-0005-0000-0000-0000C8140000}"/>
    <cellStyle name="Normal 2 4 5 3 2 11 2" xfId="22244" xr:uid="{00000000-0005-0000-0000-0000C9140000}"/>
    <cellStyle name="Normal 2 4 5 3 2 12" xfId="4439" xr:uid="{00000000-0005-0000-0000-0000CA140000}"/>
    <cellStyle name="Normal 2 4 5 3 2 12 2" xfId="22245" xr:uid="{00000000-0005-0000-0000-0000CB140000}"/>
    <cellStyle name="Normal 2 4 5 3 2 13" xfId="4440" xr:uid="{00000000-0005-0000-0000-0000CC140000}"/>
    <cellStyle name="Normal 2 4 5 3 2 13 2" xfId="22246" xr:uid="{00000000-0005-0000-0000-0000CD140000}"/>
    <cellStyle name="Normal 2 4 5 3 2 14" xfId="4441" xr:uid="{00000000-0005-0000-0000-0000CE140000}"/>
    <cellStyle name="Normal 2 4 5 3 2 14 2" xfId="22247" xr:uid="{00000000-0005-0000-0000-0000CF140000}"/>
    <cellStyle name="Normal 2 4 5 3 2 15" xfId="22242" xr:uid="{00000000-0005-0000-0000-0000D0140000}"/>
    <cellStyle name="Normal 2 4 5 3 2 2" xfId="4442" xr:uid="{00000000-0005-0000-0000-0000D1140000}"/>
    <cellStyle name="Normal 2 4 5 3 2 2 2" xfId="22248" xr:uid="{00000000-0005-0000-0000-0000D2140000}"/>
    <cellStyle name="Normal 2 4 5 3 2 3" xfId="4443" xr:uid="{00000000-0005-0000-0000-0000D3140000}"/>
    <cellStyle name="Normal 2 4 5 3 2 3 2" xfId="22249" xr:uid="{00000000-0005-0000-0000-0000D4140000}"/>
    <cellStyle name="Normal 2 4 5 3 2 4" xfId="4444" xr:uid="{00000000-0005-0000-0000-0000D5140000}"/>
    <cellStyle name="Normal 2 4 5 3 2 4 2" xfId="22250" xr:uid="{00000000-0005-0000-0000-0000D6140000}"/>
    <cellStyle name="Normal 2 4 5 3 2 5" xfId="4445" xr:uid="{00000000-0005-0000-0000-0000D7140000}"/>
    <cellStyle name="Normal 2 4 5 3 2 5 2" xfId="22251" xr:uid="{00000000-0005-0000-0000-0000D8140000}"/>
    <cellStyle name="Normal 2 4 5 3 2 6" xfId="4446" xr:uid="{00000000-0005-0000-0000-0000D9140000}"/>
    <cellStyle name="Normal 2 4 5 3 2 6 2" xfId="22252" xr:uid="{00000000-0005-0000-0000-0000DA140000}"/>
    <cellStyle name="Normal 2 4 5 3 2 7" xfId="4447" xr:uid="{00000000-0005-0000-0000-0000DB140000}"/>
    <cellStyle name="Normal 2 4 5 3 2 7 2" xfId="22253" xr:uid="{00000000-0005-0000-0000-0000DC140000}"/>
    <cellStyle name="Normal 2 4 5 3 2 8" xfId="4448" xr:uid="{00000000-0005-0000-0000-0000DD140000}"/>
    <cellStyle name="Normal 2 4 5 3 2 8 2" xfId="22254" xr:uid="{00000000-0005-0000-0000-0000DE140000}"/>
    <cellStyle name="Normal 2 4 5 3 2 9" xfId="4449" xr:uid="{00000000-0005-0000-0000-0000DF140000}"/>
    <cellStyle name="Normal 2 4 5 3 2 9 2" xfId="22255" xr:uid="{00000000-0005-0000-0000-0000E0140000}"/>
    <cellStyle name="Normal 2 4 5 3 3" xfId="4450" xr:uid="{00000000-0005-0000-0000-0000E1140000}"/>
    <cellStyle name="Normal 2 4 5 3 3 10" xfId="4451" xr:uid="{00000000-0005-0000-0000-0000E2140000}"/>
    <cellStyle name="Normal 2 4 5 3 3 10 2" xfId="22257" xr:uid="{00000000-0005-0000-0000-0000E3140000}"/>
    <cellStyle name="Normal 2 4 5 3 3 11" xfId="4452" xr:uid="{00000000-0005-0000-0000-0000E4140000}"/>
    <cellStyle name="Normal 2 4 5 3 3 11 2" xfId="22258" xr:uid="{00000000-0005-0000-0000-0000E5140000}"/>
    <cellStyle name="Normal 2 4 5 3 3 12" xfId="4453" xr:uid="{00000000-0005-0000-0000-0000E6140000}"/>
    <cellStyle name="Normal 2 4 5 3 3 12 2" xfId="22259" xr:uid="{00000000-0005-0000-0000-0000E7140000}"/>
    <cellStyle name="Normal 2 4 5 3 3 13" xfId="4454" xr:uid="{00000000-0005-0000-0000-0000E8140000}"/>
    <cellStyle name="Normal 2 4 5 3 3 13 2" xfId="22260" xr:uid="{00000000-0005-0000-0000-0000E9140000}"/>
    <cellStyle name="Normal 2 4 5 3 3 14" xfId="4455" xr:uid="{00000000-0005-0000-0000-0000EA140000}"/>
    <cellStyle name="Normal 2 4 5 3 3 14 2" xfId="22261" xr:uid="{00000000-0005-0000-0000-0000EB140000}"/>
    <cellStyle name="Normal 2 4 5 3 3 15" xfId="22256" xr:uid="{00000000-0005-0000-0000-0000EC140000}"/>
    <cellStyle name="Normal 2 4 5 3 3 2" xfId="4456" xr:uid="{00000000-0005-0000-0000-0000ED140000}"/>
    <cellStyle name="Normal 2 4 5 3 3 2 2" xfId="22262" xr:uid="{00000000-0005-0000-0000-0000EE140000}"/>
    <cellStyle name="Normal 2 4 5 3 3 3" xfId="4457" xr:uid="{00000000-0005-0000-0000-0000EF140000}"/>
    <cellStyle name="Normal 2 4 5 3 3 3 2" xfId="22263" xr:uid="{00000000-0005-0000-0000-0000F0140000}"/>
    <cellStyle name="Normal 2 4 5 3 3 4" xfId="4458" xr:uid="{00000000-0005-0000-0000-0000F1140000}"/>
    <cellStyle name="Normal 2 4 5 3 3 4 2" xfId="22264" xr:uid="{00000000-0005-0000-0000-0000F2140000}"/>
    <cellStyle name="Normal 2 4 5 3 3 5" xfId="4459" xr:uid="{00000000-0005-0000-0000-0000F3140000}"/>
    <cellStyle name="Normal 2 4 5 3 3 5 2" xfId="22265" xr:uid="{00000000-0005-0000-0000-0000F4140000}"/>
    <cellStyle name="Normal 2 4 5 3 3 6" xfId="4460" xr:uid="{00000000-0005-0000-0000-0000F5140000}"/>
    <cellStyle name="Normal 2 4 5 3 3 6 2" xfId="22266" xr:uid="{00000000-0005-0000-0000-0000F6140000}"/>
    <cellStyle name="Normal 2 4 5 3 3 7" xfId="4461" xr:uid="{00000000-0005-0000-0000-0000F7140000}"/>
    <cellStyle name="Normal 2 4 5 3 3 7 2" xfId="22267" xr:uid="{00000000-0005-0000-0000-0000F8140000}"/>
    <cellStyle name="Normal 2 4 5 3 3 8" xfId="4462" xr:uid="{00000000-0005-0000-0000-0000F9140000}"/>
    <cellStyle name="Normal 2 4 5 3 3 8 2" xfId="22268" xr:uid="{00000000-0005-0000-0000-0000FA140000}"/>
    <cellStyle name="Normal 2 4 5 3 3 9" xfId="4463" xr:uid="{00000000-0005-0000-0000-0000FB140000}"/>
    <cellStyle name="Normal 2 4 5 3 3 9 2" xfId="22269" xr:uid="{00000000-0005-0000-0000-0000FC140000}"/>
    <cellStyle name="Normal 2 4 5 3 4" xfId="4464" xr:uid="{00000000-0005-0000-0000-0000FD140000}"/>
    <cellStyle name="Normal 2 4 5 3 4 10" xfId="4465" xr:uid="{00000000-0005-0000-0000-0000FE140000}"/>
    <cellStyle name="Normal 2 4 5 3 4 10 2" xfId="22271" xr:uid="{00000000-0005-0000-0000-0000FF140000}"/>
    <cellStyle name="Normal 2 4 5 3 4 11" xfId="4466" xr:uid="{00000000-0005-0000-0000-000000150000}"/>
    <cellStyle name="Normal 2 4 5 3 4 11 2" xfId="22272" xr:uid="{00000000-0005-0000-0000-000001150000}"/>
    <cellStyle name="Normal 2 4 5 3 4 12" xfId="4467" xr:uid="{00000000-0005-0000-0000-000002150000}"/>
    <cellStyle name="Normal 2 4 5 3 4 12 2" xfId="22273" xr:uid="{00000000-0005-0000-0000-000003150000}"/>
    <cellStyle name="Normal 2 4 5 3 4 13" xfId="4468" xr:uid="{00000000-0005-0000-0000-000004150000}"/>
    <cellStyle name="Normal 2 4 5 3 4 13 2" xfId="22274" xr:uid="{00000000-0005-0000-0000-000005150000}"/>
    <cellStyle name="Normal 2 4 5 3 4 14" xfId="4469" xr:uid="{00000000-0005-0000-0000-000006150000}"/>
    <cellStyle name="Normal 2 4 5 3 4 14 2" xfId="22275" xr:uid="{00000000-0005-0000-0000-000007150000}"/>
    <cellStyle name="Normal 2 4 5 3 4 15" xfId="22270" xr:uid="{00000000-0005-0000-0000-000008150000}"/>
    <cellStyle name="Normal 2 4 5 3 4 2" xfId="4470" xr:uid="{00000000-0005-0000-0000-000009150000}"/>
    <cellStyle name="Normal 2 4 5 3 4 2 2" xfId="22276" xr:uid="{00000000-0005-0000-0000-00000A150000}"/>
    <cellStyle name="Normal 2 4 5 3 4 3" xfId="4471" xr:uid="{00000000-0005-0000-0000-00000B150000}"/>
    <cellStyle name="Normal 2 4 5 3 4 3 2" xfId="22277" xr:uid="{00000000-0005-0000-0000-00000C150000}"/>
    <cellStyle name="Normal 2 4 5 3 4 4" xfId="4472" xr:uid="{00000000-0005-0000-0000-00000D150000}"/>
    <cellStyle name="Normal 2 4 5 3 4 4 2" xfId="22278" xr:uid="{00000000-0005-0000-0000-00000E150000}"/>
    <cellStyle name="Normal 2 4 5 3 4 5" xfId="4473" xr:uid="{00000000-0005-0000-0000-00000F150000}"/>
    <cellStyle name="Normal 2 4 5 3 4 5 2" xfId="22279" xr:uid="{00000000-0005-0000-0000-000010150000}"/>
    <cellStyle name="Normal 2 4 5 3 4 6" xfId="4474" xr:uid="{00000000-0005-0000-0000-000011150000}"/>
    <cellStyle name="Normal 2 4 5 3 4 6 2" xfId="22280" xr:uid="{00000000-0005-0000-0000-000012150000}"/>
    <cellStyle name="Normal 2 4 5 3 4 7" xfId="4475" xr:uid="{00000000-0005-0000-0000-000013150000}"/>
    <cellStyle name="Normal 2 4 5 3 4 7 2" xfId="22281" xr:uid="{00000000-0005-0000-0000-000014150000}"/>
    <cellStyle name="Normal 2 4 5 3 4 8" xfId="4476" xr:uid="{00000000-0005-0000-0000-000015150000}"/>
    <cellStyle name="Normal 2 4 5 3 4 8 2" xfId="22282" xr:uid="{00000000-0005-0000-0000-000016150000}"/>
    <cellStyle name="Normal 2 4 5 3 4 9" xfId="4477" xr:uid="{00000000-0005-0000-0000-000017150000}"/>
    <cellStyle name="Normal 2 4 5 3 4 9 2" xfId="22283" xr:uid="{00000000-0005-0000-0000-000018150000}"/>
    <cellStyle name="Normal 2 4 5 4" xfId="4478" xr:uid="{00000000-0005-0000-0000-000019150000}"/>
    <cellStyle name="Normal 2 4 5 5" xfId="4479" xr:uid="{00000000-0005-0000-0000-00001A150000}"/>
    <cellStyle name="Normal 2 4 5 6" xfId="4480" xr:uid="{00000000-0005-0000-0000-00001B150000}"/>
    <cellStyle name="Normal 2 4 5 7" xfId="4481" xr:uid="{00000000-0005-0000-0000-00001C150000}"/>
    <cellStyle name="Normal 2 4 5 7 2" xfId="22284" xr:uid="{00000000-0005-0000-0000-00001D150000}"/>
    <cellStyle name="Normal 2 4 5 8" xfId="4482" xr:uid="{00000000-0005-0000-0000-00001E150000}"/>
    <cellStyle name="Normal 2 4 5 8 2" xfId="22285" xr:uid="{00000000-0005-0000-0000-00001F150000}"/>
    <cellStyle name="Normal 2 4 5 9" xfId="4483" xr:uid="{00000000-0005-0000-0000-000020150000}"/>
    <cellStyle name="Normal 2 4 5 9 2" xfId="22286" xr:uid="{00000000-0005-0000-0000-000021150000}"/>
    <cellStyle name="Normal 2 4 6" xfId="4484" xr:uid="{00000000-0005-0000-0000-000022150000}"/>
    <cellStyle name="Normal 2 4 7" xfId="4485" xr:uid="{00000000-0005-0000-0000-000023150000}"/>
    <cellStyle name="Normal 2 4 8" xfId="4486" xr:uid="{00000000-0005-0000-0000-000024150000}"/>
    <cellStyle name="Normal 2 4 9" xfId="4487" xr:uid="{00000000-0005-0000-0000-000025150000}"/>
    <cellStyle name="Normal 2 40" xfId="4488" xr:uid="{00000000-0005-0000-0000-000026150000}"/>
    <cellStyle name="Normal 2 41" xfId="4489" xr:uid="{00000000-0005-0000-0000-000027150000}"/>
    <cellStyle name="Normal 2 42" xfId="4490" xr:uid="{00000000-0005-0000-0000-000028150000}"/>
    <cellStyle name="Normal 2 43" xfId="4491" xr:uid="{00000000-0005-0000-0000-000029150000}"/>
    <cellStyle name="Normal 2 44" xfId="4492" xr:uid="{00000000-0005-0000-0000-00002A150000}"/>
    <cellStyle name="Normal 2 45" xfId="4493" xr:uid="{00000000-0005-0000-0000-00002B150000}"/>
    <cellStyle name="Normal 2 46" xfId="4494" xr:uid="{00000000-0005-0000-0000-00002C150000}"/>
    <cellStyle name="Normal 2 47" xfId="4495" xr:uid="{00000000-0005-0000-0000-00002D150000}"/>
    <cellStyle name="Normal 2 48" xfId="4496" xr:uid="{00000000-0005-0000-0000-00002E150000}"/>
    <cellStyle name="Normal 2 49" xfId="4497" xr:uid="{00000000-0005-0000-0000-00002F150000}"/>
    <cellStyle name="Normal 2 49 10" xfId="4498" xr:uid="{00000000-0005-0000-0000-000030150000}"/>
    <cellStyle name="Normal 2 49 10 10" xfId="4499" xr:uid="{00000000-0005-0000-0000-000031150000}"/>
    <cellStyle name="Normal 2 49 10 10 2" xfId="22289" xr:uid="{00000000-0005-0000-0000-000032150000}"/>
    <cellStyle name="Normal 2 49 10 11" xfId="4500" xr:uid="{00000000-0005-0000-0000-000033150000}"/>
    <cellStyle name="Normal 2 49 10 11 2" xfId="22290" xr:uid="{00000000-0005-0000-0000-000034150000}"/>
    <cellStyle name="Normal 2 49 10 12" xfId="4501" xr:uid="{00000000-0005-0000-0000-000035150000}"/>
    <cellStyle name="Normal 2 49 10 12 2" xfId="22291" xr:uid="{00000000-0005-0000-0000-000036150000}"/>
    <cellStyle name="Normal 2 49 10 13" xfId="4502" xr:uid="{00000000-0005-0000-0000-000037150000}"/>
    <cellStyle name="Normal 2 49 10 13 2" xfId="22292" xr:uid="{00000000-0005-0000-0000-000038150000}"/>
    <cellStyle name="Normal 2 49 10 14" xfId="4503" xr:uid="{00000000-0005-0000-0000-000039150000}"/>
    <cellStyle name="Normal 2 49 10 14 2" xfId="22293" xr:uid="{00000000-0005-0000-0000-00003A150000}"/>
    <cellStyle name="Normal 2 49 10 15" xfId="22288" xr:uid="{00000000-0005-0000-0000-00003B150000}"/>
    <cellStyle name="Normal 2 49 10 2" xfId="4504" xr:uid="{00000000-0005-0000-0000-00003C150000}"/>
    <cellStyle name="Normal 2 49 10 2 2" xfId="22294" xr:uid="{00000000-0005-0000-0000-00003D150000}"/>
    <cellStyle name="Normal 2 49 10 3" xfId="4505" xr:uid="{00000000-0005-0000-0000-00003E150000}"/>
    <cellStyle name="Normal 2 49 10 3 2" xfId="22295" xr:uid="{00000000-0005-0000-0000-00003F150000}"/>
    <cellStyle name="Normal 2 49 10 4" xfId="4506" xr:uid="{00000000-0005-0000-0000-000040150000}"/>
    <cellStyle name="Normal 2 49 10 4 2" xfId="22296" xr:uid="{00000000-0005-0000-0000-000041150000}"/>
    <cellStyle name="Normal 2 49 10 5" xfId="4507" xr:uid="{00000000-0005-0000-0000-000042150000}"/>
    <cellStyle name="Normal 2 49 10 5 2" xfId="22297" xr:uid="{00000000-0005-0000-0000-000043150000}"/>
    <cellStyle name="Normal 2 49 10 6" xfId="4508" xr:uid="{00000000-0005-0000-0000-000044150000}"/>
    <cellStyle name="Normal 2 49 10 6 2" xfId="22298" xr:uid="{00000000-0005-0000-0000-000045150000}"/>
    <cellStyle name="Normal 2 49 10 7" xfId="4509" xr:uid="{00000000-0005-0000-0000-000046150000}"/>
    <cellStyle name="Normal 2 49 10 7 2" xfId="22299" xr:uid="{00000000-0005-0000-0000-000047150000}"/>
    <cellStyle name="Normal 2 49 10 8" xfId="4510" xr:uid="{00000000-0005-0000-0000-000048150000}"/>
    <cellStyle name="Normal 2 49 10 8 2" xfId="22300" xr:uid="{00000000-0005-0000-0000-000049150000}"/>
    <cellStyle name="Normal 2 49 10 9" xfId="4511" xr:uid="{00000000-0005-0000-0000-00004A150000}"/>
    <cellStyle name="Normal 2 49 10 9 2" xfId="22301" xr:uid="{00000000-0005-0000-0000-00004B150000}"/>
    <cellStyle name="Normal 2 49 11" xfId="4512" xr:uid="{00000000-0005-0000-0000-00004C150000}"/>
    <cellStyle name="Normal 2 49 11 2" xfId="22302" xr:uid="{00000000-0005-0000-0000-00004D150000}"/>
    <cellStyle name="Normal 2 49 12" xfId="4513" xr:uid="{00000000-0005-0000-0000-00004E150000}"/>
    <cellStyle name="Normal 2 49 12 2" xfId="22303" xr:uid="{00000000-0005-0000-0000-00004F150000}"/>
    <cellStyle name="Normal 2 49 13" xfId="4514" xr:uid="{00000000-0005-0000-0000-000050150000}"/>
    <cellStyle name="Normal 2 49 13 2" xfId="22304" xr:uid="{00000000-0005-0000-0000-000051150000}"/>
    <cellStyle name="Normal 2 49 14" xfId="4515" xr:uid="{00000000-0005-0000-0000-000052150000}"/>
    <cellStyle name="Normal 2 49 14 2" xfId="22305" xr:uid="{00000000-0005-0000-0000-000053150000}"/>
    <cellStyle name="Normal 2 49 15" xfId="4516" xr:uid="{00000000-0005-0000-0000-000054150000}"/>
    <cellStyle name="Normal 2 49 15 2" xfId="22306" xr:uid="{00000000-0005-0000-0000-000055150000}"/>
    <cellStyle name="Normal 2 49 16" xfId="4517" xr:uid="{00000000-0005-0000-0000-000056150000}"/>
    <cellStyle name="Normal 2 49 16 2" xfId="22307" xr:uid="{00000000-0005-0000-0000-000057150000}"/>
    <cellStyle name="Normal 2 49 17" xfId="4518" xr:uid="{00000000-0005-0000-0000-000058150000}"/>
    <cellStyle name="Normal 2 49 17 2" xfId="22308" xr:uid="{00000000-0005-0000-0000-000059150000}"/>
    <cellStyle name="Normal 2 49 18" xfId="4519" xr:uid="{00000000-0005-0000-0000-00005A150000}"/>
    <cellStyle name="Normal 2 49 18 2" xfId="22309" xr:uid="{00000000-0005-0000-0000-00005B150000}"/>
    <cellStyle name="Normal 2 49 19" xfId="4520" xr:uid="{00000000-0005-0000-0000-00005C150000}"/>
    <cellStyle name="Normal 2 49 19 2" xfId="22310" xr:uid="{00000000-0005-0000-0000-00005D150000}"/>
    <cellStyle name="Normal 2 49 2" xfId="4521" xr:uid="{00000000-0005-0000-0000-00005E150000}"/>
    <cellStyle name="Normal 2 49 2 10" xfId="4522" xr:uid="{00000000-0005-0000-0000-00005F150000}"/>
    <cellStyle name="Normal 2 49 2 10 2" xfId="22312" xr:uid="{00000000-0005-0000-0000-000060150000}"/>
    <cellStyle name="Normal 2 49 2 11" xfId="4523" xr:uid="{00000000-0005-0000-0000-000061150000}"/>
    <cellStyle name="Normal 2 49 2 11 2" xfId="22313" xr:uid="{00000000-0005-0000-0000-000062150000}"/>
    <cellStyle name="Normal 2 49 2 12" xfId="4524" xr:uid="{00000000-0005-0000-0000-000063150000}"/>
    <cellStyle name="Normal 2 49 2 12 2" xfId="22314" xr:uid="{00000000-0005-0000-0000-000064150000}"/>
    <cellStyle name="Normal 2 49 2 13" xfId="4525" xr:uid="{00000000-0005-0000-0000-000065150000}"/>
    <cellStyle name="Normal 2 49 2 13 2" xfId="22315" xr:uid="{00000000-0005-0000-0000-000066150000}"/>
    <cellStyle name="Normal 2 49 2 14" xfId="4526" xr:uid="{00000000-0005-0000-0000-000067150000}"/>
    <cellStyle name="Normal 2 49 2 14 2" xfId="22316" xr:uid="{00000000-0005-0000-0000-000068150000}"/>
    <cellStyle name="Normal 2 49 2 15" xfId="4527" xr:uid="{00000000-0005-0000-0000-000069150000}"/>
    <cellStyle name="Normal 2 49 2 15 2" xfId="22317" xr:uid="{00000000-0005-0000-0000-00006A150000}"/>
    <cellStyle name="Normal 2 49 2 16" xfId="22311" xr:uid="{00000000-0005-0000-0000-00006B150000}"/>
    <cellStyle name="Normal 2 49 2 2" xfId="4528" xr:uid="{00000000-0005-0000-0000-00006C150000}"/>
    <cellStyle name="Normal 2 49 2 2 10" xfId="4529" xr:uid="{00000000-0005-0000-0000-00006D150000}"/>
    <cellStyle name="Normal 2 49 2 2 10 2" xfId="22319" xr:uid="{00000000-0005-0000-0000-00006E150000}"/>
    <cellStyle name="Normal 2 49 2 2 11" xfId="4530" xr:uid="{00000000-0005-0000-0000-00006F150000}"/>
    <cellStyle name="Normal 2 49 2 2 11 2" xfId="22320" xr:uid="{00000000-0005-0000-0000-000070150000}"/>
    <cellStyle name="Normal 2 49 2 2 12" xfId="4531" xr:uid="{00000000-0005-0000-0000-000071150000}"/>
    <cellStyle name="Normal 2 49 2 2 12 2" xfId="22321" xr:uid="{00000000-0005-0000-0000-000072150000}"/>
    <cellStyle name="Normal 2 49 2 2 13" xfId="4532" xr:uid="{00000000-0005-0000-0000-000073150000}"/>
    <cellStyle name="Normal 2 49 2 2 13 2" xfId="22322" xr:uid="{00000000-0005-0000-0000-000074150000}"/>
    <cellStyle name="Normal 2 49 2 2 14" xfId="4533" xr:uid="{00000000-0005-0000-0000-000075150000}"/>
    <cellStyle name="Normal 2 49 2 2 14 2" xfId="22323" xr:uid="{00000000-0005-0000-0000-000076150000}"/>
    <cellStyle name="Normal 2 49 2 2 15" xfId="22318" xr:uid="{00000000-0005-0000-0000-000077150000}"/>
    <cellStyle name="Normal 2 49 2 2 2" xfId="4534" xr:uid="{00000000-0005-0000-0000-000078150000}"/>
    <cellStyle name="Normal 2 49 2 2 2 2" xfId="22324" xr:uid="{00000000-0005-0000-0000-000079150000}"/>
    <cellStyle name="Normal 2 49 2 2 3" xfId="4535" xr:uid="{00000000-0005-0000-0000-00007A150000}"/>
    <cellStyle name="Normal 2 49 2 2 3 2" xfId="22325" xr:uid="{00000000-0005-0000-0000-00007B150000}"/>
    <cellStyle name="Normal 2 49 2 2 4" xfId="4536" xr:uid="{00000000-0005-0000-0000-00007C150000}"/>
    <cellStyle name="Normal 2 49 2 2 4 2" xfId="22326" xr:uid="{00000000-0005-0000-0000-00007D150000}"/>
    <cellStyle name="Normal 2 49 2 2 5" xfId="4537" xr:uid="{00000000-0005-0000-0000-00007E150000}"/>
    <cellStyle name="Normal 2 49 2 2 5 2" xfId="22327" xr:uid="{00000000-0005-0000-0000-00007F150000}"/>
    <cellStyle name="Normal 2 49 2 2 6" xfId="4538" xr:uid="{00000000-0005-0000-0000-000080150000}"/>
    <cellStyle name="Normal 2 49 2 2 6 2" xfId="22328" xr:uid="{00000000-0005-0000-0000-000081150000}"/>
    <cellStyle name="Normal 2 49 2 2 7" xfId="4539" xr:uid="{00000000-0005-0000-0000-000082150000}"/>
    <cellStyle name="Normal 2 49 2 2 7 2" xfId="22329" xr:uid="{00000000-0005-0000-0000-000083150000}"/>
    <cellStyle name="Normal 2 49 2 2 8" xfId="4540" xr:uid="{00000000-0005-0000-0000-000084150000}"/>
    <cellStyle name="Normal 2 49 2 2 8 2" xfId="22330" xr:uid="{00000000-0005-0000-0000-000085150000}"/>
    <cellStyle name="Normal 2 49 2 2 9" xfId="4541" xr:uid="{00000000-0005-0000-0000-000086150000}"/>
    <cellStyle name="Normal 2 49 2 2 9 2" xfId="22331" xr:uid="{00000000-0005-0000-0000-000087150000}"/>
    <cellStyle name="Normal 2 49 2 3" xfId="4542" xr:uid="{00000000-0005-0000-0000-000088150000}"/>
    <cellStyle name="Normal 2 49 2 3 2" xfId="22332" xr:uid="{00000000-0005-0000-0000-000089150000}"/>
    <cellStyle name="Normal 2 49 2 4" xfId="4543" xr:uid="{00000000-0005-0000-0000-00008A150000}"/>
    <cellStyle name="Normal 2 49 2 4 2" xfId="22333" xr:uid="{00000000-0005-0000-0000-00008B150000}"/>
    <cellStyle name="Normal 2 49 2 5" xfId="4544" xr:uid="{00000000-0005-0000-0000-00008C150000}"/>
    <cellStyle name="Normal 2 49 2 5 2" xfId="22334" xr:uid="{00000000-0005-0000-0000-00008D150000}"/>
    <cellStyle name="Normal 2 49 2 6" xfId="4545" xr:uid="{00000000-0005-0000-0000-00008E150000}"/>
    <cellStyle name="Normal 2 49 2 6 2" xfId="22335" xr:uid="{00000000-0005-0000-0000-00008F150000}"/>
    <cellStyle name="Normal 2 49 2 7" xfId="4546" xr:uid="{00000000-0005-0000-0000-000090150000}"/>
    <cellStyle name="Normal 2 49 2 7 2" xfId="22336" xr:uid="{00000000-0005-0000-0000-000091150000}"/>
    <cellStyle name="Normal 2 49 2 8" xfId="4547" xr:uid="{00000000-0005-0000-0000-000092150000}"/>
    <cellStyle name="Normal 2 49 2 8 2" xfId="22337" xr:uid="{00000000-0005-0000-0000-000093150000}"/>
    <cellStyle name="Normal 2 49 2 9" xfId="4548" xr:uid="{00000000-0005-0000-0000-000094150000}"/>
    <cellStyle name="Normal 2 49 2 9 2" xfId="22338" xr:uid="{00000000-0005-0000-0000-000095150000}"/>
    <cellStyle name="Normal 2 49 20" xfId="4549" xr:uid="{00000000-0005-0000-0000-000096150000}"/>
    <cellStyle name="Normal 2 49 20 2" xfId="22339" xr:uid="{00000000-0005-0000-0000-000097150000}"/>
    <cellStyle name="Normal 2 49 21" xfId="4550" xr:uid="{00000000-0005-0000-0000-000098150000}"/>
    <cellStyle name="Normal 2 49 21 2" xfId="22340" xr:uid="{00000000-0005-0000-0000-000099150000}"/>
    <cellStyle name="Normal 2 49 22" xfId="4551" xr:uid="{00000000-0005-0000-0000-00009A150000}"/>
    <cellStyle name="Normal 2 49 22 2" xfId="22341" xr:uid="{00000000-0005-0000-0000-00009B150000}"/>
    <cellStyle name="Normal 2 49 23" xfId="4552" xr:uid="{00000000-0005-0000-0000-00009C150000}"/>
    <cellStyle name="Normal 2 49 23 2" xfId="22342" xr:uid="{00000000-0005-0000-0000-00009D150000}"/>
    <cellStyle name="Normal 2 49 24" xfId="22287" xr:uid="{00000000-0005-0000-0000-00009E150000}"/>
    <cellStyle name="Normal 2 49 3" xfId="4553" xr:uid="{00000000-0005-0000-0000-00009F150000}"/>
    <cellStyle name="Normal 2 49 3 10" xfId="4554" xr:uid="{00000000-0005-0000-0000-0000A0150000}"/>
    <cellStyle name="Normal 2 49 3 10 2" xfId="22344" xr:uid="{00000000-0005-0000-0000-0000A1150000}"/>
    <cellStyle name="Normal 2 49 3 11" xfId="4555" xr:uid="{00000000-0005-0000-0000-0000A2150000}"/>
    <cellStyle name="Normal 2 49 3 11 2" xfId="22345" xr:uid="{00000000-0005-0000-0000-0000A3150000}"/>
    <cellStyle name="Normal 2 49 3 12" xfId="4556" xr:uid="{00000000-0005-0000-0000-0000A4150000}"/>
    <cellStyle name="Normal 2 49 3 12 2" xfId="22346" xr:uid="{00000000-0005-0000-0000-0000A5150000}"/>
    <cellStyle name="Normal 2 49 3 13" xfId="4557" xr:uid="{00000000-0005-0000-0000-0000A6150000}"/>
    <cellStyle name="Normal 2 49 3 13 2" xfId="22347" xr:uid="{00000000-0005-0000-0000-0000A7150000}"/>
    <cellStyle name="Normal 2 49 3 14" xfId="4558" xr:uid="{00000000-0005-0000-0000-0000A8150000}"/>
    <cellStyle name="Normal 2 49 3 14 2" xfId="22348" xr:uid="{00000000-0005-0000-0000-0000A9150000}"/>
    <cellStyle name="Normal 2 49 3 15" xfId="4559" xr:uid="{00000000-0005-0000-0000-0000AA150000}"/>
    <cellStyle name="Normal 2 49 3 15 2" xfId="22349" xr:uid="{00000000-0005-0000-0000-0000AB150000}"/>
    <cellStyle name="Normal 2 49 3 16" xfId="22343" xr:uid="{00000000-0005-0000-0000-0000AC150000}"/>
    <cellStyle name="Normal 2 49 3 2" xfId="4560" xr:uid="{00000000-0005-0000-0000-0000AD150000}"/>
    <cellStyle name="Normal 2 49 3 2 10" xfId="4561" xr:uid="{00000000-0005-0000-0000-0000AE150000}"/>
    <cellStyle name="Normal 2 49 3 2 10 2" xfId="22351" xr:uid="{00000000-0005-0000-0000-0000AF150000}"/>
    <cellStyle name="Normal 2 49 3 2 11" xfId="4562" xr:uid="{00000000-0005-0000-0000-0000B0150000}"/>
    <cellStyle name="Normal 2 49 3 2 11 2" xfId="22352" xr:uid="{00000000-0005-0000-0000-0000B1150000}"/>
    <cellStyle name="Normal 2 49 3 2 12" xfId="4563" xr:uid="{00000000-0005-0000-0000-0000B2150000}"/>
    <cellStyle name="Normal 2 49 3 2 12 2" xfId="22353" xr:uid="{00000000-0005-0000-0000-0000B3150000}"/>
    <cellStyle name="Normal 2 49 3 2 13" xfId="4564" xr:uid="{00000000-0005-0000-0000-0000B4150000}"/>
    <cellStyle name="Normal 2 49 3 2 13 2" xfId="22354" xr:uid="{00000000-0005-0000-0000-0000B5150000}"/>
    <cellStyle name="Normal 2 49 3 2 14" xfId="4565" xr:uid="{00000000-0005-0000-0000-0000B6150000}"/>
    <cellStyle name="Normal 2 49 3 2 14 2" xfId="22355" xr:uid="{00000000-0005-0000-0000-0000B7150000}"/>
    <cellStyle name="Normal 2 49 3 2 15" xfId="22350" xr:uid="{00000000-0005-0000-0000-0000B8150000}"/>
    <cellStyle name="Normal 2 49 3 2 2" xfId="4566" xr:uid="{00000000-0005-0000-0000-0000B9150000}"/>
    <cellStyle name="Normal 2 49 3 2 2 2" xfId="22356" xr:uid="{00000000-0005-0000-0000-0000BA150000}"/>
    <cellStyle name="Normal 2 49 3 2 3" xfId="4567" xr:uid="{00000000-0005-0000-0000-0000BB150000}"/>
    <cellStyle name="Normal 2 49 3 2 3 2" xfId="22357" xr:uid="{00000000-0005-0000-0000-0000BC150000}"/>
    <cellStyle name="Normal 2 49 3 2 4" xfId="4568" xr:uid="{00000000-0005-0000-0000-0000BD150000}"/>
    <cellStyle name="Normal 2 49 3 2 4 2" xfId="22358" xr:uid="{00000000-0005-0000-0000-0000BE150000}"/>
    <cellStyle name="Normal 2 49 3 2 5" xfId="4569" xr:uid="{00000000-0005-0000-0000-0000BF150000}"/>
    <cellStyle name="Normal 2 49 3 2 5 2" xfId="22359" xr:uid="{00000000-0005-0000-0000-0000C0150000}"/>
    <cellStyle name="Normal 2 49 3 2 6" xfId="4570" xr:uid="{00000000-0005-0000-0000-0000C1150000}"/>
    <cellStyle name="Normal 2 49 3 2 6 2" xfId="22360" xr:uid="{00000000-0005-0000-0000-0000C2150000}"/>
    <cellStyle name="Normal 2 49 3 2 7" xfId="4571" xr:uid="{00000000-0005-0000-0000-0000C3150000}"/>
    <cellStyle name="Normal 2 49 3 2 7 2" xfId="22361" xr:uid="{00000000-0005-0000-0000-0000C4150000}"/>
    <cellStyle name="Normal 2 49 3 2 8" xfId="4572" xr:uid="{00000000-0005-0000-0000-0000C5150000}"/>
    <cellStyle name="Normal 2 49 3 2 8 2" xfId="22362" xr:uid="{00000000-0005-0000-0000-0000C6150000}"/>
    <cellStyle name="Normal 2 49 3 2 9" xfId="4573" xr:uid="{00000000-0005-0000-0000-0000C7150000}"/>
    <cellStyle name="Normal 2 49 3 2 9 2" xfId="22363" xr:uid="{00000000-0005-0000-0000-0000C8150000}"/>
    <cellStyle name="Normal 2 49 3 3" xfId="4574" xr:uid="{00000000-0005-0000-0000-0000C9150000}"/>
    <cellStyle name="Normal 2 49 3 3 2" xfId="22364" xr:uid="{00000000-0005-0000-0000-0000CA150000}"/>
    <cellStyle name="Normal 2 49 3 4" xfId="4575" xr:uid="{00000000-0005-0000-0000-0000CB150000}"/>
    <cellStyle name="Normal 2 49 3 4 2" xfId="22365" xr:uid="{00000000-0005-0000-0000-0000CC150000}"/>
    <cellStyle name="Normal 2 49 3 5" xfId="4576" xr:uid="{00000000-0005-0000-0000-0000CD150000}"/>
    <cellStyle name="Normal 2 49 3 5 2" xfId="22366" xr:uid="{00000000-0005-0000-0000-0000CE150000}"/>
    <cellStyle name="Normal 2 49 3 6" xfId="4577" xr:uid="{00000000-0005-0000-0000-0000CF150000}"/>
    <cellStyle name="Normal 2 49 3 6 2" xfId="22367" xr:uid="{00000000-0005-0000-0000-0000D0150000}"/>
    <cellStyle name="Normal 2 49 3 7" xfId="4578" xr:uid="{00000000-0005-0000-0000-0000D1150000}"/>
    <cellStyle name="Normal 2 49 3 7 2" xfId="22368" xr:uid="{00000000-0005-0000-0000-0000D2150000}"/>
    <cellStyle name="Normal 2 49 3 8" xfId="4579" xr:uid="{00000000-0005-0000-0000-0000D3150000}"/>
    <cellStyle name="Normal 2 49 3 8 2" xfId="22369" xr:uid="{00000000-0005-0000-0000-0000D4150000}"/>
    <cellStyle name="Normal 2 49 3 9" xfId="4580" xr:uid="{00000000-0005-0000-0000-0000D5150000}"/>
    <cellStyle name="Normal 2 49 3 9 2" xfId="22370" xr:uid="{00000000-0005-0000-0000-0000D6150000}"/>
    <cellStyle name="Normal 2 49 4" xfId="4581" xr:uid="{00000000-0005-0000-0000-0000D7150000}"/>
    <cellStyle name="Normal 2 49 4 10" xfId="4582" xr:uid="{00000000-0005-0000-0000-0000D8150000}"/>
    <cellStyle name="Normal 2 49 4 10 2" xfId="22372" xr:uid="{00000000-0005-0000-0000-0000D9150000}"/>
    <cellStyle name="Normal 2 49 4 11" xfId="4583" xr:uid="{00000000-0005-0000-0000-0000DA150000}"/>
    <cellStyle name="Normal 2 49 4 11 2" xfId="22373" xr:uid="{00000000-0005-0000-0000-0000DB150000}"/>
    <cellStyle name="Normal 2 49 4 12" xfId="4584" xr:uid="{00000000-0005-0000-0000-0000DC150000}"/>
    <cellStyle name="Normal 2 49 4 12 2" xfId="22374" xr:uid="{00000000-0005-0000-0000-0000DD150000}"/>
    <cellStyle name="Normal 2 49 4 13" xfId="4585" xr:uid="{00000000-0005-0000-0000-0000DE150000}"/>
    <cellStyle name="Normal 2 49 4 13 2" xfId="22375" xr:uid="{00000000-0005-0000-0000-0000DF150000}"/>
    <cellStyle name="Normal 2 49 4 14" xfId="4586" xr:uid="{00000000-0005-0000-0000-0000E0150000}"/>
    <cellStyle name="Normal 2 49 4 14 2" xfId="22376" xr:uid="{00000000-0005-0000-0000-0000E1150000}"/>
    <cellStyle name="Normal 2 49 4 15" xfId="4587" xr:uid="{00000000-0005-0000-0000-0000E2150000}"/>
    <cellStyle name="Normal 2 49 4 15 2" xfId="22377" xr:uid="{00000000-0005-0000-0000-0000E3150000}"/>
    <cellStyle name="Normal 2 49 4 16" xfId="22371" xr:uid="{00000000-0005-0000-0000-0000E4150000}"/>
    <cellStyle name="Normal 2 49 4 2" xfId="4588" xr:uid="{00000000-0005-0000-0000-0000E5150000}"/>
    <cellStyle name="Normal 2 49 4 2 10" xfId="4589" xr:uid="{00000000-0005-0000-0000-0000E6150000}"/>
    <cellStyle name="Normal 2 49 4 2 10 2" xfId="22379" xr:uid="{00000000-0005-0000-0000-0000E7150000}"/>
    <cellStyle name="Normal 2 49 4 2 11" xfId="4590" xr:uid="{00000000-0005-0000-0000-0000E8150000}"/>
    <cellStyle name="Normal 2 49 4 2 11 2" xfId="22380" xr:uid="{00000000-0005-0000-0000-0000E9150000}"/>
    <cellStyle name="Normal 2 49 4 2 12" xfId="4591" xr:uid="{00000000-0005-0000-0000-0000EA150000}"/>
    <cellStyle name="Normal 2 49 4 2 12 2" xfId="22381" xr:uid="{00000000-0005-0000-0000-0000EB150000}"/>
    <cellStyle name="Normal 2 49 4 2 13" xfId="4592" xr:uid="{00000000-0005-0000-0000-0000EC150000}"/>
    <cellStyle name="Normal 2 49 4 2 13 2" xfId="22382" xr:uid="{00000000-0005-0000-0000-0000ED150000}"/>
    <cellStyle name="Normal 2 49 4 2 14" xfId="4593" xr:uid="{00000000-0005-0000-0000-0000EE150000}"/>
    <cellStyle name="Normal 2 49 4 2 14 2" xfId="22383" xr:uid="{00000000-0005-0000-0000-0000EF150000}"/>
    <cellStyle name="Normal 2 49 4 2 15" xfId="22378" xr:uid="{00000000-0005-0000-0000-0000F0150000}"/>
    <cellStyle name="Normal 2 49 4 2 2" xfId="4594" xr:uid="{00000000-0005-0000-0000-0000F1150000}"/>
    <cellStyle name="Normal 2 49 4 2 2 2" xfId="22384" xr:uid="{00000000-0005-0000-0000-0000F2150000}"/>
    <cellStyle name="Normal 2 49 4 2 3" xfId="4595" xr:uid="{00000000-0005-0000-0000-0000F3150000}"/>
    <cellStyle name="Normal 2 49 4 2 3 2" xfId="22385" xr:uid="{00000000-0005-0000-0000-0000F4150000}"/>
    <cellStyle name="Normal 2 49 4 2 4" xfId="4596" xr:uid="{00000000-0005-0000-0000-0000F5150000}"/>
    <cellStyle name="Normal 2 49 4 2 4 2" xfId="22386" xr:uid="{00000000-0005-0000-0000-0000F6150000}"/>
    <cellStyle name="Normal 2 49 4 2 5" xfId="4597" xr:uid="{00000000-0005-0000-0000-0000F7150000}"/>
    <cellStyle name="Normal 2 49 4 2 5 2" xfId="22387" xr:uid="{00000000-0005-0000-0000-0000F8150000}"/>
    <cellStyle name="Normal 2 49 4 2 6" xfId="4598" xr:uid="{00000000-0005-0000-0000-0000F9150000}"/>
    <cellStyle name="Normal 2 49 4 2 6 2" xfId="22388" xr:uid="{00000000-0005-0000-0000-0000FA150000}"/>
    <cellStyle name="Normal 2 49 4 2 7" xfId="4599" xr:uid="{00000000-0005-0000-0000-0000FB150000}"/>
    <cellStyle name="Normal 2 49 4 2 7 2" xfId="22389" xr:uid="{00000000-0005-0000-0000-0000FC150000}"/>
    <cellStyle name="Normal 2 49 4 2 8" xfId="4600" xr:uid="{00000000-0005-0000-0000-0000FD150000}"/>
    <cellStyle name="Normal 2 49 4 2 8 2" xfId="22390" xr:uid="{00000000-0005-0000-0000-0000FE150000}"/>
    <cellStyle name="Normal 2 49 4 2 9" xfId="4601" xr:uid="{00000000-0005-0000-0000-0000FF150000}"/>
    <cellStyle name="Normal 2 49 4 2 9 2" xfId="22391" xr:uid="{00000000-0005-0000-0000-000000160000}"/>
    <cellStyle name="Normal 2 49 4 3" xfId="4602" xr:uid="{00000000-0005-0000-0000-000001160000}"/>
    <cellStyle name="Normal 2 49 4 3 2" xfId="22392" xr:uid="{00000000-0005-0000-0000-000002160000}"/>
    <cellStyle name="Normal 2 49 4 4" xfId="4603" xr:uid="{00000000-0005-0000-0000-000003160000}"/>
    <cellStyle name="Normal 2 49 4 4 2" xfId="22393" xr:uid="{00000000-0005-0000-0000-000004160000}"/>
    <cellStyle name="Normal 2 49 4 5" xfId="4604" xr:uid="{00000000-0005-0000-0000-000005160000}"/>
    <cellStyle name="Normal 2 49 4 5 2" xfId="22394" xr:uid="{00000000-0005-0000-0000-000006160000}"/>
    <cellStyle name="Normal 2 49 4 6" xfId="4605" xr:uid="{00000000-0005-0000-0000-000007160000}"/>
    <cellStyle name="Normal 2 49 4 6 2" xfId="22395" xr:uid="{00000000-0005-0000-0000-000008160000}"/>
    <cellStyle name="Normal 2 49 4 7" xfId="4606" xr:uid="{00000000-0005-0000-0000-000009160000}"/>
    <cellStyle name="Normal 2 49 4 7 2" xfId="22396" xr:uid="{00000000-0005-0000-0000-00000A160000}"/>
    <cellStyle name="Normal 2 49 4 8" xfId="4607" xr:uid="{00000000-0005-0000-0000-00000B160000}"/>
    <cellStyle name="Normal 2 49 4 8 2" xfId="22397" xr:uid="{00000000-0005-0000-0000-00000C160000}"/>
    <cellStyle name="Normal 2 49 4 9" xfId="4608" xr:uid="{00000000-0005-0000-0000-00000D160000}"/>
    <cellStyle name="Normal 2 49 4 9 2" xfId="22398" xr:uid="{00000000-0005-0000-0000-00000E160000}"/>
    <cellStyle name="Normal 2 49 5" xfId="4609" xr:uid="{00000000-0005-0000-0000-00000F160000}"/>
    <cellStyle name="Normal 2 49 5 10" xfId="4610" xr:uid="{00000000-0005-0000-0000-000010160000}"/>
    <cellStyle name="Normal 2 49 5 10 2" xfId="22400" xr:uid="{00000000-0005-0000-0000-000011160000}"/>
    <cellStyle name="Normal 2 49 5 11" xfId="4611" xr:uid="{00000000-0005-0000-0000-000012160000}"/>
    <cellStyle name="Normal 2 49 5 11 2" xfId="22401" xr:uid="{00000000-0005-0000-0000-000013160000}"/>
    <cellStyle name="Normal 2 49 5 12" xfId="4612" xr:uid="{00000000-0005-0000-0000-000014160000}"/>
    <cellStyle name="Normal 2 49 5 12 2" xfId="22402" xr:uid="{00000000-0005-0000-0000-000015160000}"/>
    <cellStyle name="Normal 2 49 5 13" xfId="4613" xr:uid="{00000000-0005-0000-0000-000016160000}"/>
    <cellStyle name="Normal 2 49 5 13 2" xfId="22403" xr:uid="{00000000-0005-0000-0000-000017160000}"/>
    <cellStyle name="Normal 2 49 5 14" xfId="4614" xr:uid="{00000000-0005-0000-0000-000018160000}"/>
    <cellStyle name="Normal 2 49 5 14 2" xfId="22404" xr:uid="{00000000-0005-0000-0000-000019160000}"/>
    <cellStyle name="Normal 2 49 5 15" xfId="22399" xr:uid="{00000000-0005-0000-0000-00001A160000}"/>
    <cellStyle name="Normal 2 49 5 2" xfId="4615" xr:uid="{00000000-0005-0000-0000-00001B160000}"/>
    <cellStyle name="Normal 2 49 5 2 2" xfId="22405" xr:uid="{00000000-0005-0000-0000-00001C160000}"/>
    <cellStyle name="Normal 2 49 5 3" xfId="4616" xr:uid="{00000000-0005-0000-0000-00001D160000}"/>
    <cellStyle name="Normal 2 49 5 3 2" xfId="22406" xr:uid="{00000000-0005-0000-0000-00001E160000}"/>
    <cellStyle name="Normal 2 49 5 4" xfId="4617" xr:uid="{00000000-0005-0000-0000-00001F160000}"/>
    <cellStyle name="Normal 2 49 5 4 2" xfId="22407" xr:uid="{00000000-0005-0000-0000-000020160000}"/>
    <cellStyle name="Normal 2 49 5 5" xfId="4618" xr:uid="{00000000-0005-0000-0000-000021160000}"/>
    <cellStyle name="Normal 2 49 5 5 2" xfId="22408" xr:uid="{00000000-0005-0000-0000-000022160000}"/>
    <cellStyle name="Normal 2 49 5 6" xfId="4619" xr:uid="{00000000-0005-0000-0000-000023160000}"/>
    <cellStyle name="Normal 2 49 5 6 2" xfId="22409" xr:uid="{00000000-0005-0000-0000-000024160000}"/>
    <cellStyle name="Normal 2 49 5 7" xfId="4620" xr:uid="{00000000-0005-0000-0000-000025160000}"/>
    <cellStyle name="Normal 2 49 5 7 2" xfId="22410" xr:uid="{00000000-0005-0000-0000-000026160000}"/>
    <cellStyle name="Normal 2 49 5 8" xfId="4621" xr:uid="{00000000-0005-0000-0000-000027160000}"/>
    <cellStyle name="Normal 2 49 5 8 2" xfId="22411" xr:uid="{00000000-0005-0000-0000-000028160000}"/>
    <cellStyle name="Normal 2 49 5 9" xfId="4622" xr:uid="{00000000-0005-0000-0000-000029160000}"/>
    <cellStyle name="Normal 2 49 5 9 2" xfId="22412" xr:uid="{00000000-0005-0000-0000-00002A160000}"/>
    <cellStyle name="Normal 2 49 6" xfId="4623" xr:uid="{00000000-0005-0000-0000-00002B160000}"/>
    <cellStyle name="Normal 2 49 6 10" xfId="4624" xr:uid="{00000000-0005-0000-0000-00002C160000}"/>
    <cellStyle name="Normal 2 49 6 10 2" xfId="22414" xr:uid="{00000000-0005-0000-0000-00002D160000}"/>
    <cellStyle name="Normal 2 49 6 11" xfId="4625" xr:uid="{00000000-0005-0000-0000-00002E160000}"/>
    <cellStyle name="Normal 2 49 6 11 2" xfId="22415" xr:uid="{00000000-0005-0000-0000-00002F160000}"/>
    <cellStyle name="Normal 2 49 6 12" xfId="4626" xr:uid="{00000000-0005-0000-0000-000030160000}"/>
    <cellStyle name="Normal 2 49 6 12 2" xfId="22416" xr:uid="{00000000-0005-0000-0000-000031160000}"/>
    <cellStyle name="Normal 2 49 6 13" xfId="4627" xr:uid="{00000000-0005-0000-0000-000032160000}"/>
    <cellStyle name="Normal 2 49 6 13 2" xfId="22417" xr:uid="{00000000-0005-0000-0000-000033160000}"/>
    <cellStyle name="Normal 2 49 6 14" xfId="4628" xr:uid="{00000000-0005-0000-0000-000034160000}"/>
    <cellStyle name="Normal 2 49 6 14 2" xfId="22418" xr:uid="{00000000-0005-0000-0000-000035160000}"/>
    <cellStyle name="Normal 2 49 6 15" xfId="22413" xr:uid="{00000000-0005-0000-0000-000036160000}"/>
    <cellStyle name="Normal 2 49 6 2" xfId="4629" xr:uid="{00000000-0005-0000-0000-000037160000}"/>
    <cellStyle name="Normal 2 49 6 2 2" xfId="22419" xr:uid="{00000000-0005-0000-0000-000038160000}"/>
    <cellStyle name="Normal 2 49 6 3" xfId="4630" xr:uid="{00000000-0005-0000-0000-000039160000}"/>
    <cellStyle name="Normal 2 49 6 3 2" xfId="22420" xr:uid="{00000000-0005-0000-0000-00003A160000}"/>
    <cellStyle name="Normal 2 49 6 4" xfId="4631" xr:uid="{00000000-0005-0000-0000-00003B160000}"/>
    <cellStyle name="Normal 2 49 6 4 2" xfId="22421" xr:uid="{00000000-0005-0000-0000-00003C160000}"/>
    <cellStyle name="Normal 2 49 6 5" xfId="4632" xr:uid="{00000000-0005-0000-0000-00003D160000}"/>
    <cellStyle name="Normal 2 49 6 5 2" xfId="22422" xr:uid="{00000000-0005-0000-0000-00003E160000}"/>
    <cellStyle name="Normal 2 49 6 6" xfId="4633" xr:uid="{00000000-0005-0000-0000-00003F160000}"/>
    <cellStyle name="Normal 2 49 6 6 2" xfId="22423" xr:uid="{00000000-0005-0000-0000-000040160000}"/>
    <cellStyle name="Normal 2 49 6 7" xfId="4634" xr:uid="{00000000-0005-0000-0000-000041160000}"/>
    <cellStyle name="Normal 2 49 6 7 2" xfId="22424" xr:uid="{00000000-0005-0000-0000-000042160000}"/>
    <cellStyle name="Normal 2 49 6 8" xfId="4635" xr:uid="{00000000-0005-0000-0000-000043160000}"/>
    <cellStyle name="Normal 2 49 6 8 2" xfId="22425" xr:uid="{00000000-0005-0000-0000-000044160000}"/>
    <cellStyle name="Normal 2 49 6 9" xfId="4636" xr:uid="{00000000-0005-0000-0000-000045160000}"/>
    <cellStyle name="Normal 2 49 6 9 2" xfId="22426" xr:uid="{00000000-0005-0000-0000-000046160000}"/>
    <cellStyle name="Normal 2 49 7" xfId="4637" xr:uid="{00000000-0005-0000-0000-000047160000}"/>
    <cellStyle name="Normal 2 49 7 10" xfId="4638" xr:uid="{00000000-0005-0000-0000-000048160000}"/>
    <cellStyle name="Normal 2 49 7 10 2" xfId="22428" xr:uid="{00000000-0005-0000-0000-000049160000}"/>
    <cellStyle name="Normal 2 49 7 11" xfId="4639" xr:uid="{00000000-0005-0000-0000-00004A160000}"/>
    <cellStyle name="Normal 2 49 7 11 2" xfId="22429" xr:uid="{00000000-0005-0000-0000-00004B160000}"/>
    <cellStyle name="Normal 2 49 7 12" xfId="4640" xr:uid="{00000000-0005-0000-0000-00004C160000}"/>
    <cellStyle name="Normal 2 49 7 12 2" xfId="22430" xr:uid="{00000000-0005-0000-0000-00004D160000}"/>
    <cellStyle name="Normal 2 49 7 13" xfId="4641" xr:uid="{00000000-0005-0000-0000-00004E160000}"/>
    <cellStyle name="Normal 2 49 7 13 2" xfId="22431" xr:uid="{00000000-0005-0000-0000-00004F160000}"/>
    <cellStyle name="Normal 2 49 7 14" xfId="4642" xr:uid="{00000000-0005-0000-0000-000050160000}"/>
    <cellStyle name="Normal 2 49 7 14 2" xfId="22432" xr:uid="{00000000-0005-0000-0000-000051160000}"/>
    <cellStyle name="Normal 2 49 7 15" xfId="22427" xr:uid="{00000000-0005-0000-0000-000052160000}"/>
    <cellStyle name="Normal 2 49 7 2" xfId="4643" xr:uid="{00000000-0005-0000-0000-000053160000}"/>
    <cellStyle name="Normal 2 49 7 2 2" xfId="22433" xr:uid="{00000000-0005-0000-0000-000054160000}"/>
    <cellStyle name="Normal 2 49 7 3" xfId="4644" xr:uid="{00000000-0005-0000-0000-000055160000}"/>
    <cellStyle name="Normal 2 49 7 3 2" xfId="22434" xr:uid="{00000000-0005-0000-0000-000056160000}"/>
    <cellStyle name="Normal 2 49 7 4" xfId="4645" xr:uid="{00000000-0005-0000-0000-000057160000}"/>
    <cellStyle name="Normal 2 49 7 4 2" xfId="22435" xr:uid="{00000000-0005-0000-0000-000058160000}"/>
    <cellStyle name="Normal 2 49 7 5" xfId="4646" xr:uid="{00000000-0005-0000-0000-000059160000}"/>
    <cellStyle name="Normal 2 49 7 5 2" xfId="22436" xr:uid="{00000000-0005-0000-0000-00005A160000}"/>
    <cellStyle name="Normal 2 49 7 6" xfId="4647" xr:uid="{00000000-0005-0000-0000-00005B160000}"/>
    <cellStyle name="Normal 2 49 7 6 2" xfId="22437" xr:uid="{00000000-0005-0000-0000-00005C160000}"/>
    <cellStyle name="Normal 2 49 7 7" xfId="4648" xr:uid="{00000000-0005-0000-0000-00005D160000}"/>
    <cellStyle name="Normal 2 49 7 7 2" xfId="22438" xr:uid="{00000000-0005-0000-0000-00005E160000}"/>
    <cellStyle name="Normal 2 49 7 8" xfId="4649" xr:uid="{00000000-0005-0000-0000-00005F160000}"/>
    <cellStyle name="Normal 2 49 7 8 2" xfId="22439" xr:uid="{00000000-0005-0000-0000-000060160000}"/>
    <cellStyle name="Normal 2 49 7 9" xfId="4650" xr:uid="{00000000-0005-0000-0000-000061160000}"/>
    <cellStyle name="Normal 2 49 7 9 2" xfId="22440" xr:uid="{00000000-0005-0000-0000-000062160000}"/>
    <cellStyle name="Normal 2 49 8" xfId="4651" xr:uid="{00000000-0005-0000-0000-000063160000}"/>
    <cellStyle name="Normal 2 49 8 10" xfId="4652" xr:uid="{00000000-0005-0000-0000-000064160000}"/>
    <cellStyle name="Normal 2 49 8 10 2" xfId="22442" xr:uid="{00000000-0005-0000-0000-000065160000}"/>
    <cellStyle name="Normal 2 49 8 11" xfId="4653" xr:uid="{00000000-0005-0000-0000-000066160000}"/>
    <cellStyle name="Normal 2 49 8 11 2" xfId="22443" xr:uid="{00000000-0005-0000-0000-000067160000}"/>
    <cellStyle name="Normal 2 49 8 12" xfId="4654" xr:uid="{00000000-0005-0000-0000-000068160000}"/>
    <cellStyle name="Normal 2 49 8 12 2" xfId="22444" xr:uid="{00000000-0005-0000-0000-000069160000}"/>
    <cellStyle name="Normal 2 49 8 13" xfId="4655" xr:uid="{00000000-0005-0000-0000-00006A160000}"/>
    <cellStyle name="Normal 2 49 8 13 2" xfId="22445" xr:uid="{00000000-0005-0000-0000-00006B160000}"/>
    <cellStyle name="Normal 2 49 8 14" xfId="4656" xr:uid="{00000000-0005-0000-0000-00006C160000}"/>
    <cellStyle name="Normal 2 49 8 14 2" xfId="22446" xr:uid="{00000000-0005-0000-0000-00006D160000}"/>
    <cellStyle name="Normal 2 49 8 15" xfId="22441" xr:uid="{00000000-0005-0000-0000-00006E160000}"/>
    <cellStyle name="Normal 2 49 8 2" xfId="4657" xr:uid="{00000000-0005-0000-0000-00006F160000}"/>
    <cellStyle name="Normal 2 49 8 2 2" xfId="22447" xr:uid="{00000000-0005-0000-0000-000070160000}"/>
    <cellStyle name="Normal 2 49 8 3" xfId="4658" xr:uid="{00000000-0005-0000-0000-000071160000}"/>
    <cellStyle name="Normal 2 49 8 3 2" xfId="22448" xr:uid="{00000000-0005-0000-0000-000072160000}"/>
    <cellStyle name="Normal 2 49 8 4" xfId="4659" xr:uid="{00000000-0005-0000-0000-000073160000}"/>
    <cellStyle name="Normal 2 49 8 4 2" xfId="22449" xr:uid="{00000000-0005-0000-0000-000074160000}"/>
    <cellStyle name="Normal 2 49 8 5" xfId="4660" xr:uid="{00000000-0005-0000-0000-000075160000}"/>
    <cellStyle name="Normal 2 49 8 5 2" xfId="22450" xr:uid="{00000000-0005-0000-0000-000076160000}"/>
    <cellStyle name="Normal 2 49 8 6" xfId="4661" xr:uid="{00000000-0005-0000-0000-000077160000}"/>
    <cellStyle name="Normal 2 49 8 6 2" xfId="22451" xr:uid="{00000000-0005-0000-0000-000078160000}"/>
    <cellStyle name="Normal 2 49 8 7" xfId="4662" xr:uid="{00000000-0005-0000-0000-000079160000}"/>
    <cellStyle name="Normal 2 49 8 7 2" xfId="22452" xr:uid="{00000000-0005-0000-0000-00007A160000}"/>
    <cellStyle name="Normal 2 49 8 8" xfId="4663" xr:uid="{00000000-0005-0000-0000-00007B160000}"/>
    <cellStyle name="Normal 2 49 8 8 2" xfId="22453" xr:uid="{00000000-0005-0000-0000-00007C160000}"/>
    <cellStyle name="Normal 2 49 8 9" xfId="4664" xr:uid="{00000000-0005-0000-0000-00007D160000}"/>
    <cellStyle name="Normal 2 49 8 9 2" xfId="22454" xr:uid="{00000000-0005-0000-0000-00007E160000}"/>
    <cellStyle name="Normal 2 49 9" xfId="4665" xr:uid="{00000000-0005-0000-0000-00007F160000}"/>
    <cellStyle name="Normal 2 49 9 10" xfId="4666" xr:uid="{00000000-0005-0000-0000-000080160000}"/>
    <cellStyle name="Normal 2 49 9 10 2" xfId="22456" xr:uid="{00000000-0005-0000-0000-000081160000}"/>
    <cellStyle name="Normal 2 49 9 11" xfId="4667" xr:uid="{00000000-0005-0000-0000-000082160000}"/>
    <cellStyle name="Normal 2 49 9 11 2" xfId="22457" xr:uid="{00000000-0005-0000-0000-000083160000}"/>
    <cellStyle name="Normal 2 49 9 12" xfId="4668" xr:uid="{00000000-0005-0000-0000-000084160000}"/>
    <cellStyle name="Normal 2 49 9 12 2" xfId="22458" xr:uid="{00000000-0005-0000-0000-000085160000}"/>
    <cellStyle name="Normal 2 49 9 13" xfId="4669" xr:uid="{00000000-0005-0000-0000-000086160000}"/>
    <cellStyle name="Normal 2 49 9 13 2" xfId="22459" xr:uid="{00000000-0005-0000-0000-000087160000}"/>
    <cellStyle name="Normal 2 49 9 14" xfId="4670" xr:uid="{00000000-0005-0000-0000-000088160000}"/>
    <cellStyle name="Normal 2 49 9 14 2" xfId="22460" xr:uid="{00000000-0005-0000-0000-000089160000}"/>
    <cellStyle name="Normal 2 49 9 15" xfId="22455" xr:uid="{00000000-0005-0000-0000-00008A160000}"/>
    <cellStyle name="Normal 2 49 9 2" xfId="4671" xr:uid="{00000000-0005-0000-0000-00008B160000}"/>
    <cellStyle name="Normal 2 49 9 2 2" xfId="22461" xr:uid="{00000000-0005-0000-0000-00008C160000}"/>
    <cellStyle name="Normal 2 49 9 3" xfId="4672" xr:uid="{00000000-0005-0000-0000-00008D160000}"/>
    <cellStyle name="Normal 2 49 9 3 2" xfId="22462" xr:uid="{00000000-0005-0000-0000-00008E160000}"/>
    <cellStyle name="Normal 2 49 9 4" xfId="4673" xr:uid="{00000000-0005-0000-0000-00008F160000}"/>
    <cellStyle name="Normal 2 49 9 4 2" xfId="22463" xr:uid="{00000000-0005-0000-0000-000090160000}"/>
    <cellStyle name="Normal 2 49 9 5" xfId="4674" xr:uid="{00000000-0005-0000-0000-000091160000}"/>
    <cellStyle name="Normal 2 49 9 5 2" xfId="22464" xr:uid="{00000000-0005-0000-0000-000092160000}"/>
    <cellStyle name="Normal 2 49 9 6" xfId="4675" xr:uid="{00000000-0005-0000-0000-000093160000}"/>
    <cellStyle name="Normal 2 49 9 6 2" xfId="22465" xr:uid="{00000000-0005-0000-0000-000094160000}"/>
    <cellStyle name="Normal 2 49 9 7" xfId="4676" xr:uid="{00000000-0005-0000-0000-000095160000}"/>
    <cellStyle name="Normal 2 49 9 7 2" xfId="22466" xr:uid="{00000000-0005-0000-0000-000096160000}"/>
    <cellStyle name="Normal 2 49 9 8" xfId="4677" xr:uid="{00000000-0005-0000-0000-000097160000}"/>
    <cellStyle name="Normal 2 49 9 8 2" xfId="22467" xr:uid="{00000000-0005-0000-0000-000098160000}"/>
    <cellStyle name="Normal 2 49 9 9" xfId="4678" xr:uid="{00000000-0005-0000-0000-000099160000}"/>
    <cellStyle name="Normal 2 49 9 9 2" xfId="22468" xr:uid="{00000000-0005-0000-0000-00009A160000}"/>
    <cellStyle name="Normal 2 5" xfId="48" xr:uid="{00000000-0005-0000-0000-00009B160000}"/>
    <cellStyle name="Normal 2 5 2" xfId="205" xr:uid="{00000000-0005-0000-0000-00009C160000}"/>
    <cellStyle name="Normal 2 5 2 2" xfId="4680" xr:uid="{00000000-0005-0000-0000-00009D160000}"/>
    <cellStyle name="Normal 2 5 2 2 2" xfId="4681" xr:uid="{00000000-0005-0000-0000-00009E160000}"/>
    <cellStyle name="Normal 2 5 2 3" xfId="4682" xr:uid="{00000000-0005-0000-0000-00009F160000}"/>
    <cellStyle name="Normal 2 5 2 3 2" xfId="4683" xr:uid="{00000000-0005-0000-0000-0000A0160000}"/>
    <cellStyle name="Normal 2 5 2 4" xfId="4684" xr:uid="{00000000-0005-0000-0000-0000A1160000}"/>
    <cellStyle name="Normal 2 5 2 4 2" xfId="4685" xr:uid="{00000000-0005-0000-0000-0000A2160000}"/>
    <cellStyle name="Normal 2 5 2 5" xfId="4686" xr:uid="{00000000-0005-0000-0000-0000A3160000}"/>
    <cellStyle name="Normal 2 5 2 5 2" xfId="4687" xr:uid="{00000000-0005-0000-0000-0000A4160000}"/>
    <cellStyle name="Normal 2 5 2 6" xfId="4688" xr:uid="{00000000-0005-0000-0000-0000A5160000}"/>
    <cellStyle name="Normal 2 5 2 6 2" xfId="4689" xr:uid="{00000000-0005-0000-0000-0000A6160000}"/>
    <cellStyle name="Normal 2 5 2 7" xfId="4690" xr:uid="{00000000-0005-0000-0000-0000A7160000}"/>
    <cellStyle name="Normal 2 5 2 7 2" xfId="4691" xr:uid="{00000000-0005-0000-0000-0000A8160000}"/>
    <cellStyle name="Normal 2 5 2 8" xfId="4679" xr:uid="{00000000-0005-0000-0000-0000A9160000}"/>
    <cellStyle name="Normal 2 5 3" xfId="4692" xr:uid="{00000000-0005-0000-0000-0000AA160000}"/>
    <cellStyle name="Normal 2 5 4" xfId="4693" xr:uid="{00000000-0005-0000-0000-0000AB160000}"/>
    <cellStyle name="Normal 2 5 5" xfId="4694" xr:uid="{00000000-0005-0000-0000-0000AC160000}"/>
    <cellStyle name="Normal 2 5 6" xfId="4695" xr:uid="{00000000-0005-0000-0000-0000AD160000}"/>
    <cellStyle name="Normal 2 5 7" xfId="4696" xr:uid="{00000000-0005-0000-0000-0000AE160000}"/>
    <cellStyle name="Normal 2 5 8" xfId="4697" xr:uid="{00000000-0005-0000-0000-0000AF160000}"/>
    <cellStyle name="Normal 2 50" xfId="4698" xr:uid="{00000000-0005-0000-0000-0000B0160000}"/>
    <cellStyle name="Normal 2 50 10" xfId="4699" xr:uid="{00000000-0005-0000-0000-0000B1160000}"/>
    <cellStyle name="Normal 2 50 10 10" xfId="4700" xr:uid="{00000000-0005-0000-0000-0000B2160000}"/>
    <cellStyle name="Normal 2 50 10 10 2" xfId="22471" xr:uid="{00000000-0005-0000-0000-0000B3160000}"/>
    <cellStyle name="Normal 2 50 10 11" xfId="4701" xr:uid="{00000000-0005-0000-0000-0000B4160000}"/>
    <cellStyle name="Normal 2 50 10 11 2" xfId="22472" xr:uid="{00000000-0005-0000-0000-0000B5160000}"/>
    <cellStyle name="Normal 2 50 10 12" xfId="4702" xr:uid="{00000000-0005-0000-0000-0000B6160000}"/>
    <cellStyle name="Normal 2 50 10 12 2" xfId="22473" xr:uid="{00000000-0005-0000-0000-0000B7160000}"/>
    <cellStyle name="Normal 2 50 10 13" xfId="4703" xr:uid="{00000000-0005-0000-0000-0000B8160000}"/>
    <cellStyle name="Normal 2 50 10 13 2" xfId="22474" xr:uid="{00000000-0005-0000-0000-0000B9160000}"/>
    <cellStyle name="Normal 2 50 10 14" xfId="4704" xr:uid="{00000000-0005-0000-0000-0000BA160000}"/>
    <cellStyle name="Normal 2 50 10 14 2" xfId="22475" xr:uid="{00000000-0005-0000-0000-0000BB160000}"/>
    <cellStyle name="Normal 2 50 10 15" xfId="22470" xr:uid="{00000000-0005-0000-0000-0000BC160000}"/>
    <cellStyle name="Normal 2 50 10 2" xfId="4705" xr:uid="{00000000-0005-0000-0000-0000BD160000}"/>
    <cellStyle name="Normal 2 50 10 2 2" xfId="22476" xr:uid="{00000000-0005-0000-0000-0000BE160000}"/>
    <cellStyle name="Normal 2 50 10 3" xfId="4706" xr:uid="{00000000-0005-0000-0000-0000BF160000}"/>
    <cellStyle name="Normal 2 50 10 3 2" xfId="22477" xr:uid="{00000000-0005-0000-0000-0000C0160000}"/>
    <cellStyle name="Normal 2 50 10 4" xfId="4707" xr:uid="{00000000-0005-0000-0000-0000C1160000}"/>
    <cellStyle name="Normal 2 50 10 4 2" xfId="22478" xr:uid="{00000000-0005-0000-0000-0000C2160000}"/>
    <cellStyle name="Normal 2 50 10 5" xfId="4708" xr:uid="{00000000-0005-0000-0000-0000C3160000}"/>
    <cellStyle name="Normal 2 50 10 5 2" xfId="22479" xr:uid="{00000000-0005-0000-0000-0000C4160000}"/>
    <cellStyle name="Normal 2 50 10 6" xfId="4709" xr:uid="{00000000-0005-0000-0000-0000C5160000}"/>
    <cellStyle name="Normal 2 50 10 6 2" xfId="22480" xr:uid="{00000000-0005-0000-0000-0000C6160000}"/>
    <cellStyle name="Normal 2 50 10 7" xfId="4710" xr:uid="{00000000-0005-0000-0000-0000C7160000}"/>
    <cellStyle name="Normal 2 50 10 7 2" xfId="22481" xr:uid="{00000000-0005-0000-0000-0000C8160000}"/>
    <cellStyle name="Normal 2 50 10 8" xfId="4711" xr:uid="{00000000-0005-0000-0000-0000C9160000}"/>
    <cellStyle name="Normal 2 50 10 8 2" xfId="22482" xr:uid="{00000000-0005-0000-0000-0000CA160000}"/>
    <cellStyle name="Normal 2 50 10 9" xfId="4712" xr:uid="{00000000-0005-0000-0000-0000CB160000}"/>
    <cellStyle name="Normal 2 50 10 9 2" xfId="22483" xr:uid="{00000000-0005-0000-0000-0000CC160000}"/>
    <cellStyle name="Normal 2 50 11" xfId="4713" xr:uid="{00000000-0005-0000-0000-0000CD160000}"/>
    <cellStyle name="Normal 2 50 11 2" xfId="22484" xr:uid="{00000000-0005-0000-0000-0000CE160000}"/>
    <cellStyle name="Normal 2 50 12" xfId="4714" xr:uid="{00000000-0005-0000-0000-0000CF160000}"/>
    <cellStyle name="Normal 2 50 12 2" xfId="22485" xr:uid="{00000000-0005-0000-0000-0000D0160000}"/>
    <cellStyle name="Normal 2 50 13" xfId="4715" xr:uid="{00000000-0005-0000-0000-0000D1160000}"/>
    <cellStyle name="Normal 2 50 13 2" xfId="22486" xr:uid="{00000000-0005-0000-0000-0000D2160000}"/>
    <cellStyle name="Normal 2 50 14" xfId="4716" xr:uid="{00000000-0005-0000-0000-0000D3160000}"/>
    <cellStyle name="Normal 2 50 14 2" xfId="22487" xr:uid="{00000000-0005-0000-0000-0000D4160000}"/>
    <cellStyle name="Normal 2 50 15" xfId="4717" xr:uid="{00000000-0005-0000-0000-0000D5160000}"/>
    <cellStyle name="Normal 2 50 15 2" xfId="22488" xr:uid="{00000000-0005-0000-0000-0000D6160000}"/>
    <cellStyle name="Normal 2 50 16" xfId="4718" xr:uid="{00000000-0005-0000-0000-0000D7160000}"/>
    <cellStyle name="Normal 2 50 16 2" xfId="22489" xr:uid="{00000000-0005-0000-0000-0000D8160000}"/>
    <cellStyle name="Normal 2 50 17" xfId="4719" xr:uid="{00000000-0005-0000-0000-0000D9160000}"/>
    <cellStyle name="Normal 2 50 17 2" xfId="22490" xr:uid="{00000000-0005-0000-0000-0000DA160000}"/>
    <cellStyle name="Normal 2 50 18" xfId="4720" xr:uid="{00000000-0005-0000-0000-0000DB160000}"/>
    <cellStyle name="Normal 2 50 18 2" xfId="22491" xr:uid="{00000000-0005-0000-0000-0000DC160000}"/>
    <cellStyle name="Normal 2 50 19" xfId="4721" xr:uid="{00000000-0005-0000-0000-0000DD160000}"/>
    <cellStyle name="Normal 2 50 19 2" xfId="22492" xr:uid="{00000000-0005-0000-0000-0000DE160000}"/>
    <cellStyle name="Normal 2 50 2" xfId="4722" xr:uid="{00000000-0005-0000-0000-0000DF160000}"/>
    <cellStyle name="Normal 2 50 2 10" xfId="4723" xr:uid="{00000000-0005-0000-0000-0000E0160000}"/>
    <cellStyle name="Normal 2 50 2 10 2" xfId="22494" xr:uid="{00000000-0005-0000-0000-0000E1160000}"/>
    <cellStyle name="Normal 2 50 2 11" xfId="4724" xr:uid="{00000000-0005-0000-0000-0000E2160000}"/>
    <cellStyle name="Normal 2 50 2 11 2" xfId="22495" xr:uid="{00000000-0005-0000-0000-0000E3160000}"/>
    <cellStyle name="Normal 2 50 2 12" xfId="4725" xr:uid="{00000000-0005-0000-0000-0000E4160000}"/>
    <cellStyle name="Normal 2 50 2 12 2" xfId="22496" xr:uid="{00000000-0005-0000-0000-0000E5160000}"/>
    <cellStyle name="Normal 2 50 2 13" xfId="4726" xr:uid="{00000000-0005-0000-0000-0000E6160000}"/>
    <cellStyle name="Normal 2 50 2 13 2" xfId="22497" xr:uid="{00000000-0005-0000-0000-0000E7160000}"/>
    <cellStyle name="Normal 2 50 2 14" xfId="4727" xr:uid="{00000000-0005-0000-0000-0000E8160000}"/>
    <cellStyle name="Normal 2 50 2 14 2" xfId="22498" xr:uid="{00000000-0005-0000-0000-0000E9160000}"/>
    <cellStyle name="Normal 2 50 2 15" xfId="4728" xr:uid="{00000000-0005-0000-0000-0000EA160000}"/>
    <cellStyle name="Normal 2 50 2 15 2" xfId="22499" xr:uid="{00000000-0005-0000-0000-0000EB160000}"/>
    <cellStyle name="Normal 2 50 2 16" xfId="22493" xr:uid="{00000000-0005-0000-0000-0000EC160000}"/>
    <cellStyle name="Normal 2 50 2 2" xfId="4729" xr:uid="{00000000-0005-0000-0000-0000ED160000}"/>
    <cellStyle name="Normal 2 50 2 2 10" xfId="4730" xr:uid="{00000000-0005-0000-0000-0000EE160000}"/>
    <cellStyle name="Normal 2 50 2 2 10 2" xfId="22501" xr:uid="{00000000-0005-0000-0000-0000EF160000}"/>
    <cellStyle name="Normal 2 50 2 2 11" xfId="4731" xr:uid="{00000000-0005-0000-0000-0000F0160000}"/>
    <cellStyle name="Normal 2 50 2 2 11 2" xfId="22502" xr:uid="{00000000-0005-0000-0000-0000F1160000}"/>
    <cellStyle name="Normal 2 50 2 2 12" xfId="4732" xr:uid="{00000000-0005-0000-0000-0000F2160000}"/>
    <cellStyle name="Normal 2 50 2 2 12 2" xfId="22503" xr:uid="{00000000-0005-0000-0000-0000F3160000}"/>
    <cellStyle name="Normal 2 50 2 2 13" xfId="4733" xr:uid="{00000000-0005-0000-0000-0000F4160000}"/>
    <cellStyle name="Normal 2 50 2 2 13 2" xfId="22504" xr:uid="{00000000-0005-0000-0000-0000F5160000}"/>
    <cellStyle name="Normal 2 50 2 2 14" xfId="4734" xr:uid="{00000000-0005-0000-0000-0000F6160000}"/>
    <cellStyle name="Normal 2 50 2 2 14 2" xfId="22505" xr:uid="{00000000-0005-0000-0000-0000F7160000}"/>
    <cellStyle name="Normal 2 50 2 2 15" xfId="22500" xr:uid="{00000000-0005-0000-0000-0000F8160000}"/>
    <cellStyle name="Normal 2 50 2 2 2" xfId="4735" xr:uid="{00000000-0005-0000-0000-0000F9160000}"/>
    <cellStyle name="Normal 2 50 2 2 2 2" xfId="22506" xr:uid="{00000000-0005-0000-0000-0000FA160000}"/>
    <cellStyle name="Normal 2 50 2 2 3" xfId="4736" xr:uid="{00000000-0005-0000-0000-0000FB160000}"/>
    <cellStyle name="Normal 2 50 2 2 3 2" xfId="22507" xr:uid="{00000000-0005-0000-0000-0000FC160000}"/>
    <cellStyle name="Normal 2 50 2 2 4" xfId="4737" xr:uid="{00000000-0005-0000-0000-0000FD160000}"/>
    <cellStyle name="Normal 2 50 2 2 4 2" xfId="22508" xr:uid="{00000000-0005-0000-0000-0000FE160000}"/>
    <cellStyle name="Normal 2 50 2 2 5" xfId="4738" xr:uid="{00000000-0005-0000-0000-0000FF160000}"/>
    <cellStyle name="Normal 2 50 2 2 5 2" xfId="22509" xr:uid="{00000000-0005-0000-0000-000000170000}"/>
    <cellStyle name="Normal 2 50 2 2 6" xfId="4739" xr:uid="{00000000-0005-0000-0000-000001170000}"/>
    <cellStyle name="Normal 2 50 2 2 6 2" xfId="22510" xr:uid="{00000000-0005-0000-0000-000002170000}"/>
    <cellStyle name="Normal 2 50 2 2 7" xfId="4740" xr:uid="{00000000-0005-0000-0000-000003170000}"/>
    <cellStyle name="Normal 2 50 2 2 7 2" xfId="22511" xr:uid="{00000000-0005-0000-0000-000004170000}"/>
    <cellStyle name="Normal 2 50 2 2 8" xfId="4741" xr:uid="{00000000-0005-0000-0000-000005170000}"/>
    <cellStyle name="Normal 2 50 2 2 8 2" xfId="22512" xr:uid="{00000000-0005-0000-0000-000006170000}"/>
    <cellStyle name="Normal 2 50 2 2 9" xfId="4742" xr:uid="{00000000-0005-0000-0000-000007170000}"/>
    <cellStyle name="Normal 2 50 2 2 9 2" xfId="22513" xr:uid="{00000000-0005-0000-0000-000008170000}"/>
    <cellStyle name="Normal 2 50 2 3" xfId="4743" xr:uid="{00000000-0005-0000-0000-000009170000}"/>
    <cellStyle name="Normal 2 50 2 3 2" xfId="22514" xr:uid="{00000000-0005-0000-0000-00000A170000}"/>
    <cellStyle name="Normal 2 50 2 4" xfId="4744" xr:uid="{00000000-0005-0000-0000-00000B170000}"/>
    <cellStyle name="Normal 2 50 2 4 2" xfId="22515" xr:uid="{00000000-0005-0000-0000-00000C170000}"/>
    <cellStyle name="Normal 2 50 2 5" xfId="4745" xr:uid="{00000000-0005-0000-0000-00000D170000}"/>
    <cellStyle name="Normal 2 50 2 5 2" xfId="22516" xr:uid="{00000000-0005-0000-0000-00000E170000}"/>
    <cellStyle name="Normal 2 50 2 6" xfId="4746" xr:uid="{00000000-0005-0000-0000-00000F170000}"/>
    <cellStyle name="Normal 2 50 2 6 2" xfId="22517" xr:uid="{00000000-0005-0000-0000-000010170000}"/>
    <cellStyle name="Normal 2 50 2 7" xfId="4747" xr:uid="{00000000-0005-0000-0000-000011170000}"/>
    <cellStyle name="Normal 2 50 2 7 2" xfId="22518" xr:uid="{00000000-0005-0000-0000-000012170000}"/>
    <cellStyle name="Normal 2 50 2 8" xfId="4748" xr:uid="{00000000-0005-0000-0000-000013170000}"/>
    <cellStyle name="Normal 2 50 2 8 2" xfId="22519" xr:uid="{00000000-0005-0000-0000-000014170000}"/>
    <cellStyle name="Normal 2 50 2 9" xfId="4749" xr:uid="{00000000-0005-0000-0000-000015170000}"/>
    <cellStyle name="Normal 2 50 2 9 2" xfId="22520" xr:uid="{00000000-0005-0000-0000-000016170000}"/>
    <cellStyle name="Normal 2 50 20" xfId="4750" xr:uid="{00000000-0005-0000-0000-000017170000}"/>
    <cellStyle name="Normal 2 50 20 2" xfId="22521" xr:uid="{00000000-0005-0000-0000-000018170000}"/>
    <cellStyle name="Normal 2 50 21" xfId="4751" xr:uid="{00000000-0005-0000-0000-000019170000}"/>
    <cellStyle name="Normal 2 50 21 2" xfId="22522" xr:uid="{00000000-0005-0000-0000-00001A170000}"/>
    <cellStyle name="Normal 2 50 22" xfId="4752" xr:uid="{00000000-0005-0000-0000-00001B170000}"/>
    <cellStyle name="Normal 2 50 22 2" xfId="22523" xr:uid="{00000000-0005-0000-0000-00001C170000}"/>
    <cellStyle name="Normal 2 50 23" xfId="4753" xr:uid="{00000000-0005-0000-0000-00001D170000}"/>
    <cellStyle name="Normal 2 50 23 2" xfId="22524" xr:uid="{00000000-0005-0000-0000-00001E170000}"/>
    <cellStyle name="Normal 2 50 24" xfId="22469" xr:uid="{00000000-0005-0000-0000-00001F170000}"/>
    <cellStyle name="Normal 2 50 3" xfId="4754" xr:uid="{00000000-0005-0000-0000-000020170000}"/>
    <cellStyle name="Normal 2 50 3 10" xfId="4755" xr:uid="{00000000-0005-0000-0000-000021170000}"/>
    <cellStyle name="Normal 2 50 3 10 2" xfId="22526" xr:uid="{00000000-0005-0000-0000-000022170000}"/>
    <cellStyle name="Normal 2 50 3 11" xfId="4756" xr:uid="{00000000-0005-0000-0000-000023170000}"/>
    <cellStyle name="Normal 2 50 3 11 2" xfId="22527" xr:uid="{00000000-0005-0000-0000-000024170000}"/>
    <cellStyle name="Normal 2 50 3 12" xfId="4757" xr:uid="{00000000-0005-0000-0000-000025170000}"/>
    <cellStyle name="Normal 2 50 3 12 2" xfId="22528" xr:uid="{00000000-0005-0000-0000-000026170000}"/>
    <cellStyle name="Normal 2 50 3 13" xfId="4758" xr:uid="{00000000-0005-0000-0000-000027170000}"/>
    <cellStyle name="Normal 2 50 3 13 2" xfId="22529" xr:uid="{00000000-0005-0000-0000-000028170000}"/>
    <cellStyle name="Normal 2 50 3 14" xfId="4759" xr:uid="{00000000-0005-0000-0000-000029170000}"/>
    <cellStyle name="Normal 2 50 3 14 2" xfId="22530" xr:uid="{00000000-0005-0000-0000-00002A170000}"/>
    <cellStyle name="Normal 2 50 3 15" xfId="4760" xr:uid="{00000000-0005-0000-0000-00002B170000}"/>
    <cellStyle name="Normal 2 50 3 15 2" xfId="22531" xr:uid="{00000000-0005-0000-0000-00002C170000}"/>
    <cellStyle name="Normal 2 50 3 16" xfId="22525" xr:uid="{00000000-0005-0000-0000-00002D170000}"/>
    <cellStyle name="Normal 2 50 3 2" xfId="4761" xr:uid="{00000000-0005-0000-0000-00002E170000}"/>
    <cellStyle name="Normal 2 50 3 2 10" xfId="4762" xr:uid="{00000000-0005-0000-0000-00002F170000}"/>
    <cellStyle name="Normal 2 50 3 2 10 2" xfId="22533" xr:uid="{00000000-0005-0000-0000-000030170000}"/>
    <cellStyle name="Normal 2 50 3 2 11" xfId="4763" xr:uid="{00000000-0005-0000-0000-000031170000}"/>
    <cellStyle name="Normal 2 50 3 2 11 2" xfId="22534" xr:uid="{00000000-0005-0000-0000-000032170000}"/>
    <cellStyle name="Normal 2 50 3 2 12" xfId="4764" xr:uid="{00000000-0005-0000-0000-000033170000}"/>
    <cellStyle name="Normal 2 50 3 2 12 2" xfId="22535" xr:uid="{00000000-0005-0000-0000-000034170000}"/>
    <cellStyle name="Normal 2 50 3 2 13" xfId="4765" xr:uid="{00000000-0005-0000-0000-000035170000}"/>
    <cellStyle name="Normal 2 50 3 2 13 2" xfId="22536" xr:uid="{00000000-0005-0000-0000-000036170000}"/>
    <cellStyle name="Normal 2 50 3 2 14" xfId="4766" xr:uid="{00000000-0005-0000-0000-000037170000}"/>
    <cellStyle name="Normal 2 50 3 2 14 2" xfId="22537" xr:uid="{00000000-0005-0000-0000-000038170000}"/>
    <cellStyle name="Normal 2 50 3 2 15" xfId="22532" xr:uid="{00000000-0005-0000-0000-000039170000}"/>
    <cellStyle name="Normal 2 50 3 2 2" xfId="4767" xr:uid="{00000000-0005-0000-0000-00003A170000}"/>
    <cellStyle name="Normal 2 50 3 2 2 2" xfId="22538" xr:uid="{00000000-0005-0000-0000-00003B170000}"/>
    <cellStyle name="Normal 2 50 3 2 3" xfId="4768" xr:uid="{00000000-0005-0000-0000-00003C170000}"/>
    <cellStyle name="Normal 2 50 3 2 3 2" xfId="22539" xr:uid="{00000000-0005-0000-0000-00003D170000}"/>
    <cellStyle name="Normal 2 50 3 2 4" xfId="4769" xr:uid="{00000000-0005-0000-0000-00003E170000}"/>
    <cellStyle name="Normal 2 50 3 2 4 2" xfId="22540" xr:uid="{00000000-0005-0000-0000-00003F170000}"/>
    <cellStyle name="Normal 2 50 3 2 5" xfId="4770" xr:uid="{00000000-0005-0000-0000-000040170000}"/>
    <cellStyle name="Normal 2 50 3 2 5 2" xfId="22541" xr:uid="{00000000-0005-0000-0000-000041170000}"/>
    <cellStyle name="Normal 2 50 3 2 6" xfId="4771" xr:uid="{00000000-0005-0000-0000-000042170000}"/>
    <cellStyle name="Normal 2 50 3 2 6 2" xfId="22542" xr:uid="{00000000-0005-0000-0000-000043170000}"/>
    <cellStyle name="Normal 2 50 3 2 7" xfId="4772" xr:uid="{00000000-0005-0000-0000-000044170000}"/>
    <cellStyle name="Normal 2 50 3 2 7 2" xfId="22543" xr:uid="{00000000-0005-0000-0000-000045170000}"/>
    <cellStyle name="Normal 2 50 3 2 8" xfId="4773" xr:uid="{00000000-0005-0000-0000-000046170000}"/>
    <cellStyle name="Normal 2 50 3 2 8 2" xfId="22544" xr:uid="{00000000-0005-0000-0000-000047170000}"/>
    <cellStyle name="Normal 2 50 3 2 9" xfId="4774" xr:uid="{00000000-0005-0000-0000-000048170000}"/>
    <cellStyle name="Normal 2 50 3 2 9 2" xfId="22545" xr:uid="{00000000-0005-0000-0000-000049170000}"/>
    <cellStyle name="Normal 2 50 3 3" xfId="4775" xr:uid="{00000000-0005-0000-0000-00004A170000}"/>
    <cellStyle name="Normal 2 50 3 3 2" xfId="22546" xr:uid="{00000000-0005-0000-0000-00004B170000}"/>
    <cellStyle name="Normal 2 50 3 4" xfId="4776" xr:uid="{00000000-0005-0000-0000-00004C170000}"/>
    <cellStyle name="Normal 2 50 3 4 2" xfId="22547" xr:uid="{00000000-0005-0000-0000-00004D170000}"/>
    <cellStyle name="Normal 2 50 3 5" xfId="4777" xr:uid="{00000000-0005-0000-0000-00004E170000}"/>
    <cellStyle name="Normal 2 50 3 5 2" xfId="22548" xr:uid="{00000000-0005-0000-0000-00004F170000}"/>
    <cellStyle name="Normal 2 50 3 6" xfId="4778" xr:uid="{00000000-0005-0000-0000-000050170000}"/>
    <cellStyle name="Normal 2 50 3 6 2" xfId="22549" xr:uid="{00000000-0005-0000-0000-000051170000}"/>
    <cellStyle name="Normal 2 50 3 7" xfId="4779" xr:uid="{00000000-0005-0000-0000-000052170000}"/>
    <cellStyle name="Normal 2 50 3 7 2" xfId="22550" xr:uid="{00000000-0005-0000-0000-000053170000}"/>
    <cellStyle name="Normal 2 50 3 8" xfId="4780" xr:uid="{00000000-0005-0000-0000-000054170000}"/>
    <cellStyle name="Normal 2 50 3 8 2" xfId="22551" xr:uid="{00000000-0005-0000-0000-000055170000}"/>
    <cellStyle name="Normal 2 50 3 9" xfId="4781" xr:uid="{00000000-0005-0000-0000-000056170000}"/>
    <cellStyle name="Normal 2 50 3 9 2" xfId="22552" xr:uid="{00000000-0005-0000-0000-000057170000}"/>
    <cellStyle name="Normal 2 50 4" xfId="4782" xr:uid="{00000000-0005-0000-0000-000058170000}"/>
    <cellStyle name="Normal 2 50 4 10" xfId="4783" xr:uid="{00000000-0005-0000-0000-000059170000}"/>
    <cellStyle name="Normal 2 50 4 10 2" xfId="22554" xr:uid="{00000000-0005-0000-0000-00005A170000}"/>
    <cellStyle name="Normal 2 50 4 11" xfId="4784" xr:uid="{00000000-0005-0000-0000-00005B170000}"/>
    <cellStyle name="Normal 2 50 4 11 2" xfId="22555" xr:uid="{00000000-0005-0000-0000-00005C170000}"/>
    <cellStyle name="Normal 2 50 4 12" xfId="4785" xr:uid="{00000000-0005-0000-0000-00005D170000}"/>
    <cellStyle name="Normal 2 50 4 12 2" xfId="22556" xr:uid="{00000000-0005-0000-0000-00005E170000}"/>
    <cellStyle name="Normal 2 50 4 13" xfId="4786" xr:uid="{00000000-0005-0000-0000-00005F170000}"/>
    <cellStyle name="Normal 2 50 4 13 2" xfId="22557" xr:uid="{00000000-0005-0000-0000-000060170000}"/>
    <cellStyle name="Normal 2 50 4 14" xfId="4787" xr:uid="{00000000-0005-0000-0000-000061170000}"/>
    <cellStyle name="Normal 2 50 4 14 2" xfId="22558" xr:uid="{00000000-0005-0000-0000-000062170000}"/>
    <cellStyle name="Normal 2 50 4 15" xfId="4788" xr:uid="{00000000-0005-0000-0000-000063170000}"/>
    <cellStyle name="Normal 2 50 4 15 2" xfId="22559" xr:uid="{00000000-0005-0000-0000-000064170000}"/>
    <cellStyle name="Normal 2 50 4 16" xfId="22553" xr:uid="{00000000-0005-0000-0000-000065170000}"/>
    <cellStyle name="Normal 2 50 4 2" xfId="4789" xr:uid="{00000000-0005-0000-0000-000066170000}"/>
    <cellStyle name="Normal 2 50 4 2 10" xfId="4790" xr:uid="{00000000-0005-0000-0000-000067170000}"/>
    <cellStyle name="Normal 2 50 4 2 10 2" xfId="22561" xr:uid="{00000000-0005-0000-0000-000068170000}"/>
    <cellStyle name="Normal 2 50 4 2 11" xfId="4791" xr:uid="{00000000-0005-0000-0000-000069170000}"/>
    <cellStyle name="Normal 2 50 4 2 11 2" xfId="22562" xr:uid="{00000000-0005-0000-0000-00006A170000}"/>
    <cellStyle name="Normal 2 50 4 2 12" xfId="4792" xr:uid="{00000000-0005-0000-0000-00006B170000}"/>
    <cellStyle name="Normal 2 50 4 2 12 2" xfId="22563" xr:uid="{00000000-0005-0000-0000-00006C170000}"/>
    <cellStyle name="Normal 2 50 4 2 13" xfId="4793" xr:uid="{00000000-0005-0000-0000-00006D170000}"/>
    <cellStyle name="Normal 2 50 4 2 13 2" xfId="22564" xr:uid="{00000000-0005-0000-0000-00006E170000}"/>
    <cellStyle name="Normal 2 50 4 2 14" xfId="4794" xr:uid="{00000000-0005-0000-0000-00006F170000}"/>
    <cellStyle name="Normal 2 50 4 2 14 2" xfId="22565" xr:uid="{00000000-0005-0000-0000-000070170000}"/>
    <cellStyle name="Normal 2 50 4 2 15" xfId="22560" xr:uid="{00000000-0005-0000-0000-000071170000}"/>
    <cellStyle name="Normal 2 50 4 2 2" xfId="4795" xr:uid="{00000000-0005-0000-0000-000072170000}"/>
    <cellStyle name="Normal 2 50 4 2 2 2" xfId="22566" xr:uid="{00000000-0005-0000-0000-000073170000}"/>
    <cellStyle name="Normal 2 50 4 2 3" xfId="4796" xr:uid="{00000000-0005-0000-0000-000074170000}"/>
    <cellStyle name="Normal 2 50 4 2 3 2" xfId="22567" xr:uid="{00000000-0005-0000-0000-000075170000}"/>
    <cellStyle name="Normal 2 50 4 2 4" xfId="4797" xr:uid="{00000000-0005-0000-0000-000076170000}"/>
    <cellStyle name="Normal 2 50 4 2 4 2" xfId="22568" xr:uid="{00000000-0005-0000-0000-000077170000}"/>
    <cellStyle name="Normal 2 50 4 2 5" xfId="4798" xr:uid="{00000000-0005-0000-0000-000078170000}"/>
    <cellStyle name="Normal 2 50 4 2 5 2" xfId="22569" xr:uid="{00000000-0005-0000-0000-000079170000}"/>
    <cellStyle name="Normal 2 50 4 2 6" xfId="4799" xr:uid="{00000000-0005-0000-0000-00007A170000}"/>
    <cellStyle name="Normal 2 50 4 2 6 2" xfId="22570" xr:uid="{00000000-0005-0000-0000-00007B170000}"/>
    <cellStyle name="Normal 2 50 4 2 7" xfId="4800" xr:uid="{00000000-0005-0000-0000-00007C170000}"/>
    <cellStyle name="Normal 2 50 4 2 7 2" xfId="22571" xr:uid="{00000000-0005-0000-0000-00007D170000}"/>
    <cellStyle name="Normal 2 50 4 2 8" xfId="4801" xr:uid="{00000000-0005-0000-0000-00007E170000}"/>
    <cellStyle name="Normal 2 50 4 2 8 2" xfId="22572" xr:uid="{00000000-0005-0000-0000-00007F170000}"/>
    <cellStyle name="Normal 2 50 4 2 9" xfId="4802" xr:uid="{00000000-0005-0000-0000-000080170000}"/>
    <cellStyle name="Normal 2 50 4 2 9 2" xfId="22573" xr:uid="{00000000-0005-0000-0000-000081170000}"/>
    <cellStyle name="Normal 2 50 4 3" xfId="4803" xr:uid="{00000000-0005-0000-0000-000082170000}"/>
    <cellStyle name="Normal 2 50 4 3 2" xfId="22574" xr:uid="{00000000-0005-0000-0000-000083170000}"/>
    <cellStyle name="Normal 2 50 4 4" xfId="4804" xr:uid="{00000000-0005-0000-0000-000084170000}"/>
    <cellStyle name="Normal 2 50 4 4 2" xfId="22575" xr:uid="{00000000-0005-0000-0000-000085170000}"/>
    <cellStyle name="Normal 2 50 4 5" xfId="4805" xr:uid="{00000000-0005-0000-0000-000086170000}"/>
    <cellStyle name="Normal 2 50 4 5 2" xfId="22576" xr:uid="{00000000-0005-0000-0000-000087170000}"/>
    <cellStyle name="Normal 2 50 4 6" xfId="4806" xr:uid="{00000000-0005-0000-0000-000088170000}"/>
    <cellStyle name="Normal 2 50 4 6 2" xfId="22577" xr:uid="{00000000-0005-0000-0000-000089170000}"/>
    <cellStyle name="Normal 2 50 4 7" xfId="4807" xr:uid="{00000000-0005-0000-0000-00008A170000}"/>
    <cellStyle name="Normal 2 50 4 7 2" xfId="22578" xr:uid="{00000000-0005-0000-0000-00008B170000}"/>
    <cellStyle name="Normal 2 50 4 8" xfId="4808" xr:uid="{00000000-0005-0000-0000-00008C170000}"/>
    <cellStyle name="Normal 2 50 4 8 2" xfId="22579" xr:uid="{00000000-0005-0000-0000-00008D170000}"/>
    <cellStyle name="Normal 2 50 4 9" xfId="4809" xr:uid="{00000000-0005-0000-0000-00008E170000}"/>
    <cellStyle name="Normal 2 50 4 9 2" xfId="22580" xr:uid="{00000000-0005-0000-0000-00008F170000}"/>
    <cellStyle name="Normal 2 50 5" xfId="4810" xr:uid="{00000000-0005-0000-0000-000090170000}"/>
    <cellStyle name="Normal 2 50 5 10" xfId="4811" xr:uid="{00000000-0005-0000-0000-000091170000}"/>
    <cellStyle name="Normal 2 50 5 10 2" xfId="22582" xr:uid="{00000000-0005-0000-0000-000092170000}"/>
    <cellStyle name="Normal 2 50 5 11" xfId="4812" xr:uid="{00000000-0005-0000-0000-000093170000}"/>
    <cellStyle name="Normal 2 50 5 11 2" xfId="22583" xr:uid="{00000000-0005-0000-0000-000094170000}"/>
    <cellStyle name="Normal 2 50 5 12" xfId="4813" xr:uid="{00000000-0005-0000-0000-000095170000}"/>
    <cellStyle name="Normal 2 50 5 12 2" xfId="22584" xr:uid="{00000000-0005-0000-0000-000096170000}"/>
    <cellStyle name="Normal 2 50 5 13" xfId="4814" xr:uid="{00000000-0005-0000-0000-000097170000}"/>
    <cellStyle name="Normal 2 50 5 13 2" xfId="22585" xr:uid="{00000000-0005-0000-0000-000098170000}"/>
    <cellStyle name="Normal 2 50 5 14" xfId="4815" xr:uid="{00000000-0005-0000-0000-000099170000}"/>
    <cellStyle name="Normal 2 50 5 14 2" xfId="22586" xr:uid="{00000000-0005-0000-0000-00009A170000}"/>
    <cellStyle name="Normal 2 50 5 15" xfId="22581" xr:uid="{00000000-0005-0000-0000-00009B170000}"/>
    <cellStyle name="Normal 2 50 5 2" xfId="4816" xr:uid="{00000000-0005-0000-0000-00009C170000}"/>
    <cellStyle name="Normal 2 50 5 2 2" xfId="22587" xr:uid="{00000000-0005-0000-0000-00009D170000}"/>
    <cellStyle name="Normal 2 50 5 3" xfId="4817" xr:uid="{00000000-0005-0000-0000-00009E170000}"/>
    <cellStyle name="Normal 2 50 5 3 2" xfId="22588" xr:uid="{00000000-0005-0000-0000-00009F170000}"/>
    <cellStyle name="Normal 2 50 5 4" xfId="4818" xr:uid="{00000000-0005-0000-0000-0000A0170000}"/>
    <cellStyle name="Normal 2 50 5 4 2" xfId="22589" xr:uid="{00000000-0005-0000-0000-0000A1170000}"/>
    <cellStyle name="Normal 2 50 5 5" xfId="4819" xr:uid="{00000000-0005-0000-0000-0000A2170000}"/>
    <cellStyle name="Normal 2 50 5 5 2" xfId="22590" xr:uid="{00000000-0005-0000-0000-0000A3170000}"/>
    <cellStyle name="Normal 2 50 5 6" xfId="4820" xr:uid="{00000000-0005-0000-0000-0000A4170000}"/>
    <cellStyle name="Normal 2 50 5 6 2" xfId="22591" xr:uid="{00000000-0005-0000-0000-0000A5170000}"/>
    <cellStyle name="Normal 2 50 5 7" xfId="4821" xr:uid="{00000000-0005-0000-0000-0000A6170000}"/>
    <cellStyle name="Normal 2 50 5 7 2" xfId="22592" xr:uid="{00000000-0005-0000-0000-0000A7170000}"/>
    <cellStyle name="Normal 2 50 5 8" xfId="4822" xr:uid="{00000000-0005-0000-0000-0000A8170000}"/>
    <cellStyle name="Normal 2 50 5 8 2" xfId="22593" xr:uid="{00000000-0005-0000-0000-0000A9170000}"/>
    <cellStyle name="Normal 2 50 5 9" xfId="4823" xr:uid="{00000000-0005-0000-0000-0000AA170000}"/>
    <cellStyle name="Normal 2 50 5 9 2" xfId="22594" xr:uid="{00000000-0005-0000-0000-0000AB170000}"/>
    <cellStyle name="Normal 2 50 6" xfId="4824" xr:uid="{00000000-0005-0000-0000-0000AC170000}"/>
    <cellStyle name="Normal 2 50 6 10" xfId="4825" xr:uid="{00000000-0005-0000-0000-0000AD170000}"/>
    <cellStyle name="Normal 2 50 6 10 2" xfId="22596" xr:uid="{00000000-0005-0000-0000-0000AE170000}"/>
    <cellStyle name="Normal 2 50 6 11" xfId="4826" xr:uid="{00000000-0005-0000-0000-0000AF170000}"/>
    <cellStyle name="Normal 2 50 6 11 2" xfId="22597" xr:uid="{00000000-0005-0000-0000-0000B0170000}"/>
    <cellStyle name="Normal 2 50 6 12" xfId="4827" xr:uid="{00000000-0005-0000-0000-0000B1170000}"/>
    <cellStyle name="Normal 2 50 6 12 2" xfId="22598" xr:uid="{00000000-0005-0000-0000-0000B2170000}"/>
    <cellStyle name="Normal 2 50 6 13" xfId="4828" xr:uid="{00000000-0005-0000-0000-0000B3170000}"/>
    <cellStyle name="Normal 2 50 6 13 2" xfId="22599" xr:uid="{00000000-0005-0000-0000-0000B4170000}"/>
    <cellStyle name="Normal 2 50 6 14" xfId="4829" xr:uid="{00000000-0005-0000-0000-0000B5170000}"/>
    <cellStyle name="Normal 2 50 6 14 2" xfId="22600" xr:uid="{00000000-0005-0000-0000-0000B6170000}"/>
    <cellStyle name="Normal 2 50 6 15" xfId="22595" xr:uid="{00000000-0005-0000-0000-0000B7170000}"/>
    <cellStyle name="Normal 2 50 6 2" xfId="4830" xr:uid="{00000000-0005-0000-0000-0000B8170000}"/>
    <cellStyle name="Normal 2 50 6 2 2" xfId="22601" xr:uid="{00000000-0005-0000-0000-0000B9170000}"/>
    <cellStyle name="Normal 2 50 6 3" xfId="4831" xr:uid="{00000000-0005-0000-0000-0000BA170000}"/>
    <cellStyle name="Normal 2 50 6 3 2" xfId="22602" xr:uid="{00000000-0005-0000-0000-0000BB170000}"/>
    <cellStyle name="Normal 2 50 6 4" xfId="4832" xr:uid="{00000000-0005-0000-0000-0000BC170000}"/>
    <cellStyle name="Normal 2 50 6 4 2" xfId="22603" xr:uid="{00000000-0005-0000-0000-0000BD170000}"/>
    <cellStyle name="Normal 2 50 6 5" xfId="4833" xr:uid="{00000000-0005-0000-0000-0000BE170000}"/>
    <cellStyle name="Normal 2 50 6 5 2" xfId="22604" xr:uid="{00000000-0005-0000-0000-0000BF170000}"/>
    <cellStyle name="Normal 2 50 6 6" xfId="4834" xr:uid="{00000000-0005-0000-0000-0000C0170000}"/>
    <cellStyle name="Normal 2 50 6 6 2" xfId="22605" xr:uid="{00000000-0005-0000-0000-0000C1170000}"/>
    <cellStyle name="Normal 2 50 6 7" xfId="4835" xr:uid="{00000000-0005-0000-0000-0000C2170000}"/>
    <cellStyle name="Normal 2 50 6 7 2" xfId="22606" xr:uid="{00000000-0005-0000-0000-0000C3170000}"/>
    <cellStyle name="Normal 2 50 6 8" xfId="4836" xr:uid="{00000000-0005-0000-0000-0000C4170000}"/>
    <cellStyle name="Normal 2 50 6 8 2" xfId="22607" xr:uid="{00000000-0005-0000-0000-0000C5170000}"/>
    <cellStyle name="Normal 2 50 6 9" xfId="4837" xr:uid="{00000000-0005-0000-0000-0000C6170000}"/>
    <cellStyle name="Normal 2 50 6 9 2" xfId="22608" xr:uid="{00000000-0005-0000-0000-0000C7170000}"/>
    <cellStyle name="Normal 2 50 7" xfId="4838" xr:uid="{00000000-0005-0000-0000-0000C8170000}"/>
    <cellStyle name="Normal 2 50 7 10" xfId="4839" xr:uid="{00000000-0005-0000-0000-0000C9170000}"/>
    <cellStyle name="Normal 2 50 7 10 2" xfId="22610" xr:uid="{00000000-0005-0000-0000-0000CA170000}"/>
    <cellStyle name="Normal 2 50 7 11" xfId="4840" xr:uid="{00000000-0005-0000-0000-0000CB170000}"/>
    <cellStyle name="Normal 2 50 7 11 2" xfId="22611" xr:uid="{00000000-0005-0000-0000-0000CC170000}"/>
    <cellStyle name="Normal 2 50 7 12" xfId="4841" xr:uid="{00000000-0005-0000-0000-0000CD170000}"/>
    <cellStyle name="Normal 2 50 7 12 2" xfId="22612" xr:uid="{00000000-0005-0000-0000-0000CE170000}"/>
    <cellStyle name="Normal 2 50 7 13" xfId="4842" xr:uid="{00000000-0005-0000-0000-0000CF170000}"/>
    <cellStyle name="Normal 2 50 7 13 2" xfId="22613" xr:uid="{00000000-0005-0000-0000-0000D0170000}"/>
    <cellStyle name="Normal 2 50 7 14" xfId="4843" xr:uid="{00000000-0005-0000-0000-0000D1170000}"/>
    <cellStyle name="Normal 2 50 7 14 2" xfId="22614" xr:uid="{00000000-0005-0000-0000-0000D2170000}"/>
    <cellStyle name="Normal 2 50 7 15" xfId="22609" xr:uid="{00000000-0005-0000-0000-0000D3170000}"/>
    <cellStyle name="Normal 2 50 7 2" xfId="4844" xr:uid="{00000000-0005-0000-0000-0000D4170000}"/>
    <cellStyle name="Normal 2 50 7 2 2" xfId="22615" xr:uid="{00000000-0005-0000-0000-0000D5170000}"/>
    <cellStyle name="Normal 2 50 7 3" xfId="4845" xr:uid="{00000000-0005-0000-0000-0000D6170000}"/>
    <cellStyle name="Normal 2 50 7 3 2" xfId="22616" xr:uid="{00000000-0005-0000-0000-0000D7170000}"/>
    <cellStyle name="Normal 2 50 7 4" xfId="4846" xr:uid="{00000000-0005-0000-0000-0000D8170000}"/>
    <cellStyle name="Normal 2 50 7 4 2" xfId="22617" xr:uid="{00000000-0005-0000-0000-0000D9170000}"/>
    <cellStyle name="Normal 2 50 7 5" xfId="4847" xr:uid="{00000000-0005-0000-0000-0000DA170000}"/>
    <cellStyle name="Normal 2 50 7 5 2" xfId="22618" xr:uid="{00000000-0005-0000-0000-0000DB170000}"/>
    <cellStyle name="Normal 2 50 7 6" xfId="4848" xr:uid="{00000000-0005-0000-0000-0000DC170000}"/>
    <cellStyle name="Normal 2 50 7 6 2" xfId="22619" xr:uid="{00000000-0005-0000-0000-0000DD170000}"/>
    <cellStyle name="Normal 2 50 7 7" xfId="4849" xr:uid="{00000000-0005-0000-0000-0000DE170000}"/>
    <cellStyle name="Normal 2 50 7 7 2" xfId="22620" xr:uid="{00000000-0005-0000-0000-0000DF170000}"/>
    <cellStyle name="Normal 2 50 7 8" xfId="4850" xr:uid="{00000000-0005-0000-0000-0000E0170000}"/>
    <cellStyle name="Normal 2 50 7 8 2" xfId="22621" xr:uid="{00000000-0005-0000-0000-0000E1170000}"/>
    <cellStyle name="Normal 2 50 7 9" xfId="4851" xr:uid="{00000000-0005-0000-0000-0000E2170000}"/>
    <cellStyle name="Normal 2 50 7 9 2" xfId="22622" xr:uid="{00000000-0005-0000-0000-0000E3170000}"/>
    <cellStyle name="Normal 2 50 8" xfId="4852" xr:uid="{00000000-0005-0000-0000-0000E4170000}"/>
    <cellStyle name="Normal 2 50 8 10" xfId="4853" xr:uid="{00000000-0005-0000-0000-0000E5170000}"/>
    <cellStyle name="Normal 2 50 8 10 2" xfId="22624" xr:uid="{00000000-0005-0000-0000-0000E6170000}"/>
    <cellStyle name="Normal 2 50 8 11" xfId="4854" xr:uid="{00000000-0005-0000-0000-0000E7170000}"/>
    <cellStyle name="Normal 2 50 8 11 2" xfId="22625" xr:uid="{00000000-0005-0000-0000-0000E8170000}"/>
    <cellStyle name="Normal 2 50 8 12" xfId="4855" xr:uid="{00000000-0005-0000-0000-0000E9170000}"/>
    <cellStyle name="Normal 2 50 8 12 2" xfId="22626" xr:uid="{00000000-0005-0000-0000-0000EA170000}"/>
    <cellStyle name="Normal 2 50 8 13" xfId="4856" xr:uid="{00000000-0005-0000-0000-0000EB170000}"/>
    <cellStyle name="Normal 2 50 8 13 2" xfId="22627" xr:uid="{00000000-0005-0000-0000-0000EC170000}"/>
    <cellStyle name="Normal 2 50 8 14" xfId="4857" xr:uid="{00000000-0005-0000-0000-0000ED170000}"/>
    <cellStyle name="Normal 2 50 8 14 2" xfId="22628" xr:uid="{00000000-0005-0000-0000-0000EE170000}"/>
    <cellStyle name="Normal 2 50 8 15" xfId="22623" xr:uid="{00000000-0005-0000-0000-0000EF170000}"/>
    <cellStyle name="Normal 2 50 8 2" xfId="4858" xr:uid="{00000000-0005-0000-0000-0000F0170000}"/>
    <cellStyle name="Normal 2 50 8 2 2" xfId="22629" xr:uid="{00000000-0005-0000-0000-0000F1170000}"/>
    <cellStyle name="Normal 2 50 8 3" xfId="4859" xr:uid="{00000000-0005-0000-0000-0000F2170000}"/>
    <cellStyle name="Normal 2 50 8 3 2" xfId="22630" xr:uid="{00000000-0005-0000-0000-0000F3170000}"/>
    <cellStyle name="Normal 2 50 8 4" xfId="4860" xr:uid="{00000000-0005-0000-0000-0000F4170000}"/>
    <cellStyle name="Normal 2 50 8 4 2" xfId="22631" xr:uid="{00000000-0005-0000-0000-0000F5170000}"/>
    <cellStyle name="Normal 2 50 8 5" xfId="4861" xr:uid="{00000000-0005-0000-0000-0000F6170000}"/>
    <cellStyle name="Normal 2 50 8 5 2" xfId="22632" xr:uid="{00000000-0005-0000-0000-0000F7170000}"/>
    <cellStyle name="Normal 2 50 8 6" xfId="4862" xr:uid="{00000000-0005-0000-0000-0000F8170000}"/>
    <cellStyle name="Normal 2 50 8 6 2" xfId="22633" xr:uid="{00000000-0005-0000-0000-0000F9170000}"/>
    <cellStyle name="Normal 2 50 8 7" xfId="4863" xr:uid="{00000000-0005-0000-0000-0000FA170000}"/>
    <cellStyle name="Normal 2 50 8 7 2" xfId="22634" xr:uid="{00000000-0005-0000-0000-0000FB170000}"/>
    <cellStyle name="Normal 2 50 8 8" xfId="4864" xr:uid="{00000000-0005-0000-0000-0000FC170000}"/>
    <cellStyle name="Normal 2 50 8 8 2" xfId="22635" xr:uid="{00000000-0005-0000-0000-0000FD170000}"/>
    <cellStyle name="Normal 2 50 8 9" xfId="4865" xr:uid="{00000000-0005-0000-0000-0000FE170000}"/>
    <cellStyle name="Normal 2 50 8 9 2" xfId="22636" xr:uid="{00000000-0005-0000-0000-0000FF170000}"/>
    <cellStyle name="Normal 2 50 9" xfId="4866" xr:uid="{00000000-0005-0000-0000-000000180000}"/>
    <cellStyle name="Normal 2 50 9 10" xfId="4867" xr:uid="{00000000-0005-0000-0000-000001180000}"/>
    <cellStyle name="Normal 2 50 9 10 2" xfId="22638" xr:uid="{00000000-0005-0000-0000-000002180000}"/>
    <cellStyle name="Normal 2 50 9 11" xfId="4868" xr:uid="{00000000-0005-0000-0000-000003180000}"/>
    <cellStyle name="Normal 2 50 9 11 2" xfId="22639" xr:uid="{00000000-0005-0000-0000-000004180000}"/>
    <cellStyle name="Normal 2 50 9 12" xfId="4869" xr:uid="{00000000-0005-0000-0000-000005180000}"/>
    <cellStyle name="Normal 2 50 9 12 2" xfId="22640" xr:uid="{00000000-0005-0000-0000-000006180000}"/>
    <cellStyle name="Normal 2 50 9 13" xfId="4870" xr:uid="{00000000-0005-0000-0000-000007180000}"/>
    <cellStyle name="Normal 2 50 9 13 2" xfId="22641" xr:uid="{00000000-0005-0000-0000-000008180000}"/>
    <cellStyle name="Normal 2 50 9 14" xfId="4871" xr:uid="{00000000-0005-0000-0000-000009180000}"/>
    <cellStyle name="Normal 2 50 9 14 2" xfId="22642" xr:uid="{00000000-0005-0000-0000-00000A180000}"/>
    <cellStyle name="Normal 2 50 9 15" xfId="22637" xr:uid="{00000000-0005-0000-0000-00000B180000}"/>
    <cellStyle name="Normal 2 50 9 2" xfId="4872" xr:uid="{00000000-0005-0000-0000-00000C180000}"/>
    <cellStyle name="Normal 2 50 9 2 2" xfId="22643" xr:uid="{00000000-0005-0000-0000-00000D180000}"/>
    <cellStyle name="Normal 2 50 9 3" xfId="4873" xr:uid="{00000000-0005-0000-0000-00000E180000}"/>
    <cellStyle name="Normal 2 50 9 3 2" xfId="22644" xr:uid="{00000000-0005-0000-0000-00000F180000}"/>
    <cellStyle name="Normal 2 50 9 4" xfId="4874" xr:uid="{00000000-0005-0000-0000-000010180000}"/>
    <cellStyle name="Normal 2 50 9 4 2" xfId="22645" xr:uid="{00000000-0005-0000-0000-000011180000}"/>
    <cellStyle name="Normal 2 50 9 5" xfId="4875" xr:uid="{00000000-0005-0000-0000-000012180000}"/>
    <cellStyle name="Normal 2 50 9 5 2" xfId="22646" xr:uid="{00000000-0005-0000-0000-000013180000}"/>
    <cellStyle name="Normal 2 50 9 6" xfId="4876" xr:uid="{00000000-0005-0000-0000-000014180000}"/>
    <cellStyle name="Normal 2 50 9 6 2" xfId="22647" xr:uid="{00000000-0005-0000-0000-000015180000}"/>
    <cellStyle name="Normal 2 50 9 7" xfId="4877" xr:uid="{00000000-0005-0000-0000-000016180000}"/>
    <cellStyle name="Normal 2 50 9 7 2" xfId="22648" xr:uid="{00000000-0005-0000-0000-000017180000}"/>
    <cellStyle name="Normal 2 50 9 8" xfId="4878" xr:uid="{00000000-0005-0000-0000-000018180000}"/>
    <cellStyle name="Normal 2 50 9 8 2" xfId="22649" xr:uid="{00000000-0005-0000-0000-000019180000}"/>
    <cellStyle name="Normal 2 50 9 9" xfId="4879" xr:uid="{00000000-0005-0000-0000-00001A180000}"/>
    <cellStyle name="Normal 2 50 9 9 2" xfId="22650" xr:uid="{00000000-0005-0000-0000-00001B180000}"/>
    <cellStyle name="Normal 2 51" xfId="4880" xr:uid="{00000000-0005-0000-0000-00001C180000}"/>
    <cellStyle name="Normal 2 51 10" xfId="4881" xr:uid="{00000000-0005-0000-0000-00001D180000}"/>
    <cellStyle name="Normal 2 51 10 10" xfId="4882" xr:uid="{00000000-0005-0000-0000-00001E180000}"/>
    <cellStyle name="Normal 2 51 10 10 2" xfId="22653" xr:uid="{00000000-0005-0000-0000-00001F180000}"/>
    <cellStyle name="Normal 2 51 10 11" xfId="4883" xr:uid="{00000000-0005-0000-0000-000020180000}"/>
    <cellStyle name="Normal 2 51 10 11 2" xfId="22654" xr:uid="{00000000-0005-0000-0000-000021180000}"/>
    <cellStyle name="Normal 2 51 10 12" xfId="4884" xr:uid="{00000000-0005-0000-0000-000022180000}"/>
    <cellStyle name="Normal 2 51 10 12 2" xfId="22655" xr:uid="{00000000-0005-0000-0000-000023180000}"/>
    <cellStyle name="Normal 2 51 10 13" xfId="4885" xr:uid="{00000000-0005-0000-0000-000024180000}"/>
    <cellStyle name="Normal 2 51 10 13 2" xfId="22656" xr:uid="{00000000-0005-0000-0000-000025180000}"/>
    <cellStyle name="Normal 2 51 10 14" xfId="4886" xr:uid="{00000000-0005-0000-0000-000026180000}"/>
    <cellStyle name="Normal 2 51 10 14 2" xfId="22657" xr:uid="{00000000-0005-0000-0000-000027180000}"/>
    <cellStyle name="Normal 2 51 10 15" xfId="22652" xr:uid="{00000000-0005-0000-0000-000028180000}"/>
    <cellStyle name="Normal 2 51 10 2" xfId="4887" xr:uid="{00000000-0005-0000-0000-000029180000}"/>
    <cellStyle name="Normal 2 51 10 2 2" xfId="22658" xr:uid="{00000000-0005-0000-0000-00002A180000}"/>
    <cellStyle name="Normal 2 51 10 3" xfId="4888" xr:uid="{00000000-0005-0000-0000-00002B180000}"/>
    <cellStyle name="Normal 2 51 10 3 2" xfId="22659" xr:uid="{00000000-0005-0000-0000-00002C180000}"/>
    <cellStyle name="Normal 2 51 10 4" xfId="4889" xr:uid="{00000000-0005-0000-0000-00002D180000}"/>
    <cellStyle name="Normal 2 51 10 4 2" xfId="22660" xr:uid="{00000000-0005-0000-0000-00002E180000}"/>
    <cellStyle name="Normal 2 51 10 5" xfId="4890" xr:uid="{00000000-0005-0000-0000-00002F180000}"/>
    <cellStyle name="Normal 2 51 10 5 2" xfId="22661" xr:uid="{00000000-0005-0000-0000-000030180000}"/>
    <cellStyle name="Normal 2 51 10 6" xfId="4891" xr:uid="{00000000-0005-0000-0000-000031180000}"/>
    <cellStyle name="Normal 2 51 10 6 2" xfId="22662" xr:uid="{00000000-0005-0000-0000-000032180000}"/>
    <cellStyle name="Normal 2 51 10 7" xfId="4892" xr:uid="{00000000-0005-0000-0000-000033180000}"/>
    <cellStyle name="Normal 2 51 10 7 2" xfId="22663" xr:uid="{00000000-0005-0000-0000-000034180000}"/>
    <cellStyle name="Normal 2 51 10 8" xfId="4893" xr:uid="{00000000-0005-0000-0000-000035180000}"/>
    <cellStyle name="Normal 2 51 10 8 2" xfId="22664" xr:uid="{00000000-0005-0000-0000-000036180000}"/>
    <cellStyle name="Normal 2 51 10 9" xfId="4894" xr:uid="{00000000-0005-0000-0000-000037180000}"/>
    <cellStyle name="Normal 2 51 10 9 2" xfId="22665" xr:uid="{00000000-0005-0000-0000-000038180000}"/>
    <cellStyle name="Normal 2 51 11" xfId="4895" xr:uid="{00000000-0005-0000-0000-000039180000}"/>
    <cellStyle name="Normal 2 51 11 2" xfId="22666" xr:uid="{00000000-0005-0000-0000-00003A180000}"/>
    <cellStyle name="Normal 2 51 12" xfId="4896" xr:uid="{00000000-0005-0000-0000-00003B180000}"/>
    <cellStyle name="Normal 2 51 12 2" xfId="22667" xr:uid="{00000000-0005-0000-0000-00003C180000}"/>
    <cellStyle name="Normal 2 51 13" xfId="4897" xr:uid="{00000000-0005-0000-0000-00003D180000}"/>
    <cellStyle name="Normal 2 51 13 2" xfId="22668" xr:uid="{00000000-0005-0000-0000-00003E180000}"/>
    <cellStyle name="Normal 2 51 14" xfId="4898" xr:uid="{00000000-0005-0000-0000-00003F180000}"/>
    <cellStyle name="Normal 2 51 14 2" xfId="22669" xr:uid="{00000000-0005-0000-0000-000040180000}"/>
    <cellStyle name="Normal 2 51 15" xfId="4899" xr:uid="{00000000-0005-0000-0000-000041180000}"/>
    <cellStyle name="Normal 2 51 15 2" xfId="22670" xr:uid="{00000000-0005-0000-0000-000042180000}"/>
    <cellStyle name="Normal 2 51 16" xfId="4900" xr:uid="{00000000-0005-0000-0000-000043180000}"/>
    <cellStyle name="Normal 2 51 16 2" xfId="22671" xr:uid="{00000000-0005-0000-0000-000044180000}"/>
    <cellStyle name="Normal 2 51 17" xfId="4901" xr:uid="{00000000-0005-0000-0000-000045180000}"/>
    <cellStyle name="Normal 2 51 17 2" xfId="22672" xr:uid="{00000000-0005-0000-0000-000046180000}"/>
    <cellStyle name="Normal 2 51 18" xfId="4902" xr:uid="{00000000-0005-0000-0000-000047180000}"/>
    <cellStyle name="Normal 2 51 18 2" xfId="22673" xr:uid="{00000000-0005-0000-0000-000048180000}"/>
    <cellStyle name="Normal 2 51 19" xfId="4903" xr:uid="{00000000-0005-0000-0000-000049180000}"/>
    <cellStyle name="Normal 2 51 19 2" xfId="22674" xr:uid="{00000000-0005-0000-0000-00004A180000}"/>
    <cellStyle name="Normal 2 51 2" xfId="4904" xr:uid="{00000000-0005-0000-0000-00004B180000}"/>
    <cellStyle name="Normal 2 51 2 10" xfId="4905" xr:uid="{00000000-0005-0000-0000-00004C180000}"/>
    <cellStyle name="Normal 2 51 2 10 2" xfId="22676" xr:uid="{00000000-0005-0000-0000-00004D180000}"/>
    <cellStyle name="Normal 2 51 2 11" xfId="4906" xr:uid="{00000000-0005-0000-0000-00004E180000}"/>
    <cellStyle name="Normal 2 51 2 11 2" xfId="22677" xr:uid="{00000000-0005-0000-0000-00004F180000}"/>
    <cellStyle name="Normal 2 51 2 12" xfId="4907" xr:uid="{00000000-0005-0000-0000-000050180000}"/>
    <cellStyle name="Normal 2 51 2 12 2" xfId="22678" xr:uid="{00000000-0005-0000-0000-000051180000}"/>
    <cellStyle name="Normal 2 51 2 13" xfId="4908" xr:uid="{00000000-0005-0000-0000-000052180000}"/>
    <cellStyle name="Normal 2 51 2 13 2" xfId="22679" xr:uid="{00000000-0005-0000-0000-000053180000}"/>
    <cellStyle name="Normal 2 51 2 14" xfId="4909" xr:uid="{00000000-0005-0000-0000-000054180000}"/>
    <cellStyle name="Normal 2 51 2 14 2" xfId="22680" xr:uid="{00000000-0005-0000-0000-000055180000}"/>
    <cellStyle name="Normal 2 51 2 15" xfId="4910" xr:uid="{00000000-0005-0000-0000-000056180000}"/>
    <cellStyle name="Normal 2 51 2 15 2" xfId="22681" xr:uid="{00000000-0005-0000-0000-000057180000}"/>
    <cellStyle name="Normal 2 51 2 16" xfId="22675" xr:uid="{00000000-0005-0000-0000-000058180000}"/>
    <cellStyle name="Normal 2 51 2 2" xfId="4911" xr:uid="{00000000-0005-0000-0000-000059180000}"/>
    <cellStyle name="Normal 2 51 2 2 10" xfId="4912" xr:uid="{00000000-0005-0000-0000-00005A180000}"/>
    <cellStyle name="Normal 2 51 2 2 10 2" xfId="22683" xr:uid="{00000000-0005-0000-0000-00005B180000}"/>
    <cellStyle name="Normal 2 51 2 2 11" xfId="4913" xr:uid="{00000000-0005-0000-0000-00005C180000}"/>
    <cellStyle name="Normal 2 51 2 2 11 2" xfId="22684" xr:uid="{00000000-0005-0000-0000-00005D180000}"/>
    <cellStyle name="Normal 2 51 2 2 12" xfId="4914" xr:uid="{00000000-0005-0000-0000-00005E180000}"/>
    <cellStyle name="Normal 2 51 2 2 12 2" xfId="22685" xr:uid="{00000000-0005-0000-0000-00005F180000}"/>
    <cellStyle name="Normal 2 51 2 2 13" xfId="4915" xr:uid="{00000000-0005-0000-0000-000060180000}"/>
    <cellStyle name="Normal 2 51 2 2 13 2" xfId="22686" xr:uid="{00000000-0005-0000-0000-000061180000}"/>
    <cellStyle name="Normal 2 51 2 2 14" xfId="4916" xr:uid="{00000000-0005-0000-0000-000062180000}"/>
    <cellStyle name="Normal 2 51 2 2 14 2" xfId="22687" xr:uid="{00000000-0005-0000-0000-000063180000}"/>
    <cellStyle name="Normal 2 51 2 2 15" xfId="22682" xr:uid="{00000000-0005-0000-0000-000064180000}"/>
    <cellStyle name="Normal 2 51 2 2 2" xfId="4917" xr:uid="{00000000-0005-0000-0000-000065180000}"/>
    <cellStyle name="Normal 2 51 2 2 2 2" xfId="22688" xr:uid="{00000000-0005-0000-0000-000066180000}"/>
    <cellStyle name="Normal 2 51 2 2 3" xfId="4918" xr:uid="{00000000-0005-0000-0000-000067180000}"/>
    <cellStyle name="Normal 2 51 2 2 3 2" xfId="22689" xr:uid="{00000000-0005-0000-0000-000068180000}"/>
    <cellStyle name="Normal 2 51 2 2 4" xfId="4919" xr:uid="{00000000-0005-0000-0000-000069180000}"/>
    <cellStyle name="Normal 2 51 2 2 4 2" xfId="22690" xr:uid="{00000000-0005-0000-0000-00006A180000}"/>
    <cellStyle name="Normal 2 51 2 2 5" xfId="4920" xr:uid="{00000000-0005-0000-0000-00006B180000}"/>
    <cellStyle name="Normal 2 51 2 2 5 2" xfId="22691" xr:uid="{00000000-0005-0000-0000-00006C180000}"/>
    <cellStyle name="Normal 2 51 2 2 6" xfId="4921" xr:uid="{00000000-0005-0000-0000-00006D180000}"/>
    <cellStyle name="Normal 2 51 2 2 6 2" xfId="22692" xr:uid="{00000000-0005-0000-0000-00006E180000}"/>
    <cellStyle name="Normal 2 51 2 2 7" xfId="4922" xr:uid="{00000000-0005-0000-0000-00006F180000}"/>
    <cellStyle name="Normal 2 51 2 2 7 2" xfId="22693" xr:uid="{00000000-0005-0000-0000-000070180000}"/>
    <cellStyle name="Normal 2 51 2 2 8" xfId="4923" xr:uid="{00000000-0005-0000-0000-000071180000}"/>
    <cellStyle name="Normal 2 51 2 2 8 2" xfId="22694" xr:uid="{00000000-0005-0000-0000-000072180000}"/>
    <cellStyle name="Normal 2 51 2 2 9" xfId="4924" xr:uid="{00000000-0005-0000-0000-000073180000}"/>
    <cellStyle name="Normal 2 51 2 2 9 2" xfId="22695" xr:uid="{00000000-0005-0000-0000-000074180000}"/>
    <cellStyle name="Normal 2 51 2 3" xfId="4925" xr:uid="{00000000-0005-0000-0000-000075180000}"/>
    <cellStyle name="Normal 2 51 2 3 2" xfId="22696" xr:uid="{00000000-0005-0000-0000-000076180000}"/>
    <cellStyle name="Normal 2 51 2 4" xfId="4926" xr:uid="{00000000-0005-0000-0000-000077180000}"/>
    <cellStyle name="Normal 2 51 2 4 2" xfId="22697" xr:uid="{00000000-0005-0000-0000-000078180000}"/>
    <cellStyle name="Normal 2 51 2 5" xfId="4927" xr:uid="{00000000-0005-0000-0000-000079180000}"/>
    <cellStyle name="Normal 2 51 2 5 2" xfId="22698" xr:uid="{00000000-0005-0000-0000-00007A180000}"/>
    <cellStyle name="Normal 2 51 2 6" xfId="4928" xr:uid="{00000000-0005-0000-0000-00007B180000}"/>
    <cellStyle name="Normal 2 51 2 6 2" xfId="22699" xr:uid="{00000000-0005-0000-0000-00007C180000}"/>
    <cellStyle name="Normal 2 51 2 7" xfId="4929" xr:uid="{00000000-0005-0000-0000-00007D180000}"/>
    <cellStyle name="Normal 2 51 2 7 2" xfId="22700" xr:uid="{00000000-0005-0000-0000-00007E180000}"/>
    <cellStyle name="Normal 2 51 2 8" xfId="4930" xr:uid="{00000000-0005-0000-0000-00007F180000}"/>
    <cellStyle name="Normal 2 51 2 8 2" xfId="22701" xr:uid="{00000000-0005-0000-0000-000080180000}"/>
    <cellStyle name="Normal 2 51 2 9" xfId="4931" xr:uid="{00000000-0005-0000-0000-000081180000}"/>
    <cellStyle name="Normal 2 51 2 9 2" xfId="22702" xr:uid="{00000000-0005-0000-0000-000082180000}"/>
    <cellStyle name="Normal 2 51 20" xfId="4932" xr:uid="{00000000-0005-0000-0000-000083180000}"/>
    <cellStyle name="Normal 2 51 20 2" xfId="22703" xr:uid="{00000000-0005-0000-0000-000084180000}"/>
    <cellStyle name="Normal 2 51 21" xfId="4933" xr:uid="{00000000-0005-0000-0000-000085180000}"/>
    <cellStyle name="Normal 2 51 21 2" xfId="22704" xr:uid="{00000000-0005-0000-0000-000086180000}"/>
    <cellStyle name="Normal 2 51 22" xfId="4934" xr:uid="{00000000-0005-0000-0000-000087180000}"/>
    <cellStyle name="Normal 2 51 22 2" xfId="22705" xr:uid="{00000000-0005-0000-0000-000088180000}"/>
    <cellStyle name="Normal 2 51 23" xfId="4935" xr:uid="{00000000-0005-0000-0000-000089180000}"/>
    <cellStyle name="Normal 2 51 23 2" xfId="22706" xr:uid="{00000000-0005-0000-0000-00008A180000}"/>
    <cellStyle name="Normal 2 51 24" xfId="22651" xr:uid="{00000000-0005-0000-0000-00008B180000}"/>
    <cellStyle name="Normal 2 51 3" xfId="4936" xr:uid="{00000000-0005-0000-0000-00008C180000}"/>
    <cellStyle name="Normal 2 51 3 10" xfId="4937" xr:uid="{00000000-0005-0000-0000-00008D180000}"/>
    <cellStyle name="Normal 2 51 3 10 2" xfId="22708" xr:uid="{00000000-0005-0000-0000-00008E180000}"/>
    <cellStyle name="Normal 2 51 3 11" xfId="4938" xr:uid="{00000000-0005-0000-0000-00008F180000}"/>
    <cellStyle name="Normal 2 51 3 11 2" xfId="22709" xr:uid="{00000000-0005-0000-0000-000090180000}"/>
    <cellStyle name="Normal 2 51 3 12" xfId="4939" xr:uid="{00000000-0005-0000-0000-000091180000}"/>
    <cellStyle name="Normal 2 51 3 12 2" xfId="22710" xr:uid="{00000000-0005-0000-0000-000092180000}"/>
    <cellStyle name="Normal 2 51 3 13" xfId="4940" xr:uid="{00000000-0005-0000-0000-000093180000}"/>
    <cellStyle name="Normal 2 51 3 13 2" xfId="22711" xr:uid="{00000000-0005-0000-0000-000094180000}"/>
    <cellStyle name="Normal 2 51 3 14" xfId="4941" xr:uid="{00000000-0005-0000-0000-000095180000}"/>
    <cellStyle name="Normal 2 51 3 14 2" xfId="22712" xr:uid="{00000000-0005-0000-0000-000096180000}"/>
    <cellStyle name="Normal 2 51 3 15" xfId="4942" xr:uid="{00000000-0005-0000-0000-000097180000}"/>
    <cellStyle name="Normal 2 51 3 15 2" xfId="22713" xr:uid="{00000000-0005-0000-0000-000098180000}"/>
    <cellStyle name="Normal 2 51 3 16" xfId="22707" xr:uid="{00000000-0005-0000-0000-000099180000}"/>
    <cellStyle name="Normal 2 51 3 2" xfId="4943" xr:uid="{00000000-0005-0000-0000-00009A180000}"/>
    <cellStyle name="Normal 2 51 3 2 10" xfId="4944" xr:uid="{00000000-0005-0000-0000-00009B180000}"/>
    <cellStyle name="Normal 2 51 3 2 10 2" xfId="22715" xr:uid="{00000000-0005-0000-0000-00009C180000}"/>
    <cellStyle name="Normal 2 51 3 2 11" xfId="4945" xr:uid="{00000000-0005-0000-0000-00009D180000}"/>
    <cellStyle name="Normal 2 51 3 2 11 2" xfId="22716" xr:uid="{00000000-0005-0000-0000-00009E180000}"/>
    <cellStyle name="Normal 2 51 3 2 12" xfId="4946" xr:uid="{00000000-0005-0000-0000-00009F180000}"/>
    <cellStyle name="Normal 2 51 3 2 12 2" xfId="22717" xr:uid="{00000000-0005-0000-0000-0000A0180000}"/>
    <cellStyle name="Normal 2 51 3 2 13" xfId="4947" xr:uid="{00000000-0005-0000-0000-0000A1180000}"/>
    <cellStyle name="Normal 2 51 3 2 13 2" xfId="22718" xr:uid="{00000000-0005-0000-0000-0000A2180000}"/>
    <cellStyle name="Normal 2 51 3 2 14" xfId="4948" xr:uid="{00000000-0005-0000-0000-0000A3180000}"/>
    <cellStyle name="Normal 2 51 3 2 14 2" xfId="22719" xr:uid="{00000000-0005-0000-0000-0000A4180000}"/>
    <cellStyle name="Normal 2 51 3 2 15" xfId="22714" xr:uid="{00000000-0005-0000-0000-0000A5180000}"/>
    <cellStyle name="Normal 2 51 3 2 2" xfId="4949" xr:uid="{00000000-0005-0000-0000-0000A6180000}"/>
    <cellStyle name="Normal 2 51 3 2 2 2" xfId="22720" xr:uid="{00000000-0005-0000-0000-0000A7180000}"/>
    <cellStyle name="Normal 2 51 3 2 3" xfId="4950" xr:uid="{00000000-0005-0000-0000-0000A8180000}"/>
    <cellStyle name="Normal 2 51 3 2 3 2" xfId="22721" xr:uid="{00000000-0005-0000-0000-0000A9180000}"/>
    <cellStyle name="Normal 2 51 3 2 4" xfId="4951" xr:uid="{00000000-0005-0000-0000-0000AA180000}"/>
    <cellStyle name="Normal 2 51 3 2 4 2" xfId="22722" xr:uid="{00000000-0005-0000-0000-0000AB180000}"/>
    <cellStyle name="Normal 2 51 3 2 5" xfId="4952" xr:uid="{00000000-0005-0000-0000-0000AC180000}"/>
    <cellStyle name="Normal 2 51 3 2 5 2" xfId="22723" xr:uid="{00000000-0005-0000-0000-0000AD180000}"/>
    <cellStyle name="Normal 2 51 3 2 6" xfId="4953" xr:uid="{00000000-0005-0000-0000-0000AE180000}"/>
    <cellStyle name="Normal 2 51 3 2 6 2" xfId="22724" xr:uid="{00000000-0005-0000-0000-0000AF180000}"/>
    <cellStyle name="Normal 2 51 3 2 7" xfId="4954" xr:uid="{00000000-0005-0000-0000-0000B0180000}"/>
    <cellStyle name="Normal 2 51 3 2 7 2" xfId="22725" xr:uid="{00000000-0005-0000-0000-0000B1180000}"/>
    <cellStyle name="Normal 2 51 3 2 8" xfId="4955" xr:uid="{00000000-0005-0000-0000-0000B2180000}"/>
    <cellStyle name="Normal 2 51 3 2 8 2" xfId="22726" xr:uid="{00000000-0005-0000-0000-0000B3180000}"/>
    <cellStyle name="Normal 2 51 3 2 9" xfId="4956" xr:uid="{00000000-0005-0000-0000-0000B4180000}"/>
    <cellStyle name="Normal 2 51 3 2 9 2" xfId="22727" xr:uid="{00000000-0005-0000-0000-0000B5180000}"/>
    <cellStyle name="Normal 2 51 3 3" xfId="4957" xr:uid="{00000000-0005-0000-0000-0000B6180000}"/>
    <cellStyle name="Normal 2 51 3 3 2" xfId="22728" xr:uid="{00000000-0005-0000-0000-0000B7180000}"/>
    <cellStyle name="Normal 2 51 3 4" xfId="4958" xr:uid="{00000000-0005-0000-0000-0000B8180000}"/>
    <cellStyle name="Normal 2 51 3 4 2" xfId="22729" xr:uid="{00000000-0005-0000-0000-0000B9180000}"/>
    <cellStyle name="Normal 2 51 3 5" xfId="4959" xr:uid="{00000000-0005-0000-0000-0000BA180000}"/>
    <cellStyle name="Normal 2 51 3 5 2" xfId="22730" xr:uid="{00000000-0005-0000-0000-0000BB180000}"/>
    <cellStyle name="Normal 2 51 3 6" xfId="4960" xr:uid="{00000000-0005-0000-0000-0000BC180000}"/>
    <cellStyle name="Normal 2 51 3 6 2" xfId="22731" xr:uid="{00000000-0005-0000-0000-0000BD180000}"/>
    <cellStyle name="Normal 2 51 3 7" xfId="4961" xr:uid="{00000000-0005-0000-0000-0000BE180000}"/>
    <cellStyle name="Normal 2 51 3 7 2" xfId="22732" xr:uid="{00000000-0005-0000-0000-0000BF180000}"/>
    <cellStyle name="Normal 2 51 3 8" xfId="4962" xr:uid="{00000000-0005-0000-0000-0000C0180000}"/>
    <cellStyle name="Normal 2 51 3 8 2" xfId="22733" xr:uid="{00000000-0005-0000-0000-0000C1180000}"/>
    <cellStyle name="Normal 2 51 3 9" xfId="4963" xr:uid="{00000000-0005-0000-0000-0000C2180000}"/>
    <cellStyle name="Normal 2 51 3 9 2" xfId="22734" xr:uid="{00000000-0005-0000-0000-0000C3180000}"/>
    <cellStyle name="Normal 2 51 4" xfId="4964" xr:uid="{00000000-0005-0000-0000-0000C4180000}"/>
    <cellStyle name="Normal 2 51 4 10" xfId="4965" xr:uid="{00000000-0005-0000-0000-0000C5180000}"/>
    <cellStyle name="Normal 2 51 4 10 2" xfId="22736" xr:uid="{00000000-0005-0000-0000-0000C6180000}"/>
    <cellStyle name="Normal 2 51 4 11" xfId="4966" xr:uid="{00000000-0005-0000-0000-0000C7180000}"/>
    <cellStyle name="Normal 2 51 4 11 2" xfId="22737" xr:uid="{00000000-0005-0000-0000-0000C8180000}"/>
    <cellStyle name="Normal 2 51 4 12" xfId="4967" xr:uid="{00000000-0005-0000-0000-0000C9180000}"/>
    <cellStyle name="Normal 2 51 4 12 2" xfId="22738" xr:uid="{00000000-0005-0000-0000-0000CA180000}"/>
    <cellStyle name="Normal 2 51 4 13" xfId="4968" xr:uid="{00000000-0005-0000-0000-0000CB180000}"/>
    <cellStyle name="Normal 2 51 4 13 2" xfId="22739" xr:uid="{00000000-0005-0000-0000-0000CC180000}"/>
    <cellStyle name="Normal 2 51 4 14" xfId="4969" xr:uid="{00000000-0005-0000-0000-0000CD180000}"/>
    <cellStyle name="Normal 2 51 4 14 2" xfId="22740" xr:uid="{00000000-0005-0000-0000-0000CE180000}"/>
    <cellStyle name="Normal 2 51 4 15" xfId="4970" xr:uid="{00000000-0005-0000-0000-0000CF180000}"/>
    <cellStyle name="Normal 2 51 4 15 2" xfId="22741" xr:uid="{00000000-0005-0000-0000-0000D0180000}"/>
    <cellStyle name="Normal 2 51 4 16" xfId="22735" xr:uid="{00000000-0005-0000-0000-0000D1180000}"/>
    <cellStyle name="Normal 2 51 4 2" xfId="4971" xr:uid="{00000000-0005-0000-0000-0000D2180000}"/>
    <cellStyle name="Normal 2 51 4 2 10" xfId="4972" xr:uid="{00000000-0005-0000-0000-0000D3180000}"/>
    <cellStyle name="Normal 2 51 4 2 10 2" xfId="22743" xr:uid="{00000000-0005-0000-0000-0000D4180000}"/>
    <cellStyle name="Normal 2 51 4 2 11" xfId="4973" xr:uid="{00000000-0005-0000-0000-0000D5180000}"/>
    <cellStyle name="Normal 2 51 4 2 11 2" xfId="22744" xr:uid="{00000000-0005-0000-0000-0000D6180000}"/>
    <cellStyle name="Normal 2 51 4 2 12" xfId="4974" xr:uid="{00000000-0005-0000-0000-0000D7180000}"/>
    <cellStyle name="Normal 2 51 4 2 12 2" xfId="22745" xr:uid="{00000000-0005-0000-0000-0000D8180000}"/>
    <cellStyle name="Normal 2 51 4 2 13" xfId="4975" xr:uid="{00000000-0005-0000-0000-0000D9180000}"/>
    <cellStyle name="Normal 2 51 4 2 13 2" xfId="22746" xr:uid="{00000000-0005-0000-0000-0000DA180000}"/>
    <cellStyle name="Normal 2 51 4 2 14" xfId="4976" xr:uid="{00000000-0005-0000-0000-0000DB180000}"/>
    <cellStyle name="Normal 2 51 4 2 14 2" xfId="22747" xr:uid="{00000000-0005-0000-0000-0000DC180000}"/>
    <cellStyle name="Normal 2 51 4 2 15" xfId="22742" xr:uid="{00000000-0005-0000-0000-0000DD180000}"/>
    <cellStyle name="Normal 2 51 4 2 2" xfId="4977" xr:uid="{00000000-0005-0000-0000-0000DE180000}"/>
    <cellStyle name="Normal 2 51 4 2 2 2" xfId="22748" xr:uid="{00000000-0005-0000-0000-0000DF180000}"/>
    <cellStyle name="Normal 2 51 4 2 3" xfId="4978" xr:uid="{00000000-0005-0000-0000-0000E0180000}"/>
    <cellStyle name="Normal 2 51 4 2 3 2" xfId="22749" xr:uid="{00000000-0005-0000-0000-0000E1180000}"/>
    <cellStyle name="Normal 2 51 4 2 4" xfId="4979" xr:uid="{00000000-0005-0000-0000-0000E2180000}"/>
    <cellStyle name="Normal 2 51 4 2 4 2" xfId="22750" xr:uid="{00000000-0005-0000-0000-0000E3180000}"/>
    <cellStyle name="Normal 2 51 4 2 5" xfId="4980" xr:uid="{00000000-0005-0000-0000-0000E4180000}"/>
    <cellStyle name="Normal 2 51 4 2 5 2" xfId="22751" xr:uid="{00000000-0005-0000-0000-0000E5180000}"/>
    <cellStyle name="Normal 2 51 4 2 6" xfId="4981" xr:uid="{00000000-0005-0000-0000-0000E6180000}"/>
    <cellStyle name="Normal 2 51 4 2 6 2" xfId="22752" xr:uid="{00000000-0005-0000-0000-0000E7180000}"/>
    <cellStyle name="Normal 2 51 4 2 7" xfId="4982" xr:uid="{00000000-0005-0000-0000-0000E8180000}"/>
    <cellStyle name="Normal 2 51 4 2 7 2" xfId="22753" xr:uid="{00000000-0005-0000-0000-0000E9180000}"/>
    <cellStyle name="Normal 2 51 4 2 8" xfId="4983" xr:uid="{00000000-0005-0000-0000-0000EA180000}"/>
    <cellStyle name="Normal 2 51 4 2 8 2" xfId="22754" xr:uid="{00000000-0005-0000-0000-0000EB180000}"/>
    <cellStyle name="Normal 2 51 4 2 9" xfId="4984" xr:uid="{00000000-0005-0000-0000-0000EC180000}"/>
    <cellStyle name="Normal 2 51 4 2 9 2" xfId="22755" xr:uid="{00000000-0005-0000-0000-0000ED180000}"/>
    <cellStyle name="Normal 2 51 4 3" xfId="4985" xr:uid="{00000000-0005-0000-0000-0000EE180000}"/>
    <cellStyle name="Normal 2 51 4 3 2" xfId="22756" xr:uid="{00000000-0005-0000-0000-0000EF180000}"/>
    <cellStyle name="Normal 2 51 4 4" xfId="4986" xr:uid="{00000000-0005-0000-0000-0000F0180000}"/>
    <cellStyle name="Normal 2 51 4 4 2" xfId="22757" xr:uid="{00000000-0005-0000-0000-0000F1180000}"/>
    <cellStyle name="Normal 2 51 4 5" xfId="4987" xr:uid="{00000000-0005-0000-0000-0000F2180000}"/>
    <cellStyle name="Normal 2 51 4 5 2" xfId="22758" xr:uid="{00000000-0005-0000-0000-0000F3180000}"/>
    <cellStyle name="Normal 2 51 4 6" xfId="4988" xr:uid="{00000000-0005-0000-0000-0000F4180000}"/>
    <cellStyle name="Normal 2 51 4 6 2" xfId="22759" xr:uid="{00000000-0005-0000-0000-0000F5180000}"/>
    <cellStyle name="Normal 2 51 4 7" xfId="4989" xr:uid="{00000000-0005-0000-0000-0000F6180000}"/>
    <cellStyle name="Normal 2 51 4 7 2" xfId="22760" xr:uid="{00000000-0005-0000-0000-0000F7180000}"/>
    <cellStyle name="Normal 2 51 4 8" xfId="4990" xr:uid="{00000000-0005-0000-0000-0000F8180000}"/>
    <cellStyle name="Normal 2 51 4 8 2" xfId="22761" xr:uid="{00000000-0005-0000-0000-0000F9180000}"/>
    <cellStyle name="Normal 2 51 4 9" xfId="4991" xr:uid="{00000000-0005-0000-0000-0000FA180000}"/>
    <cellStyle name="Normal 2 51 4 9 2" xfId="22762" xr:uid="{00000000-0005-0000-0000-0000FB180000}"/>
    <cellStyle name="Normal 2 51 5" xfId="4992" xr:uid="{00000000-0005-0000-0000-0000FC180000}"/>
    <cellStyle name="Normal 2 51 5 10" xfId="4993" xr:uid="{00000000-0005-0000-0000-0000FD180000}"/>
    <cellStyle name="Normal 2 51 5 10 2" xfId="22764" xr:uid="{00000000-0005-0000-0000-0000FE180000}"/>
    <cellStyle name="Normal 2 51 5 11" xfId="4994" xr:uid="{00000000-0005-0000-0000-0000FF180000}"/>
    <cellStyle name="Normal 2 51 5 11 2" xfId="22765" xr:uid="{00000000-0005-0000-0000-000000190000}"/>
    <cellStyle name="Normal 2 51 5 12" xfId="4995" xr:uid="{00000000-0005-0000-0000-000001190000}"/>
    <cellStyle name="Normal 2 51 5 12 2" xfId="22766" xr:uid="{00000000-0005-0000-0000-000002190000}"/>
    <cellStyle name="Normal 2 51 5 13" xfId="4996" xr:uid="{00000000-0005-0000-0000-000003190000}"/>
    <cellStyle name="Normal 2 51 5 13 2" xfId="22767" xr:uid="{00000000-0005-0000-0000-000004190000}"/>
    <cellStyle name="Normal 2 51 5 14" xfId="4997" xr:uid="{00000000-0005-0000-0000-000005190000}"/>
    <cellStyle name="Normal 2 51 5 14 2" xfId="22768" xr:uid="{00000000-0005-0000-0000-000006190000}"/>
    <cellStyle name="Normal 2 51 5 15" xfId="22763" xr:uid="{00000000-0005-0000-0000-000007190000}"/>
    <cellStyle name="Normal 2 51 5 2" xfId="4998" xr:uid="{00000000-0005-0000-0000-000008190000}"/>
    <cellStyle name="Normal 2 51 5 2 2" xfId="22769" xr:uid="{00000000-0005-0000-0000-000009190000}"/>
    <cellStyle name="Normal 2 51 5 3" xfId="4999" xr:uid="{00000000-0005-0000-0000-00000A190000}"/>
    <cellStyle name="Normal 2 51 5 3 2" xfId="22770" xr:uid="{00000000-0005-0000-0000-00000B190000}"/>
    <cellStyle name="Normal 2 51 5 4" xfId="5000" xr:uid="{00000000-0005-0000-0000-00000C190000}"/>
    <cellStyle name="Normal 2 51 5 4 2" xfId="22771" xr:uid="{00000000-0005-0000-0000-00000D190000}"/>
    <cellStyle name="Normal 2 51 5 5" xfId="5001" xr:uid="{00000000-0005-0000-0000-00000E190000}"/>
    <cellStyle name="Normal 2 51 5 5 2" xfId="22772" xr:uid="{00000000-0005-0000-0000-00000F190000}"/>
    <cellStyle name="Normal 2 51 5 6" xfId="5002" xr:uid="{00000000-0005-0000-0000-000010190000}"/>
    <cellStyle name="Normal 2 51 5 6 2" xfId="22773" xr:uid="{00000000-0005-0000-0000-000011190000}"/>
    <cellStyle name="Normal 2 51 5 7" xfId="5003" xr:uid="{00000000-0005-0000-0000-000012190000}"/>
    <cellStyle name="Normal 2 51 5 7 2" xfId="22774" xr:uid="{00000000-0005-0000-0000-000013190000}"/>
    <cellStyle name="Normal 2 51 5 8" xfId="5004" xr:uid="{00000000-0005-0000-0000-000014190000}"/>
    <cellStyle name="Normal 2 51 5 8 2" xfId="22775" xr:uid="{00000000-0005-0000-0000-000015190000}"/>
    <cellStyle name="Normal 2 51 5 9" xfId="5005" xr:uid="{00000000-0005-0000-0000-000016190000}"/>
    <cellStyle name="Normal 2 51 5 9 2" xfId="22776" xr:uid="{00000000-0005-0000-0000-000017190000}"/>
    <cellStyle name="Normal 2 51 6" xfId="5006" xr:uid="{00000000-0005-0000-0000-000018190000}"/>
    <cellStyle name="Normal 2 51 6 10" xfId="5007" xr:uid="{00000000-0005-0000-0000-000019190000}"/>
    <cellStyle name="Normal 2 51 6 10 2" xfId="22778" xr:uid="{00000000-0005-0000-0000-00001A190000}"/>
    <cellStyle name="Normal 2 51 6 11" xfId="5008" xr:uid="{00000000-0005-0000-0000-00001B190000}"/>
    <cellStyle name="Normal 2 51 6 11 2" xfId="22779" xr:uid="{00000000-0005-0000-0000-00001C190000}"/>
    <cellStyle name="Normal 2 51 6 12" xfId="5009" xr:uid="{00000000-0005-0000-0000-00001D190000}"/>
    <cellStyle name="Normal 2 51 6 12 2" xfId="22780" xr:uid="{00000000-0005-0000-0000-00001E190000}"/>
    <cellStyle name="Normal 2 51 6 13" xfId="5010" xr:uid="{00000000-0005-0000-0000-00001F190000}"/>
    <cellStyle name="Normal 2 51 6 13 2" xfId="22781" xr:uid="{00000000-0005-0000-0000-000020190000}"/>
    <cellStyle name="Normal 2 51 6 14" xfId="5011" xr:uid="{00000000-0005-0000-0000-000021190000}"/>
    <cellStyle name="Normal 2 51 6 14 2" xfId="22782" xr:uid="{00000000-0005-0000-0000-000022190000}"/>
    <cellStyle name="Normal 2 51 6 15" xfId="22777" xr:uid="{00000000-0005-0000-0000-000023190000}"/>
    <cellStyle name="Normal 2 51 6 2" xfId="5012" xr:uid="{00000000-0005-0000-0000-000024190000}"/>
    <cellStyle name="Normal 2 51 6 2 2" xfId="22783" xr:uid="{00000000-0005-0000-0000-000025190000}"/>
    <cellStyle name="Normal 2 51 6 3" xfId="5013" xr:uid="{00000000-0005-0000-0000-000026190000}"/>
    <cellStyle name="Normal 2 51 6 3 2" xfId="22784" xr:uid="{00000000-0005-0000-0000-000027190000}"/>
    <cellStyle name="Normal 2 51 6 4" xfId="5014" xr:uid="{00000000-0005-0000-0000-000028190000}"/>
    <cellStyle name="Normal 2 51 6 4 2" xfId="22785" xr:uid="{00000000-0005-0000-0000-000029190000}"/>
    <cellStyle name="Normal 2 51 6 5" xfId="5015" xr:uid="{00000000-0005-0000-0000-00002A190000}"/>
    <cellStyle name="Normal 2 51 6 5 2" xfId="22786" xr:uid="{00000000-0005-0000-0000-00002B190000}"/>
    <cellStyle name="Normal 2 51 6 6" xfId="5016" xr:uid="{00000000-0005-0000-0000-00002C190000}"/>
    <cellStyle name="Normal 2 51 6 6 2" xfId="22787" xr:uid="{00000000-0005-0000-0000-00002D190000}"/>
    <cellStyle name="Normal 2 51 6 7" xfId="5017" xr:uid="{00000000-0005-0000-0000-00002E190000}"/>
    <cellStyle name="Normal 2 51 6 7 2" xfId="22788" xr:uid="{00000000-0005-0000-0000-00002F190000}"/>
    <cellStyle name="Normal 2 51 6 8" xfId="5018" xr:uid="{00000000-0005-0000-0000-000030190000}"/>
    <cellStyle name="Normal 2 51 6 8 2" xfId="22789" xr:uid="{00000000-0005-0000-0000-000031190000}"/>
    <cellStyle name="Normal 2 51 6 9" xfId="5019" xr:uid="{00000000-0005-0000-0000-000032190000}"/>
    <cellStyle name="Normal 2 51 6 9 2" xfId="22790" xr:uid="{00000000-0005-0000-0000-000033190000}"/>
    <cellStyle name="Normal 2 51 7" xfId="5020" xr:uid="{00000000-0005-0000-0000-000034190000}"/>
    <cellStyle name="Normal 2 51 7 10" xfId="5021" xr:uid="{00000000-0005-0000-0000-000035190000}"/>
    <cellStyle name="Normal 2 51 7 10 2" xfId="22792" xr:uid="{00000000-0005-0000-0000-000036190000}"/>
    <cellStyle name="Normal 2 51 7 11" xfId="5022" xr:uid="{00000000-0005-0000-0000-000037190000}"/>
    <cellStyle name="Normal 2 51 7 11 2" xfId="22793" xr:uid="{00000000-0005-0000-0000-000038190000}"/>
    <cellStyle name="Normal 2 51 7 12" xfId="5023" xr:uid="{00000000-0005-0000-0000-000039190000}"/>
    <cellStyle name="Normal 2 51 7 12 2" xfId="22794" xr:uid="{00000000-0005-0000-0000-00003A190000}"/>
    <cellStyle name="Normal 2 51 7 13" xfId="5024" xr:uid="{00000000-0005-0000-0000-00003B190000}"/>
    <cellStyle name="Normal 2 51 7 13 2" xfId="22795" xr:uid="{00000000-0005-0000-0000-00003C190000}"/>
    <cellStyle name="Normal 2 51 7 14" xfId="5025" xr:uid="{00000000-0005-0000-0000-00003D190000}"/>
    <cellStyle name="Normal 2 51 7 14 2" xfId="22796" xr:uid="{00000000-0005-0000-0000-00003E190000}"/>
    <cellStyle name="Normal 2 51 7 15" xfId="22791" xr:uid="{00000000-0005-0000-0000-00003F190000}"/>
    <cellStyle name="Normal 2 51 7 2" xfId="5026" xr:uid="{00000000-0005-0000-0000-000040190000}"/>
    <cellStyle name="Normal 2 51 7 2 2" xfId="22797" xr:uid="{00000000-0005-0000-0000-000041190000}"/>
    <cellStyle name="Normal 2 51 7 3" xfId="5027" xr:uid="{00000000-0005-0000-0000-000042190000}"/>
    <cellStyle name="Normal 2 51 7 3 2" xfId="22798" xr:uid="{00000000-0005-0000-0000-000043190000}"/>
    <cellStyle name="Normal 2 51 7 4" xfId="5028" xr:uid="{00000000-0005-0000-0000-000044190000}"/>
    <cellStyle name="Normal 2 51 7 4 2" xfId="22799" xr:uid="{00000000-0005-0000-0000-000045190000}"/>
    <cellStyle name="Normal 2 51 7 5" xfId="5029" xr:uid="{00000000-0005-0000-0000-000046190000}"/>
    <cellStyle name="Normal 2 51 7 5 2" xfId="22800" xr:uid="{00000000-0005-0000-0000-000047190000}"/>
    <cellStyle name="Normal 2 51 7 6" xfId="5030" xr:uid="{00000000-0005-0000-0000-000048190000}"/>
    <cellStyle name="Normal 2 51 7 6 2" xfId="22801" xr:uid="{00000000-0005-0000-0000-000049190000}"/>
    <cellStyle name="Normal 2 51 7 7" xfId="5031" xr:uid="{00000000-0005-0000-0000-00004A190000}"/>
    <cellStyle name="Normal 2 51 7 7 2" xfId="22802" xr:uid="{00000000-0005-0000-0000-00004B190000}"/>
    <cellStyle name="Normal 2 51 7 8" xfId="5032" xr:uid="{00000000-0005-0000-0000-00004C190000}"/>
    <cellStyle name="Normal 2 51 7 8 2" xfId="22803" xr:uid="{00000000-0005-0000-0000-00004D190000}"/>
    <cellStyle name="Normal 2 51 7 9" xfId="5033" xr:uid="{00000000-0005-0000-0000-00004E190000}"/>
    <cellStyle name="Normal 2 51 7 9 2" xfId="22804" xr:uid="{00000000-0005-0000-0000-00004F190000}"/>
    <cellStyle name="Normal 2 51 8" xfId="5034" xr:uid="{00000000-0005-0000-0000-000050190000}"/>
    <cellStyle name="Normal 2 51 8 10" xfId="5035" xr:uid="{00000000-0005-0000-0000-000051190000}"/>
    <cellStyle name="Normal 2 51 8 10 2" xfId="22806" xr:uid="{00000000-0005-0000-0000-000052190000}"/>
    <cellStyle name="Normal 2 51 8 11" xfId="5036" xr:uid="{00000000-0005-0000-0000-000053190000}"/>
    <cellStyle name="Normal 2 51 8 11 2" xfId="22807" xr:uid="{00000000-0005-0000-0000-000054190000}"/>
    <cellStyle name="Normal 2 51 8 12" xfId="5037" xr:uid="{00000000-0005-0000-0000-000055190000}"/>
    <cellStyle name="Normal 2 51 8 12 2" xfId="22808" xr:uid="{00000000-0005-0000-0000-000056190000}"/>
    <cellStyle name="Normal 2 51 8 13" xfId="5038" xr:uid="{00000000-0005-0000-0000-000057190000}"/>
    <cellStyle name="Normal 2 51 8 13 2" xfId="22809" xr:uid="{00000000-0005-0000-0000-000058190000}"/>
    <cellStyle name="Normal 2 51 8 14" xfId="5039" xr:uid="{00000000-0005-0000-0000-000059190000}"/>
    <cellStyle name="Normal 2 51 8 14 2" xfId="22810" xr:uid="{00000000-0005-0000-0000-00005A190000}"/>
    <cellStyle name="Normal 2 51 8 15" xfId="22805" xr:uid="{00000000-0005-0000-0000-00005B190000}"/>
    <cellStyle name="Normal 2 51 8 2" xfId="5040" xr:uid="{00000000-0005-0000-0000-00005C190000}"/>
    <cellStyle name="Normal 2 51 8 2 2" xfId="22811" xr:uid="{00000000-0005-0000-0000-00005D190000}"/>
    <cellStyle name="Normal 2 51 8 3" xfId="5041" xr:uid="{00000000-0005-0000-0000-00005E190000}"/>
    <cellStyle name="Normal 2 51 8 3 2" xfId="22812" xr:uid="{00000000-0005-0000-0000-00005F190000}"/>
    <cellStyle name="Normal 2 51 8 4" xfId="5042" xr:uid="{00000000-0005-0000-0000-000060190000}"/>
    <cellStyle name="Normal 2 51 8 4 2" xfId="22813" xr:uid="{00000000-0005-0000-0000-000061190000}"/>
    <cellStyle name="Normal 2 51 8 5" xfId="5043" xr:uid="{00000000-0005-0000-0000-000062190000}"/>
    <cellStyle name="Normal 2 51 8 5 2" xfId="22814" xr:uid="{00000000-0005-0000-0000-000063190000}"/>
    <cellStyle name="Normal 2 51 8 6" xfId="5044" xr:uid="{00000000-0005-0000-0000-000064190000}"/>
    <cellStyle name="Normal 2 51 8 6 2" xfId="22815" xr:uid="{00000000-0005-0000-0000-000065190000}"/>
    <cellStyle name="Normal 2 51 8 7" xfId="5045" xr:uid="{00000000-0005-0000-0000-000066190000}"/>
    <cellStyle name="Normal 2 51 8 7 2" xfId="22816" xr:uid="{00000000-0005-0000-0000-000067190000}"/>
    <cellStyle name="Normal 2 51 8 8" xfId="5046" xr:uid="{00000000-0005-0000-0000-000068190000}"/>
    <cellStyle name="Normal 2 51 8 8 2" xfId="22817" xr:uid="{00000000-0005-0000-0000-000069190000}"/>
    <cellStyle name="Normal 2 51 8 9" xfId="5047" xr:uid="{00000000-0005-0000-0000-00006A190000}"/>
    <cellStyle name="Normal 2 51 8 9 2" xfId="22818" xr:uid="{00000000-0005-0000-0000-00006B190000}"/>
    <cellStyle name="Normal 2 51 9" xfId="5048" xr:uid="{00000000-0005-0000-0000-00006C190000}"/>
    <cellStyle name="Normal 2 51 9 10" xfId="5049" xr:uid="{00000000-0005-0000-0000-00006D190000}"/>
    <cellStyle name="Normal 2 51 9 10 2" xfId="22820" xr:uid="{00000000-0005-0000-0000-00006E190000}"/>
    <cellStyle name="Normal 2 51 9 11" xfId="5050" xr:uid="{00000000-0005-0000-0000-00006F190000}"/>
    <cellStyle name="Normal 2 51 9 11 2" xfId="22821" xr:uid="{00000000-0005-0000-0000-000070190000}"/>
    <cellStyle name="Normal 2 51 9 12" xfId="5051" xr:uid="{00000000-0005-0000-0000-000071190000}"/>
    <cellStyle name="Normal 2 51 9 12 2" xfId="22822" xr:uid="{00000000-0005-0000-0000-000072190000}"/>
    <cellStyle name="Normal 2 51 9 13" xfId="5052" xr:uid="{00000000-0005-0000-0000-000073190000}"/>
    <cellStyle name="Normal 2 51 9 13 2" xfId="22823" xr:uid="{00000000-0005-0000-0000-000074190000}"/>
    <cellStyle name="Normal 2 51 9 14" xfId="5053" xr:uid="{00000000-0005-0000-0000-000075190000}"/>
    <cellStyle name="Normal 2 51 9 14 2" xfId="22824" xr:uid="{00000000-0005-0000-0000-000076190000}"/>
    <cellStyle name="Normal 2 51 9 15" xfId="22819" xr:uid="{00000000-0005-0000-0000-000077190000}"/>
    <cellStyle name="Normal 2 51 9 2" xfId="5054" xr:uid="{00000000-0005-0000-0000-000078190000}"/>
    <cellStyle name="Normal 2 51 9 2 2" xfId="22825" xr:uid="{00000000-0005-0000-0000-000079190000}"/>
    <cellStyle name="Normal 2 51 9 3" xfId="5055" xr:uid="{00000000-0005-0000-0000-00007A190000}"/>
    <cellStyle name="Normal 2 51 9 3 2" xfId="22826" xr:uid="{00000000-0005-0000-0000-00007B190000}"/>
    <cellStyle name="Normal 2 51 9 4" xfId="5056" xr:uid="{00000000-0005-0000-0000-00007C190000}"/>
    <cellStyle name="Normal 2 51 9 4 2" xfId="22827" xr:uid="{00000000-0005-0000-0000-00007D190000}"/>
    <cellStyle name="Normal 2 51 9 5" xfId="5057" xr:uid="{00000000-0005-0000-0000-00007E190000}"/>
    <cellStyle name="Normal 2 51 9 5 2" xfId="22828" xr:uid="{00000000-0005-0000-0000-00007F190000}"/>
    <cellStyle name="Normal 2 51 9 6" xfId="5058" xr:uid="{00000000-0005-0000-0000-000080190000}"/>
    <cellStyle name="Normal 2 51 9 6 2" xfId="22829" xr:uid="{00000000-0005-0000-0000-000081190000}"/>
    <cellStyle name="Normal 2 51 9 7" xfId="5059" xr:uid="{00000000-0005-0000-0000-000082190000}"/>
    <cellStyle name="Normal 2 51 9 7 2" xfId="22830" xr:uid="{00000000-0005-0000-0000-000083190000}"/>
    <cellStyle name="Normal 2 51 9 8" xfId="5060" xr:uid="{00000000-0005-0000-0000-000084190000}"/>
    <cellStyle name="Normal 2 51 9 8 2" xfId="22831" xr:uid="{00000000-0005-0000-0000-000085190000}"/>
    <cellStyle name="Normal 2 51 9 9" xfId="5061" xr:uid="{00000000-0005-0000-0000-000086190000}"/>
    <cellStyle name="Normal 2 51 9 9 2" xfId="22832" xr:uid="{00000000-0005-0000-0000-000087190000}"/>
    <cellStyle name="Normal 2 52" xfId="5062" xr:uid="{00000000-0005-0000-0000-000088190000}"/>
    <cellStyle name="Normal 2 52 10" xfId="5063" xr:uid="{00000000-0005-0000-0000-000089190000}"/>
    <cellStyle name="Normal 2 52 10 10" xfId="5064" xr:uid="{00000000-0005-0000-0000-00008A190000}"/>
    <cellStyle name="Normal 2 52 10 10 2" xfId="22835" xr:uid="{00000000-0005-0000-0000-00008B190000}"/>
    <cellStyle name="Normal 2 52 10 11" xfId="5065" xr:uid="{00000000-0005-0000-0000-00008C190000}"/>
    <cellStyle name="Normal 2 52 10 11 2" xfId="22836" xr:uid="{00000000-0005-0000-0000-00008D190000}"/>
    <cellStyle name="Normal 2 52 10 12" xfId="5066" xr:uid="{00000000-0005-0000-0000-00008E190000}"/>
    <cellStyle name="Normal 2 52 10 12 2" xfId="22837" xr:uid="{00000000-0005-0000-0000-00008F190000}"/>
    <cellStyle name="Normal 2 52 10 13" xfId="5067" xr:uid="{00000000-0005-0000-0000-000090190000}"/>
    <cellStyle name="Normal 2 52 10 13 2" xfId="22838" xr:uid="{00000000-0005-0000-0000-000091190000}"/>
    <cellStyle name="Normal 2 52 10 14" xfId="5068" xr:uid="{00000000-0005-0000-0000-000092190000}"/>
    <cellStyle name="Normal 2 52 10 14 2" xfId="22839" xr:uid="{00000000-0005-0000-0000-000093190000}"/>
    <cellStyle name="Normal 2 52 10 15" xfId="22834" xr:uid="{00000000-0005-0000-0000-000094190000}"/>
    <cellStyle name="Normal 2 52 10 2" xfId="5069" xr:uid="{00000000-0005-0000-0000-000095190000}"/>
    <cellStyle name="Normal 2 52 10 2 2" xfId="22840" xr:uid="{00000000-0005-0000-0000-000096190000}"/>
    <cellStyle name="Normal 2 52 10 3" xfId="5070" xr:uid="{00000000-0005-0000-0000-000097190000}"/>
    <cellStyle name="Normal 2 52 10 3 2" xfId="22841" xr:uid="{00000000-0005-0000-0000-000098190000}"/>
    <cellStyle name="Normal 2 52 10 4" xfId="5071" xr:uid="{00000000-0005-0000-0000-000099190000}"/>
    <cellStyle name="Normal 2 52 10 4 2" xfId="22842" xr:uid="{00000000-0005-0000-0000-00009A190000}"/>
    <cellStyle name="Normal 2 52 10 5" xfId="5072" xr:uid="{00000000-0005-0000-0000-00009B190000}"/>
    <cellStyle name="Normal 2 52 10 5 2" xfId="22843" xr:uid="{00000000-0005-0000-0000-00009C190000}"/>
    <cellStyle name="Normal 2 52 10 6" xfId="5073" xr:uid="{00000000-0005-0000-0000-00009D190000}"/>
    <cellStyle name="Normal 2 52 10 6 2" xfId="22844" xr:uid="{00000000-0005-0000-0000-00009E190000}"/>
    <cellStyle name="Normal 2 52 10 7" xfId="5074" xr:uid="{00000000-0005-0000-0000-00009F190000}"/>
    <cellStyle name="Normal 2 52 10 7 2" xfId="22845" xr:uid="{00000000-0005-0000-0000-0000A0190000}"/>
    <cellStyle name="Normal 2 52 10 8" xfId="5075" xr:uid="{00000000-0005-0000-0000-0000A1190000}"/>
    <cellStyle name="Normal 2 52 10 8 2" xfId="22846" xr:uid="{00000000-0005-0000-0000-0000A2190000}"/>
    <cellStyle name="Normal 2 52 10 9" xfId="5076" xr:uid="{00000000-0005-0000-0000-0000A3190000}"/>
    <cellStyle name="Normal 2 52 10 9 2" xfId="22847" xr:uid="{00000000-0005-0000-0000-0000A4190000}"/>
    <cellStyle name="Normal 2 52 11" xfId="5077" xr:uid="{00000000-0005-0000-0000-0000A5190000}"/>
    <cellStyle name="Normal 2 52 11 2" xfId="22848" xr:uid="{00000000-0005-0000-0000-0000A6190000}"/>
    <cellStyle name="Normal 2 52 12" xfId="5078" xr:uid="{00000000-0005-0000-0000-0000A7190000}"/>
    <cellStyle name="Normal 2 52 12 2" xfId="22849" xr:uid="{00000000-0005-0000-0000-0000A8190000}"/>
    <cellStyle name="Normal 2 52 13" xfId="5079" xr:uid="{00000000-0005-0000-0000-0000A9190000}"/>
    <cellStyle name="Normal 2 52 13 2" xfId="22850" xr:uid="{00000000-0005-0000-0000-0000AA190000}"/>
    <cellStyle name="Normal 2 52 14" xfId="5080" xr:uid="{00000000-0005-0000-0000-0000AB190000}"/>
    <cellStyle name="Normal 2 52 14 2" xfId="22851" xr:uid="{00000000-0005-0000-0000-0000AC190000}"/>
    <cellStyle name="Normal 2 52 15" xfId="5081" xr:uid="{00000000-0005-0000-0000-0000AD190000}"/>
    <cellStyle name="Normal 2 52 15 2" xfId="22852" xr:uid="{00000000-0005-0000-0000-0000AE190000}"/>
    <cellStyle name="Normal 2 52 16" xfId="5082" xr:uid="{00000000-0005-0000-0000-0000AF190000}"/>
    <cellStyle name="Normal 2 52 16 2" xfId="22853" xr:uid="{00000000-0005-0000-0000-0000B0190000}"/>
    <cellStyle name="Normal 2 52 17" xfId="5083" xr:uid="{00000000-0005-0000-0000-0000B1190000}"/>
    <cellStyle name="Normal 2 52 17 2" xfId="22854" xr:uid="{00000000-0005-0000-0000-0000B2190000}"/>
    <cellStyle name="Normal 2 52 18" xfId="5084" xr:uid="{00000000-0005-0000-0000-0000B3190000}"/>
    <cellStyle name="Normal 2 52 18 2" xfId="22855" xr:uid="{00000000-0005-0000-0000-0000B4190000}"/>
    <cellStyle name="Normal 2 52 19" xfId="5085" xr:uid="{00000000-0005-0000-0000-0000B5190000}"/>
    <cellStyle name="Normal 2 52 19 2" xfId="22856" xr:uid="{00000000-0005-0000-0000-0000B6190000}"/>
    <cellStyle name="Normal 2 52 2" xfId="5086" xr:uid="{00000000-0005-0000-0000-0000B7190000}"/>
    <cellStyle name="Normal 2 52 2 10" xfId="5087" xr:uid="{00000000-0005-0000-0000-0000B8190000}"/>
    <cellStyle name="Normal 2 52 2 10 2" xfId="22858" xr:uid="{00000000-0005-0000-0000-0000B9190000}"/>
    <cellStyle name="Normal 2 52 2 11" xfId="5088" xr:uid="{00000000-0005-0000-0000-0000BA190000}"/>
    <cellStyle name="Normal 2 52 2 11 2" xfId="22859" xr:uid="{00000000-0005-0000-0000-0000BB190000}"/>
    <cellStyle name="Normal 2 52 2 12" xfId="5089" xr:uid="{00000000-0005-0000-0000-0000BC190000}"/>
    <cellStyle name="Normal 2 52 2 12 2" xfId="22860" xr:uid="{00000000-0005-0000-0000-0000BD190000}"/>
    <cellStyle name="Normal 2 52 2 13" xfId="5090" xr:uid="{00000000-0005-0000-0000-0000BE190000}"/>
    <cellStyle name="Normal 2 52 2 13 2" xfId="22861" xr:uid="{00000000-0005-0000-0000-0000BF190000}"/>
    <cellStyle name="Normal 2 52 2 14" xfId="5091" xr:uid="{00000000-0005-0000-0000-0000C0190000}"/>
    <cellStyle name="Normal 2 52 2 14 2" xfId="22862" xr:uid="{00000000-0005-0000-0000-0000C1190000}"/>
    <cellStyle name="Normal 2 52 2 15" xfId="5092" xr:uid="{00000000-0005-0000-0000-0000C2190000}"/>
    <cellStyle name="Normal 2 52 2 15 2" xfId="22863" xr:uid="{00000000-0005-0000-0000-0000C3190000}"/>
    <cellStyle name="Normal 2 52 2 16" xfId="22857" xr:uid="{00000000-0005-0000-0000-0000C4190000}"/>
    <cellStyle name="Normal 2 52 2 2" xfId="5093" xr:uid="{00000000-0005-0000-0000-0000C5190000}"/>
    <cellStyle name="Normal 2 52 2 2 10" xfId="5094" xr:uid="{00000000-0005-0000-0000-0000C6190000}"/>
    <cellStyle name="Normal 2 52 2 2 10 2" xfId="22865" xr:uid="{00000000-0005-0000-0000-0000C7190000}"/>
    <cellStyle name="Normal 2 52 2 2 11" xfId="5095" xr:uid="{00000000-0005-0000-0000-0000C8190000}"/>
    <cellStyle name="Normal 2 52 2 2 11 2" xfId="22866" xr:uid="{00000000-0005-0000-0000-0000C9190000}"/>
    <cellStyle name="Normal 2 52 2 2 12" xfId="5096" xr:uid="{00000000-0005-0000-0000-0000CA190000}"/>
    <cellStyle name="Normal 2 52 2 2 12 2" xfId="22867" xr:uid="{00000000-0005-0000-0000-0000CB190000}"/>
    <cellStyle name="Normal 2 52 2 2 13" xfId="5097" xr:uid="{00000000-0005-0000-0000-0000CC190000}"/>
    <cellStyle name="Normal 2 52 2 2 13 2" xfId="22868" xr:uid="{00000000-0005-0000-0000-0000CD190000}"/>
    <cellStyle name="Normal 2 52 2 2 14" xfId="5098" xr:uid="{00000000-0005-0000-0000-0000CE190000}"/>
    <cellStyle name="Normal 2 52 2 2 14 2" xfId="22869" xr:uid="{00000000-0005-0000-0000-0000CF190000}"/>
    <cellStyle name="Normal 2 52 2 2 15" xfId="22864" xr:uid="{00000000-0005-0000-0000-0000D0190000}"/>
    <cellStyle name="Normal 2 52 2 2 2" xfId="5099" xr:uid="{00000000-0005-0000-0000-0000D1190000}"/>
    <cellStyle name="Normal 2 52 2 2 2 2" xfId="22870" xr:uid="{00000000-0005-0000-0000-0000D2190000}"/>
    <cellStyle name="Normal 2 52 2 2 3" xfId="5100" xr:uid="{00000000-0005-0000-0000-0000D3190000}"/>
    <cellStyle name="Normal 2 52 2 2 3 2" xfId="22871" xr:uid="{00000000-0005-0000-0000-0000D4190000}"/>
    <cellStyle name="Normal 2 52 2 2 4" xfId="5101" xr:uid="{00000000-0005-0000-0000-0000D5190000}"/>
    <cellStyle name="Normal 2 52 2 2 4 2" xfId="22872" xr:uid="{00000000-0005-0000-0000-0000D6190000}"/>
    <cellStyle name="Normal 2 52 2 2 5" xfId="5102" xr:uid="{00000000-0005-0000-0000-0000D7190000}"/>
    <cellStyle name="Normal 2 52 2 2 5 2" xfId="22873" xr:uid="{00000000-0005-0000-0000-0000D8190000}"/>
    <cellStyle name="Normal 2 52 2 2 6" xfId="5103" xr:uid="{00000000-0005-0000-0000-0000D9190000}"/>
    <cellStyle name="Normal 2 52 2 2 6 2" xfId="22874" xr:uid="{00000000-0005-0000-0000-0000DA190000}"/>
    <cellStyle name="Normal 2 52 2 2 7" xfId="5104" xr:uid="{00000000-0005-0000-0000-0000DB190000}"/>
    <cellStyle name="Normal 2 52 2 2 7 2" xfId="22875" xr:uid="{00000000-0005-0000-0000-0000DC190000}"/>
    <cellStyle name="Normal 2 52 2 2 8" xfId="5105" xr:uid="{00000000-0005-0000-0000-0000DD190000}"/>
    <cellStyle name="Normal 2 52 2 2 8 2" xfId="22876" xr:uid="{00000000-0005-0000-0000-0000DE190000}"/>
    <cellStyle name="Normal 2 52 2 2 9" xfId="5106" xr:uid="{00000000-0005-0000-0000-0000DF190000}"/>
    <cellStyle name="Normal 2 52 2 2 9 2" xfId="22877" xr:uid="{00000000-0005-0000-0000-0000E0190000}"/>
    <cellStyle name="Normal 2 52 2 3" xfId="5107" xr:uid="{00000000-0005-0000-0000-0000E1190000}"/>
    <cellStyle name="Normal 2 52 2 3 2" xfId="22878" xr:uid="{00000000-0005-0000-0000-0000E2190000}"/>
    <cellStyle name="Normal 2 52 2 4" xfId="5108" xr:uid="{00000000-0005-0000-0000-0000E3190000}"/>
    <cellStyle name="Normal 2 52 2 4 2" xfId="22879" xr:uid="{00000000-0005-0000-0000-0000E4190000}"/>
    <cellStyle name="Normal 2 52 2 5" xfId="5109" xr:uid="{00000000-0005-0000-0000-0000E5190000}"/>
    <cellStyle name="Normal 2 52 2 5 2" xfId="22880" xr:uid="{00000000-0005-0000-0000-0000E6190000}"/>
    <cellStyle name="Normal 2 52 2 6" xfId="5110" xr:uid="{00000000-0005-0000-0000-0000E7190000}"/>
    <cellStyle name="Normal 2 52 2 6 2" xfId="22881" xr:uid="{00000000-0005-0000-0000-0000E8190000}"/>
    <cellStyle name="Normal 2 52 2 7" xfId="5111" xr:uid="{00000000-0005-0000-0000-0000E9190000}"/>
    <cellStyle name="Normal 2 52 2 7 2" xfId="22882" xr:uid="{00000000-0005-0000-0000-0000EA190000}"/>
    <cellStyle name="Normal 2 52 2 8" xfId="5112" xr:uid="{00000000-0005-0000-0000-0000EB190000}"/>
    <cellStyle name="Normal 2 52 2 8 2" xfId="22883" xr:uid="{00000000-0005-0000-0000-0000EC190000}"/>
    <cellStyle name="Normal 2 52 2 9" xfId="5113" xr:uid="{00000000-0005-0000-0000-0000ED190000}"/>
    <cellStyle name="Normal 2 52 2 9 2" xfId="22884" xr:uid="{00000000-0005-0000-0000-0000EE190000}"/>
    <cellStyle name="Normal 2 52 20" xfId="5114" xr:uid="{00000000-0005-0000-0000-0000EF190000}"/>
    <cellStyle name="Normal 2 52 20 2" xfId="22885" xr:uid="{00000000-0005-0000-0000-0000F0190000}"/>
    <cellStyle name="Normal 2 52 21" xfId="5115" xr:uid="{00000000-0005-0000-0000-0000F1190000}"/>
    <cellStyle name="Normal 2 52 21 2" xfId="22886" xr:uid="{00000000-0005-0000-0000-0000F2190000}"/>
    <cellStyle name="Normal 2 52 22" xfId="5116" xr:uid="{00000000-0005-0000-0000-0000F3190000}"/>
    <cellStyle name="Normal 2 52 22 2" xfId="22887" xr:uid="{00000000-0005-0000-0000-0000F4190000}"/>
    <cellStyle name="Normal 2 52 23" xfId="5117" xr:uid="{00000000-0005-0000-0000-0000F5190000}"/>
    <cellStyle name="Normal 2 52 23 2" xfId="22888" xr:uid="{00000000-0005-0000-0000-0000F6190000}"/>
    <cellStyle name="Normal 2 52 24" xfId="22833" xr:uid="{00000000-0005-0000-0000-0000F7190000}"/>
    <cellStyle name="Normal 2 52 3" xfId="5118" xr:uid="{00000000-0005-0000-0000-0000F8190000}"/>
    <cellStyle name="Normal 2 52 3 10" xfId="5119" xr:uid="{00000000-0005-0000-0000-0000F9190000}"/>
    <cellStyle name="Normal 2 52 3 10 2" xfId="22890" xr:uid="{00000000-0005-0000-0000-0000FA190000}"/>
    <cellStyle name="Normal 2 52 3 11" xfId="5120" xr:uid="{00000000-0005-0000-0000-0000FB190000}"/>
    <cellStyle name="Normal 2 52 3 11 2" xfId="22891" xr:uid="{00000000-0005-0000-0000-0000FC190000}"/>
    <cellStyle name="Normal 2 52 3 12" xfId="5121" xr:uid="{00000000-0005-0000-0000-0000FD190000}"/>
    <cellStyle name="Normal 2 52 3 12 2" xfId="22892" xr:uid="{00000000-0005-0000-0000-0000FE190000}"/>
    <cellStyle name="Normal 2 52 3 13" xfId="5122" xr:uid="{00000000-0005-0000-0000-0000FF190000}"/>
    <cellStyle name="Normal 2 52 3 13 2" xfId="22893" xr:uid="{00000000-0005-0000-0000-0000001A0000}"/>
    <cellStyle name="Normal 2 52 3 14" xfId="5123" xr:uid="{00000000-0005-0000-0000-0000011A0000}"/>
    <cellStyle name="Normal 2 52 3 14 2" xfId="22894" xr:uid="{00000000-0005-0000-0000-0000021A0000}"/>
    <cellStyle name="Normal 2 52 3 15" xfId="5124" xr:uid="{00000000-0005-0000-0000-0000031A0000}"/>
    <cellStyle name="Normal 2 52 3 15 2" xfId="22895" xr:uid="{00000000-0005-0000-0000-0000041A0000}"/>
    <cellStyle name="Normal 2 52 3 16" xfId="22889" xr:uid="{00000000-0005-0000-0000-0000051A0000}"/>
    <cellStyle name="Normal 2 52 3 2" xfId="5125" xr:uid="{00000000-0005-0000-0000-0000061A0000}"/>
    <cellStyle name="Normal 2 52 3 2 10" xfId="5126" xr:uid="{00000000-0005-0000-0000-0000071A0000}"/>
    <cellStyle name="Normal 2 52 3 2 10 2" xfId="22897" xr:uid="{00000000-0005-0000-0000-0000081A0000}"/>
    <cellStyle name="Normal 2 52 3 2 11" xfId="5127" xr:uid="{00000000-0005-0000-0000-0000091A0000}"/>
    <cellStyle name="Normal 2 52 3 2 11 2" xfId="22898" xr:uid="{00000000-0005-0000-0000-00000A1A0000}"/>
    <cellStyle name="Normal 2 52 3 2 12" xfId="5128" xr:uid="{00000000-0005-0000-0000-00000B1A0000}"/>
    <cellStyle name="Normal 2 52 3 2 12 2" xfId="22899" xr:uid="{00000000-0005-0000-0000-00000C1A0000}"/>
    <cellStyle name="Normal 2 52 3 2 13" xfId="5129" xr:uid="{00000000-0005-0000-0000-00000D1A0000}"/>
    <cellStyle name="Normal 2 52 3 2 13 2" xfId="22900" xr:uid="{00000000-0005-0000-0000-00000E1A0000}"/>
    <cellStyle name="Normal 2 52 3 2 14" xfId="5130" xr:uid="{00000000-0005-0000-0000-00000F1A0000}"/>
    <cellStyle name="Normal 2 52 3 2 14 2" xfId="22901" xr:uid="{00000000-0005-0000-0000-0000101A0000}"/>
    <cellStyle name="Normal 2 52 3 2 15" xfId="22896" xr:uid="{00000000-0005-0000-0000-0000111A0000}"/>
    <cellStyle name="Normal 2 52 3 2 2" xfId="5131" xr:uid="{00000000-0005-0000-0000-0000121A0000}"/>
    <cellStyle name="Normal 2 52 3 2 2 2" xfId="22902" xr:uid="{00000000-0005-0000-0000-0000131A0000}"/>
    <cellStyle name="Normal 2 52 3 2 3" xfId="5132" xr:uid="{00000000-0005-0000-0000-0000141A0000}"/>
    <cellStyle name="Normal 2 52 3 2 3 2" xfId="22903" xr:uid="{00000000-0005-0000-0000-0000151A0000}"/>
    <cellStyle name="Normal 2 52 3 2 4" xfId="5133" xr:uid="{00000000-0005-0000-0000-0000161A0000}"/>
    <cellStyle name="Normal 2 52 3 2 4 2" xfId="22904" xr:uid="{00000000-0005-0000-0000-0000171A0000}"/>
    <cellStyle name="Normal 2 52 3 2 5" xfId="5134" xr:uid="{00000000-0005-0000-0000-0000181A0000}"/>
    <cellStyle name="Normal 2 52 3 2 5 2" xfId="22905" xr:uid="{00000000-0005-0000-0000-0000191A0000}"/>
    <cellStyle name="Normal 2 52 3 2 6" xfId="5135" xr:uid="{00000000-0005-0000-0000-00001A1A0000}"/>
    <cellStyle name="Normal 2 52 3 2 6 2" xfId="22906" xr:uid="{00000000-0005-0000-0000-00001B1A0000}"/>
    <cellStyle name="Normal 2 52 3 2 7" xfId="5136" xr:uid="{00000000-0005-0000-0000-00001C1A0000}"/>
    <cellStyle name="Normal 2 52 3 2 7 2" xfId="22907" xr:uid="{00000000-0005-0000-0000-00001D1A0000}"/>
    <cellStyle name="Normal 2 52 3 2 8" xfId="5137" xr:uid="{00000000-0005-0000-0000-00001E1A0000}"/>
    <cellStyle name="Normal 2 52 3 2 8 2" xfId="22908" xr:uid="{00000000-0005-0000-0000-00001F1A0000}"/>
    <cellStyle name="Normal 2 52 3 2 9" xfId="5138" xr:uid="{00000000-0005-0000-0000-0000201A0000}"/>
    <cellStyle name="Normal 2 52 3 2 9 2" xfId="22909" xr:uid="{00000000-0005-0000-0000-0000211A0000}"/>
    <cellStyle name="Normal 2 52 3 3" xfId="5139" xr:uid="{00000000-0005-0000-0000-0000221A0000}"/>
    <cellStyle name="Normal 2 52 3 3 2" xfId="22910" xr:uid="{00000000-0005-0000-0000-0000231A0000}"/>
    <cellStyle name="Normal 2 52 3 4" xfId="5140" xr:uid="{00000000-0005-0000-0000-0000241A0000}"/>
    <cellStyle name="Normal 2 52 3 4 2" xfId="22911" xr:uid="{00000000-0005-0000-0000-0000251A0000}"/>
    <cellStyle name="Normal 2 52 3 5" xfId="5141" xr:uid="{00000000-0005-0000-0000-0000261A0000}"/>
    <cellStyle name="Normal 2 52 3 5 2" xfId="22912" xr:uid="{00000000-0005-0000-0000-0000271A0000}"/>
    <cellStyle name="Normal 2 52 3 6" xfId="5142" xr:uid="{00000000-0005-0000-0000-0000281A0000}"/>
    <cellStyle name="Normal 2 52 3 6 2" xfId="22913" xr:uid="{00000000-0005-0000-0000-0000291A0000}"/>
    <cellStyle name="Normal 2 52 3 7" xfId="5143" xr:uid="{00000000-0005-0000-0000-00002A1A0000}"/>
    <cellStyle name="Normal 2 52 3 7 2" xfId="22914" xr:uid="{00000000-0005-0000-0000-00002B1A0000}"/>
    <cellStyle name="Normal 2 52 3 8" xfId="5144" xr:uid="{00000000-0005-0000-0000-00002C1A0000}"/>
    <cellStyle name="Normal 2 52 3 8 2" xfId="22915" xr:uid="{00000000-0005-0000-0000-00002D1A0000}"/>
    <cellStyle name="Normal 2 52 3 9" xfId="5145" xr:uid="{00000000-0005-0000-0000-00002E1A0000}"/>
    <cellStyle name="Normal 2 52 3 9 2" xfId="22916" xr:uid="{00000000-0005-0000-0000-00002F1A0000}"/>
    <cellStyle name="Normal 2 52 4" xfId="5146" xr:uid="{00000000-0005-0000-0000-0000301A0000}"/>
    <cellStyle name="Normal 2 52 4 10" xfId="5147" xr:uid="{00000000-0005-0000-0000-0000311A0000}"/>
    <cellStyle name="Normal 2 52 4 10 2" xfId="22918" xr:uid="{00000000-0005-0000-0000-0000321A0000}"/>
    <cellStyle name="Normal 2 52 4 11" xfId="5148" xr:uid="{00000000-0005-0000-0000-0000331A0000}"/>
    <cellStyle name="Normal 2 52 4 11 2" xfId="22919" xr:uid="{00000000-0005-0000-0000-0000341A0000}"/>
    <cellStyle name="Normal 2 52 4 12" xfId="5149" xr:uid="{00000000-0005-0000-0000-0000351A0000}"/>
    <cellStyle name="Normal 2 52 4 12 2" xfId="22920" xr:uid="{00000000-0005-0000-0000-0000361A0000}"/>
    <cellStyle name="Normal 2 52 4 13" xfId="5150" xr:uid="{00000000-0005-0000-0000-0000371A0000}"/>
    <cellStyle name="Normal 2 52 4 13 2" xfId="22921" xr:uid="{00000000-0005-0000-0000-0000381A0000}"/>
    <cellStyle name="Normal 2 52 4 14" xfId="5151" xr:uid="{00000000-0005-0000-0000-0000391A0000}"/>
    <cellStyle name="Normal 2 52 4 14 2" xfId="22922" xr:uid="{00000000-0005-0000-0000-00003A1A0000}"/>
    <cellStyle name="Normal 2 52 4 15" xfId="5152" xr:uid="{00000000-0005-0000-0000-00003B1A0000}"/>
    <cellStyle name="Normal 2 52 4 15 2" xfId="22923" xr:uid="{00000000-0005-0000-0000-00003C1A0000}"/>
    <cellStyle name="Normal 2 52 4 16" xfId="22917" xr:uid="{00000000-0005-0000-0000-00003D1A0000}"/>
    <cellStyle name="Normal 2 52 4 2" xfId="5153" xr:uid="{00000000-0005-0000-0000-00003E1A0000}"/>
    <cellStyle name="Normal 2 52 4 2 10" xfId="5154" xr:uid="{00000000-0005-0000-0000-00003F1A0000}"/>
    <cellStyle name="Normal 2 52 4 2 10 2" xfId="22925" xr:uid="{00000000-0005-0000-0000-0000401A0000}"/>
    <cellStyle name="Normal 2 52 4 2 11" xfId="5155" xr:uid="{00000000-0005-0000-0000-0000411A0000}"/>
    <cellStyle name="Normal 2 52 4 2 11 2" xfId="22926" xr:uid="{00000000-0005-0000-0000-0000421A0000}"/>
    <cellStyle name="Normal 2 52 4 2 12" xfId="5156" xr:uid="{00000000-0005-0000-0000-0000431A0000}"/>
    <cellStyle name="Normal 2 52 4 2 12 2" xfId="22927" xr:uid="{00000000-0005-0000-0000-0000441A0000}"/>
    <cellStyle name="Normal 2 52 4 2 13" xfId="5157" xr:uid="{00000000-0005-0000-0000-0000451A0000}"/>
    <cellStyle name="Normal 2 52 4 2 13 2" xfId="22928" xr:uid="{00000000-0005-0000-0000-0000461A0000}"/>
    <cellStyle name="Normal 2 52 4 2 14" xfId="5158" xr:uid="{00000000-0005-0000-0000-0000471A0000}"/>
    <cellStyle name="Normal 2 52 4 2 14 2" xfId="22929" xr:uid="{00000000-0005-0000-0000-0000481A0000}"/>
    <cellStyle name="Normal 2 52 4 2 15" xfId="22924" xr:uid="{00000000-0005-0000-0000-0000491A0000}"/>
    <cellStyle name="Normal 2 52 4 2 2" xfId="5159" xr:uid="{00000000-0005-0000-0000-00004A1A0000}"/>
    <cellStyle name="Normal 2 52 4 2 2 2" xfId="22930" xr:uid="{00000000-0005-0000-0000-00004B1A0000}"/>
    <cellStyle name="Normal 2 52 4 2 3" xfId="5160" xr:uid="{00000000-0005-0000-0000-00004C1A0000}"/>
    <cellStyle name="Normal 2 52 4 2 3 2" xfId="22931" xr:uid="{00000000-0005-0000-0000-00004D1A0000}"/>
    <cellStyle name="Normal 2 52 4 2 4" xfId="5161" xr:uid="{00000000-0005-0000-0000-00004E1A0000}"/>
    <cellStyle name="Normal 2 52 4 2 4 2" xfId="22932" xr:uid="{00000000-0005-0000-0000-00004F1A0000}"/>
    <cellStyle name="Normal 2 52 4 2 5" xfId="5162" xr:uid="{00000000-0005-0000-0000-0000501A0000}"/>
    <cellStyle name="Normal 2 52 4 2 5 2" xfId="22933" xr:uid="{00000000-0005-0000-0000-0000511A0000}"/>
    <cellStyle name="Normal 2 52 4 2 6" xfId="5163" xr:uid="{00000000-0005-0000-0000-0000521A0000}"/>
    <cellStyle name="Normal 2 52 4 2 6 2" xfId="22934" xr:uid="{00000000-0005-0000-0000-0000531A0000}"/>
    <cellStyle name="Normal 2 52 4 2 7" xfId="5164" xr:uid="{00000000-0005-0000-0000-0000541A0000}"/>
    <cellStyle name="Normal 2 52 4 2 7 2" xfId="22935" xr:uid="{00000000-0005-0000-0000-0000551A0000}"/>
    <cellStyle name="Normal 2 52 4 2 8" xfId="5165" xr:uid="{00000000-0005-0000-0000-0000561A0000}"/>
    <cellStyle name="Normal 2 52 4 2 8 2" xfId="22936" xr:uid="{00000000-0005-0000-0000-0000571A0000}"/>
    <cellStyle name="Normal 2 52 4 2 9" xfId="5166" xr:uid="{00000000-0005-0000-0000-0000581A0000}"/>
    <cellStyle name="Normal 2 52 4 2 9 2" xfId="22937" xr:uid="{00000000-0005-0000-0000-0000591A0000}"/>
    <cellStyle name="Normal 2 52 4 3" xfId="5167" xr:uid="{00000000-0005-0000-0000-00005A1A0000}"/>
    <cellStyle name="Normal 2 52 4 3 2" xfId="22938" xr:uid="{00000000-0005-0000-0000-00005B1A0000}"/>
    <cellStyle name="Normal 2 52 4 4" xfId="5168" xr:uid="{00000000-0005-0000-0000-00005C1A0000}"/>
    <cellStyle name="Normal 2 52 4 4 2" xfId="22939" xr:uid="{00000000-0005-0000-0000-00005D1A0000}"/>
    <cellStyle name="Normal 2 52 4 5" xfId="5169" xr:uid="{00000000-0005-0000-0000-00005E1A0000}"/>
    <cellStyle name="Normal 2 52 4 5 2" xfId="22940" xr:uid="{00000000-0005-0000-0000-00005F1A0000}"/>
    <cellStyle name="Normal 2 52 4 6" xfId="5170" xr:uid="{00000000-0005-0000-0000-0000601A0000}"/>
    <cellStyle name="Normal 2 52 4 6 2" xfId="22941" xr:uid="{00000000-0005-0000-0000-0000611A0000}"/>
    <cellStyle name="Normal 2 52 4 7" xfId="5171" xr:uid="{00000000-0005-0000-0000-0000621A0000}"/>
    <cellStyle name="Normal 2 52 4 7 2" xfId="22942" xr:uid="{00000000-0005-0000-0000-0000631A0000}"/>
    <cellStyle name="Normal 2 52 4 8" xfId="5172" xr:uid="{00000000-0005-0000-0000-0000641A0000}"/>
    <cellStyle name="Normal 2 52 4 8 2" xfId="22943" xr:uid="{00000000-0005-0000-0000-0000651A0000}"/>
    <cellStyle name="Normal 2 52 4 9" xfId="5173" xr:uid="{00000000-0005-0000-0000-0000661A0000}"/>
    <cellStyle name="Normal 2 52 4 9 2" xfId="22944" xr:uid="{00000000-0005-0000-0000-0000671A0000}"/>
    <cellStyle name="Normal 2 52 5" xfId="5174" xr:uid="{00000000-0005-0000-0000-0000681A0000}"/>
    <cellStyle name="Normal 2 52 5 10" xfId="5175" xr:uid="{00000000-0005-0000-0000-0000691A0000}"/>
    <cellStyle name="Normal 2 52 5 10 2" xfId="22946" xr:uid="{00000000-0005-0000-0000-00006A1A0000}"/>
    <cellStyle name="Normal 2 52 5 11" xfId="5176" xr:uid="{00000000-0005-0000-0000-00006B1A0000}"/>
    <cellStyle name="Normal 2 52 5 11 2" xfId="22947" xr:uid="{00000000-0005-0000-0000-00006C1A0000}"/>
    <cellStyle name="Normal 2 52 5 12" xfId="5177" xr:uid="{00000000-0005-0000-0000-00006D1A0000}"/>
    <cellStyle name="Normal 2 52 5 12 2" xfId="22948" xr:uid="{00000000-0005-0000-0000-00006E1A0000}"/>
    <cellStyle name="Normal 2 52 5 13" xfId="5178" xr:uid="{00000000-0005-0000-0000-00006F1A0000}"/>
    <cellStyle name="Normal 2 52 5 13 2" xfId="22949" xr:uid="{00000000-0005-0000-0000-0000701A0000}"/>
    <cellStyle name="Normal 2 52 5 14" xfId="5179" xr:uid="{00000000-0005-0000-0000-0000711A0000}"/>
    <cellStyle name="Normal 2 52 5 14 2" xfId="22950" xr:uid="{00000000-0005-0000-0000-0000721A0000}"/>
    <cellStyle name="Normal 2 52 5 15" xfId="22945" xr:uid="{00000000-0005-0000-0000-0000731A0000}"/>
    <cellStyle name="Normal 2 52 5 2" xfId="5180" xr:uid="{00000000-0005-0000-0000-0000741A0000}"/>
    <cellStyle name="Normal 2 52 5 2 2" xfId="22951" xr:uid="{00000000-0005-0000-0000-0000751A0000}"/>
    <cellStyle name="Normal 2 52 5 3" xfId="5181" xr:uid="{00000000-0005-0000-0000-0000761A0000}"/>
    <cellStyle name="Normal 2 52 5 3 2" xfId="22952" xr:uid="{00000000-0005-0000-0000-0000771A0000}"/>
    <cellStyle name="Normal 2 52 5 4" xfId="5182" xr:uid="{00000000-0005-0000-0000-0000781A0000}"/>
    <cellStyle name="Normal 2 52 5 4 2" xfId="22953" xr:uid="{00000000-0005-0000-0000-0000791A0000}"/>
    <cellStyle name="Normal 2 52 5 5" xfId="5183" xr:uid="{00000000-0005-0000-0000-00007A1A0000}"/>
    <cellStyle name="Normal 2 52 5 5 2" xfId="22954" xr:uid="{00000000-0005-0000-0000-00007B1A0000}"/>
    <cellStyle name="Normal 2 52 5 6" xfId="5184" xr:uid="{00000000-0005-0000-0000-00007C1A0000}"/>
    <cellStyle name="Normal 2 52 5 6 2" xfId="22955" xr:uid="{00000000-0005-0000-0000-00007D1A0000}"/>
    <cellStyle name="Normal 2 52 5 7" xfId="5185" xr:uid="{00000000-0005-0000-0000-00007E1A0000}"/>
    <cellStyle name="Normal 2 52 5 7 2" xfId="22956" xr:uid="{00000000-0005-0000-0000-00007F1A0000}"/>
    <cellStyle name="Normal 2 52 5 8" xfId="5186" xr:uid="{00000000-0005-0000-0000-0000801A0000}"/>
    <cellStyle name="Normal 2 52 5 8 2" xfId="22957" xr:uid="{00000000-0005-0000-0000-0000811A0000}"/>
    <cellStyle name="Normal 2 52 5 9" xfId="5187" xr:uid="{00000000-0005-0000-0000-0000821A0000}"/>
    <cellStyle name="Normal 2 52 5 9 2" xfId="22958" xr:uid="{00000000-0005-0000-0000-0000831A0000}"/>
    <cellStyle name="Normal 2 52 6" xfId="5188" xr:uid="{00000000-0005-0000-0000-0000841A0000}"/>
    <cellStyle name="Normal 2 52 6 10" xfId="5189" xr:uid="{00000000-0005-0000-0000-0000851A0000}"/>
    <cellStyle name="Normal 2 52 6 10 2" xfId="22960" xr:uid="{00000000-0005-0000-0000-0000861A0000}"/>
    <cellStyle name="Normal 2 52 6 11" xfId="5190" xr:uid="{00000000-0005-0000-0000-0000871A0000}"/>
    <cellStyle name="Normal 2 52 6 11 2" xfId="22961" xr:uid="{00000000-0005-0000-0000-0000881A0000}"/>
    <cellStyle name="Normal 2 52 6 12" xfId="5191" xr:uid="{00000000-0005-0000-0000-0000891A0000}"/>
    <cellStyle name="Normal 2 52 6 12 2" xfId="22962" xr:uid="{00000000-0005-0000-0000-00008A1A0000}"/>
    <cellStyle name="Normal 2 52 6 13" xfId="5192" xr:uid="{00000000-0005-0000-0000-00008B1A0000}"/>
    <cellStyle name="Normal 2 52 6 13 2" xfId="22963" xr:uid="{00000000-0005-0000-0000-00008C1A0000}"/>
    <cellStyle name="Normal 2 52 6 14" xfId="5193" xr:uid="{00000000-0005-0000-0000-00008D1A0000}"/>
    <cellStyle name="Normal 2 52 6 14 2" xfId="22964" xr:uid="{00000000-0005-0000-0000-00008E1A0000}"/>
    <cellStyle name="Normal 2 52 6 15" xfId="22959" xr:uid="{00000000-0005-0000-0000-00008F1A0000}"/>
    <cellStyle name="Normal 2 52 6 2" xfId="5194" xr:uid="{00000000-0005-0000-0000-0000901A0000}"/>
    <cellStyle name="Normal 2 52 6 2 2" xfId="22965" xr:uid="{00000000-0005-0000-0000-0000911A0000}"/>
    <cellStyle name="Normal 2 52 6 3" xfId="5195" xr:uid="{00000000-0005-0000-0000-0000921A0000}"/>
    <cellStyle name="Normal 2 52 6 3 2" xfId="22966" xr:uid="{00000000-0005-0000-0000-0000931A0000}"/>
    <cellStyle name="Normal 2 52 6 4" xfId="5196" xr:uid="{00000000-0005-0000-0000-0000941A0000}"/>
    <cellStyle name="Normal 2 52 6 4 2" xfId="22967" xr:uid="{00000000-0005-0000-0000-0000951A0000}"/>
    <cellStyle name="Normal 2 52 6 5" xfId="5197" xr:uid="{00000000-0005-0000-0000-0000961A0000}"/>
    <cellStyle name="Normal 2 52 6 5 2" xfId="22968" xr:uid="{00000000-0005-0000-0000-0000971A0000}"/>
    <cellStyle name="Normal 2 52 6 6" xfId="5198" xr:uid="{00000000-0005-0000-0000-0000981A0000}"/>
    <cellStyle name="Normal 2 52 6 6 2" xfId="22969" xr:uid="{00000000-0005-0000-0000-0000991A0000}"/>
    <cellStyle name="Normal 2 52 6 7" xfId="5199" xr:uid="{00000000-0005-0000-0000-00009A1A0000}"/>
    <cellStyle name="Normal 2 52 6 7 2" xfId="22970" xr:uid="{00000000-0005-0000-0000-00009B1A0000}"/>
    <cellStyle name="Normal 2 52 6 8" xfId="5200" xr:uid="{00000000-0005-0000-0000-00009C1A0000}"/>
    <cellStyle name="Normal 2 52 6 8 2" xfId="22971" xr:uid="{00000000-0005-0000-0000-00009D1A0000}"/>
    <cellStyle name="Normal 2 52 6 9" xfId="5201" xr:uid="{00000000-0005-0000-0000-00009E1A0000}"/>
    <cellStyle name="Normal 2 52 6 9 2" xfId="22972" xr:uid="{00000000-0005-0000-0000-00009F1A0000}"/>
    <cellStyle name="Normal 2 52 7" xfId="5202" xr:uid="{00000000-0005-0000-0000-0000A01A0000}"/>
    <cellStyle name="Normal 2 52 7 10" xfId="5203" xr:uid="{00000000-0005-0000-0000-0000A11A0000}"/>
    <cellStyle name="Normal 2 52 7 10 2" xfId="22974" xr:uid="{00000000-0005-0000-0000-0000A21A0000}"/>
    <cellStyle name="Normal 2 52 7 11" xfId="5204" xr:uid="{00000000-0005-0000-0000-0000A31A0000}"/>
    <cellStyle name="Normal 2 52 7 11 2" xfId="22975" xr:uid="{00000000-0005-0000-0000-0000A41A0000}"/>
    <cellStyle name="Normal 2 52 7 12" xfId="5205" xr:uid="{00000000-0005-0000-0000-0000A51A0000}"/>
    <cellStyle name="Normal 2 52 7 12 2" xfId="22976" xr:uid="{00000000-0005-0000-0000-0000A61A0000}"/>
    <cellStyle name="Normal 2 52 7 13" xfId="5206" xr:uid="{00000000-0005-0000-0000-0000A71A0000}"/>
    <cellStyle name="Normal 2 52 7 13 2" xfId="22977" xr:uid="{00000000-0005-0000-0000-0000A81A0000}"/>
    <cellStyle name="Normal 2 52 7 14" xfId="5207" xr:uid="{00000000-0005-0000-0000-0000A91A0000}"/>
    <cellStyle name="Normal 2 52 7 14 2" xfId="22978" xr:uid="{00000000-0005-0000-0000-0000AA1A0000}"/>
    <cellStyle name="Normal 2 52 7 15" xfId="22973" xr:uid="{00000000-0005-0000-0000-0000AB1A0000}"/>
    <cellStyle name="Normal 2 52 7 2" xfId="5208" xr:uid="{00000000-0005-0000-0000-0000AC1A0000}"/>
    <cellStyle name="Normal 2 52 7 2 2" xfId="22979" xr:uid="{00000000-0005-0000-0000-0000AD1A0000}"/>
    <cellStyle name="Normal 2 52 7 3" xfId="5209" xr:uid="{00000000-0005-0000-0000-0000AE1A0000}"/>
    <cellStyle name="Normal 2 52 7 3 2" xfId="22980" xr:uid="{00000000-0005-0000-0000-0000AF1A0000}"/>
    <cellStyle name="Normal 2 52 7 4" xfId="5210" xr:uid="{00000000-0005-0000-0000-0000B01A0000}"/>
    <cellStyle name="Normal 2 52 7 4 2" xfId="22981" xr:uid="{00000000-0005-0000-0000-0000B11A0000}"/>
    <cellStyle name="Normal 2 52 7 5" xfId="5211" xr:uid="{00000000-0005-0000-0000-0000B21A0000}"/>
    <cellStyle name="Normal 2 52 7 5 2" xfId="22982" xr:uid="{00000000-0005-0000-0000-0000B31A0000}"/>
    <cellStyle name="Normal 2 52 7 6" xfId="5212" xr:uid="{00000000-0005-0000-0000-0000B41A0000}"/>
    <cellStyle name="Normal 2 52 7 6 2" xfId="22983" xr:uid="{00000000-0005-0000-0000-0000B51A0000}"/>
    <cellStyle name="Normal 2 52 7 7" xfId="5213" xr:uid="{00000000-0005-0000-0000-0000B61A0000}"/>
    <cellStyle name="Normal 2 52 7 7 2" xfId="22984" xr:uid="{00000000-0005-0000-0000-0000B71A0000}"/>
    <cellStyle name="Normal 2 52 7 8" xfId="5214" xr:uid="{00000000-0005-0000-0000-0000B81A0000}"/>
    <cellStyle name="Normal 2 52 7 8 2" xfId="22985" xr:uid="{00000000-0005-0000-0000-0000B91A0000}"/>
    <cellStyle name="Normal 2 52 7 9" xfId="5215" xr:uid="{00000000-0005-0000-0000-0000BA1A0000}"/>
    <cellStyle name="Normal 2 52 7 9 2" xfId="22986" xr:uid="{00000000-0005-0000-0000-0000BB1A0000}"/>
    <cellStyle name="Normal 2 52 8" xfId="5216" xr:uid="{00000000-0005-0000-0000-0000BC1A0000}"/>
    <cellStyle name="Normal 2 52 8 10" xfId="5217" xr:uid="{00000000-0005-0000-0000-0000BD1A0000}"/>
    <cellStyle name="Normal 2 52 8 10 2" xfId="22988" xr:uid="{00000000-0005-0000-0000-0000BE1A0000}"/>
    <cellStyle name="Normal 2 52 8 11" xfId="5218" xr:uid="{00000000-0005-0000-0000-0000BF1A0000}"/>
    <cellStyle name="Normal 2 52 8 11 2" xfId="22989" xr:uid="{00000000-0005-0000-0000-0000C01A0000}"/>
    <cellStyle name="Normal 2 52 8 12" xfId="5219" xr:uid="{00000000-0005-0000-0000-0000C11A0000}"/>
    <cellStyle name="Normal 2 52 8 12 2" xfId="22990" xr:uid="{00000000-0005-0000-0000-0000C21A0000}"/>
    <cellStyle name="Normal 2 52 8 13" xfId="5220" xr:uid="{00000000-0005-0000-0000-0000C31A0000}"/>
    <cellStyle name="Normal 2 52 8 13 2" xfId="22991" xr:uid="{00000000-0005-0000-0000-0000C41A0000}"/>
    <cellStyle name="Normal 2 52 8 14" xfId="5221" xr:uid="{00000000-0005-0000-0000-0000C51A0000}"/>
    <cellStyle name="Normal 2 52 8 14 2" xfId="22992" xr:uid="{00000000-0005-0000-0000-0000C61A0000}"/>
    <cellStyle name="Normal 2 52 8 15" xfId="22987" xr:uid="{00000000-0005-0000-0000-0000C71A0000}"/>
    <cellStyle name="Normal 2 52 8 2" xfId="5222" xr:uid="{00000000-0005-0000-0000-0000C81A0000}"/>
    <cellStyle name="Normal 2 52 8 2 2" xfId="22993" xr:uid="{00000000-0005-0000-0000-0000C91A0000}"/>
    <cellStyle name="Normal 2 52 8 3" xfId="5223" xr:uid="{00000000-0005-0000-0000-0000CA1A0000}"/>
    <cellStyle name="Normal 2 52 8 3 2" xfId="22994" xr:uid="{00000000-0005-0000-0000-0000CB1A0000}"/>
    <cellStyle name="Normal 2 52 8 4" xfId="5224" xr:uid="{00000000-0005-0000-0000-0000CC1A0000}"/>
    <cellStyle name="Normal 2 52 8 4 2" xfId="22995" xr:uid="{00000000-0005-0000-0000-0000CD1A0000}"/>
    <cellStyle name="Normal 2 52 8 5" xfId="5225" xr:uid="{00000000-0005-0000-0000-0000CE1A0000}"/>
    <cellStyle name="Normal 2 52 8 5 2" xfId="22996" xr:uid="{00000000-0005-0000-0000-0000CF1A0000}"/>
    <cellStyle name="Normal 2 52 8 6" xfId="5226" xr:uid="{00000000-0005-0000-0000-0000D01A0000}"/>
    <cellStyle name="Normal 2 52 8 6 2" xfId="22997" xr:uid="{00000000-0005-0000-0000-0000D11A0000}"/>
    <cellStyle name="Normal 2 52 8 7" xfId="5227" xr:uid="{00000000-0005-0000-0000-0000D21A0000}"/>
    <cellStyle name="Normal 2 52 8 7 2" xfId="22998" xr:uid="{00000000-0005-0000-0000-0000D31A0000}"/>
    <cellStyle name="Normal 2 52 8 8" xfId="5228" xr:uid="{00000000-0005-0000-0000-0000D41A0000}"/>
    <cellStyle name="Normal 2 52 8 8 2" xfId="22999" xr:uid="{00000000-0005-0000-0000-0000D51A0000}"/>
    <cellStyle name="Normal 2 52 8 9" xfId="5229" xr:uid="{00000000-0005-0000-0000-0000D61A0000}"/>
    <cellStyle name="Normal 2 52 8 9 2" xfId="23000" xr:uid="{00000000-0005-0000-0000-0000D71A0000}"/>
    <cellStyle name="Normal 2 52 9" xfId="5230" xr:uid="{00000000-0005-0000-0000-0000D81A0000}"/>
    <cellStyle name="Normal 2 52 9 10" xfId="5231" xr:uid="{00000000-0005-0000-0000-0000D91A0000}"/>
    <cellStyle name="Normal 2 52 9 10 2" xfId="23002" xr:uid="{00000000-0005-0000-0000-0000DA1A0000}"/>
    <cellStyle name="Normal 2 52 9 11" xfId="5232" xr:uid="{00000000-0005-0000-0000-0000DB1A0000}"/>
    <cellStyle name="Normal 2 52 9 11 2" xfId="23003" xr:uid="{00000000-0005-0000-0000-0000DC1A0000}"/>
    <cellStyle name="Normal 2 52 9 12" xfId="5233" xr:uid="{00000000-0005-0000-0000-0000DD1A0000}"/>
    <cellStyle name="Normal 2 52 9 12 2" xfId="23004" xr:uid="{00000000-0005-0000-0000-0000DE1A0000}"/>
    <cellStyle name="Normal 2 52 9 13" xfId="5234" xr:uid="{00000000-0005-0000-0000-0000DF1A0000}"/>
    <cellStyle name="Normal 2 52 9 13 2" xfId="23005" xr:uid="{00000000-0005-0000-0000-0000E01A0000}"/>
    <cellStyle name="Normal 2 52 9 14" xfId="5235" xr:uid="{00000000-0005-0000-0000-0000E11A0000}"/>
    <cellStyle name="Normal 2 52 9 14 2" xfId="23006" xr:uid="{00000000-0005-0000-0000-0000E21A0000}"/>
    <cellStyle name="Normal 2 52 9 15" xfId="23001" xr:uid="{00000000-0005-0000-0000-0000E31A0000}"/>
    <cellStyle name="Normal 2 52 9 2" xfId="5236" xr:uid="{00000000-0005-0000-0000-0000E41A0000}"/>
    <cellStyle name="Normal 2 52 9 2 2" xfId="23007" xr:uid="{00000000-0005-0000-0000-0000E51A0000}"/>
    <cellStyle name="Normal 2 52 9 3" xfId="5237" xr:uid="{00000000-0005-0000-0000-0000E61A0000}"/>
    <cellStyle name="Normal 2 52 9 3 2" xfId="23008" xr:uid="{00000000-0005-0000-0000-0000E71A0000}"/>
    <cellStyle name="Normal 2 52 9 4" xfId="5238" xr:uid="{00000000-0005-0000-0000-0000E81A0000}"/>
    <cellStyle name="Normal 2 52 9 4 2" xfId="23009" xr:uid="{00000000-0005-0000-0000-0000E91A0000}"/>
    <cellStyle name="Normal 2 52 9 5" xfId="5239" xr:uid="{00000000-0005-0000-0000-0000EA1A0000}"/>
    <cellStyle name="Normal 2 52 9 5 2" xfId="23010" xr:uid="{00000000-0005-0000-0000-0000EB1A0000}"/>
    <cellStyle name="Normal 2 52 9 6" xfId="5240" xr:uid="{00000000-0005-0000-0000-0000EC1A0000}"/>
    <cellStyle name="Normal 2 52 9 6 2" xfId="23011" xr:uid="{00000000-0005-0000-0000-0000ED1A0000}"/>
    <cellStyle name="Normal 2 52 9 7" xfId="5241" xr:uid="{00000000-0005-0000-0000-0000EE1A0000}"/>
    <cellStyle name="Normal 2 52 9 7 2" xfId="23012" xr:uid="{00000000-0005-0000-0000-0000EF1A0000}"/>
    <cellStyle name="Normal 2 52 9 8" xfId="5242" xr:uid="{00000000-0005-0000-0000-0000F01A0000}"/>
    <cellStyle name="Normal 2 52 9 8 2" xfId="23013" xr:uid="{00000000-0005-0000-0000-0000F11A0000}"/>
    <cellStyle name="Normal 2 52 9 9" xfId="5243" xr:uid="{00000000-0005-0000-0000-0000F21A0000}"/>
    <cellStyle name="Normal 2 52 9 9 2" xfId="23014" xr:uid="{00000000-0005-0000-0000-0000F31A0000}"/>
    <cellStyle name="Normal 2 53" xfId="5244" xr:uid="{00000000-0005-0000-0000-0000F41A0000}"/>
    <cellStyle name="Normal 2 53 10" xfId="5245" xr:uid="{00000000-0005-0000-0000-0000F51A0000}"/>
    <cellStyle name="Normal 2 53 10 10" xfId="5246" xr:uid="{00000000-0005-0000-0000-0000F61A0000}"/>
    <cellStyle name="Normal 2 53 10 10 2" xfId="23017" xr:uid="{00000000-0005-0000-0000-0000F71A0000}"/>
    <cellStyle name="Normal 2 53 10 11" xfId="5247" xr:uid="{00000000-0005-0000-0000-0000F81A0000}"/>
    <cellStyle name="Normal 2 53 10 11 2" xfId="23018" xr:uid="{00000000-0005-0000-0000-0000F91A0000}"/>
    <cellStyle name="Normal 2 53 10 12" xfId="5248" xr:uid="{00000000-0005-0000-0000-0000FA1A0000}"/>
    <cellStyle name="Normal 2 53 10 12 2" xfId="23019" xr:uid="{00000000-0005-0000-0000-0000FB1A0000}"/>
    <cellStyle name="Normal 2 53 10 13" xfId="5249" xr:uid="{00000000-0005-0000-0000-0000FC1A0000}"/>
    <cellStyle name="Normal 2 53 10 13 2" xfId="23020" xr:uid="{00000000-0005-0000-0000-0000FD1A0000}"/>
    <cellStyle name="Normal 2 53 10 14" xfId="5250" xr:uid="{00000000-0005-0000-0000-0000FE1A0000}"/>
    <cellStyle name="Normal 2 53 10 14 2" xfId="23021" xr:uid="{00000000-0005-0000-0000-0000FF1A0000}"/>
    <cellStyle name="Normal 2 53 10 15" xfId="23016" xr:uid="{00000000-0005-0000-0000-0000001B0000}"/>
    <cellStyle name="Normal 2 53 10 2" xfId="5251" xr:uid="{00000000-0005-0000-0000-0000011B0000}"/>
    <cellStyle name="Normal 2 53 10 2 2" xfId="23022" xr:uid="{00000000-0005-0000-0000-0000021B0000}"/>
    <cellStyle name="Normal 2 53 10 3" xfId="5252" xr:uid="{00000000-0005-0000-0000-0000031B0000}"/>
    <cellStyle name="Normal 2 53 10 3 2" xfId="23023" xr:uid="{00000000-0005-0000-0000-0000041B0000}"/>
    <cellStyle name="Normal 2 53 10 4" xfId="5253" xr:uid="{00000000-0005-0000-0000-0000051B0000}"/>
    <cellStyle name="Normal 2 53 10 4 2" xfId="23024" xr:uid="{00000000-0005-0000-0000-0000061B0000}"/>
    <cellStyle name="Normal 2 53 10 5" xfId="5254" xr:uid="{00000000-0005-0000-0000-0000071B0000}"/>
    <cellStyle name="Normal 2 53 10 5 2" xfId="23025" xr:uid="{00000000-0005-0000-0000-0000081B0000}"/>
    <cellStyle name="Normal 2 53 10 6" xfId="5255" xr:uid="{00000000-0005-0000-0000-0000091B0000}"/>
    <cellStyle name="Normal 2 53 10 6 2" xfId="23026" xr:uid="{00000000-0005-0000-0000-00000A1B0000}"/>
    <cellStyle name="Normal 2 53 10 7" xfId="5256" xr:uid="{00000000-0005-0000-0000-00000B1B0000}"/>
    <cellStyle name="Normal 2 53 10 7 2" xfId="23027" xr:uid="{00000000-0005-0000-0000-00000C1B0000}"/>
    <cellStyle name="Normal 2 53 10 8" xfId="5257" xr:uid="{00000000-0005-0000-0000-00000D1B0000}"/>
    <cellStyle name="Normal 2 53 10 8 2" xfId="23028" xr:uid="{00000000-0005-0000-0000-00000E1B0000}"/>
    <cellStyle name="Normal 2 53 10 9" xfId="5258" xr:uid="{00000000-0005-0000-0000-00000F1B0000}"/>
    <cellStyle name="Normal 2 53 10 9 2" xfId="23029" xr:uid="{00000000-0005-0000-0000-0000101B0000}"/>
    <cellStyle name="Normal 2 53 11" xfId="5259" xr:uid="{00000000-0005-0000-0000-0000111B0000}"/>
    <cellStyle name="Normal 2 53 11 2" xfId="23030" xr:uid="{00000000-0005-0000-0000-0000121B0000}"/>
    <cellStyle name="Normal 2 53 12" xfId="5260" xr:uid="{00000000-0005-0000-0000-0000131B0000}"/>
    <cellStyle name="Normal 2 53 12 2" xfId="23031" xr:uid="{00000000-0005-0000-0000-0000141B0000}"/>
    <cellStyle name="Normal 2 53 13" xfId="5261" xr:uid="{00000000-0005-0000-0000-0000151B0000}"/>
    <cellStyle name="Normal 2 53 13 2" xfId="23032" xr:uid="{00000000-0005-0000-0000-0000161B0000}"/>
    <cellStyle name="Normal 2 53 14" xfId="5262" xr:uid="{00000000-0005-0000-0000-0000171B0000}"/>
    <cellStyle name="Normal 2 53 14 2" xfId="23033" xr:uid="{00000000-0005-0000-0000-0000181B0000}"/>
    <cellStyle name="Normal 2 53 15" xfId="5263" xr:uid="{00000000-0005-0000-0000-0000191B0000}"/>
    <cellStyle name="Normal 2 53 15 2" xfId="23034" xr:uid="{00000000-0005-0000-0000-00001A1B0000}"/>
    <cellStyle name="Normal 2 53 16" xfId="5264" xr:uid="{00000000-0005-0000-0000-00001B1B0000}"/>
    <cellStyle name="Normal 2 53 16 2" xfId="23035" xr:uid="{00000000-0005-0000-0000-00001C1B0000}"/>
    <cellStyle name="Normal 2 53 17" xfId="5265" xr:uid="{00000000-0005-0000-0000-00001D1B0000}"/>
    <cellStyle name="Normal 2 53 17 2" xfId="23036" xr:uid="{00000000-0005-0000-0000-00001E1B0000}"/>
    <cellStyle name="Normal 2 53 18" xfId="5266" xr:uid="{00000000-0005-0000-0000-00001F1B0000}"/>
    <cellStyle name="Normal 2 53 18 2" xfId="23037" xr:uid="{00000000-0005-0000-0000-0000201B0000}"/>
    <cellStyle name="Normal 2 53 19" xfId="5267" xr:uid="{00000000-0005-0000-0000-0000211B0000}"/>
    <cellStyle name="Normal 2 53 19 2" xfId="23038" xr:uid="{00000000-0005-0000-0000-0000221B0000}"/>
    <cellStyle name="Normal 2 53 2" xfId="5268" xr:uid="{00000000-0005-0000-0000-0000231B0000}"/>
    <cellStyle name="Normal 2 53 2 10" xfId="5269" xr:uid="{00000000-0005-0000-0000-0000241B0000}"/>
    <cellStyle name="Normal 2 53 2 10 2" xfId="23040" xr:uid="{00000000-0005-0000-0000-0000251B0000}"/>
    <cellStyle name="Normal 2 53 2 11" xfId="5270" xr:uid="{00000000-0005-0000-0000-0000261B0000}"/>
    <cellStyle name="Normal 2 53 2 11 2" xfId="23041" xr:uid="{00000000-0005-0000-0000-0000271B0000}"/>
    <cellStyle name="Normal 2 53 2 12" xfId="5271" xr:uid="{00000000-0005-0000-0000-0000281B0000}"/>
    <cellStyle name="Normal 2 53 2 12 2" xfId="23042" xr:uid="{00000000-0005-0000-0000-0000291B0000}"/>
    <cellStyle name="Normal 2 53 2 13" xfId="5272" xr:uid="{00000000-0005-0000-0000-00002A1B0000}"/>
    <cellStyle name="Normal 2 53 2 13 2" xfId="23043" xr:uid="{00000000-0005-0000-0000-00002B1B0000}"/>
    <cellStyle name="Normal 2 53 2 14" xfId="5273" xr:uid="{00000000-0005-0000-0000-00002C1B0000}"/>
    <cellStyle name="Normal 2 53 2 14 2" xfId="23044" xr:uid="{00000000-0005-0000-0000-00002D1B0000}"/>
    <cellStyle name="Normal 2 53 2 15" xfId="5274" xr:uid="{00000000-0005-0000-0000-00002E1B0000}"/>
    <cellStyle name="Normal 2 53 2 15 2" xfId="23045" xr:uid="{00000000-0005-0000-0000-00002F1B0000}"/>
    <cellStyle name="Normal 2 53 2 16" xfId="23039" xr:uid="{00000000-0005-0000-0000-0000301B0000}"/>
    <cellStyle name="Normal 2 53 2 2" xfId="5275" xr:uid="{00000000-0005-0000-0000-0000311B0000}"/>
    <cellStyle name="Normal 2 53 2 2 10" xfId="5276" xr:uid="{00000000-0005-0000-0000-0000321B0000}"/>
    <cellStyle name="Normal 2 53 2 2 10 2" xfId="23047" xr:uid="{00000000-0005-0000-0000-0000331B0000}"/>
    <cellStyle name="Normal 2 53 2 2 11" xfId="5277" xr:uid="{00000000-0005-0000-0000-0000341B0000}"/>
    <cellStyle name="Normal 2 53 2 2 11 2" xfId="23048" xr:uid="{00000000-0005-0000-0000-0000351B0000}"/>
    <cellStyle name="Normal 2 53 2 2 12" xfId="5278" xr:uid="{00000000-0005-0000-0000-0000361B0000}"/>
    <cellStyle name="Normal 2 53 2 2 12 2" xfId="23049" xr:uid="{00000000-0005-0000-0000-0000371B0000}"/>
    <cellStyle name="Normal 2 53 2 2 13" xfId="5279" xr:uid="{00000000-0005-0000-0000-0000381B0000}"/>
    <cellStyle name="Normal 2 53 2 2 13 2" xfId="23050" xr:uid="{00000000-0005-0000-0000-0000391B0000}"/>
    <cellStyle name="Normal 2 53 2 2 14" xfId="5280" xr:uid="{00000000-0005-0000-0000-00003A1B0000}"/>
    <cellStyle name="Normal 2 53 2 2 14 2" xfId="23051" xr:uid="{00000000-0005-0000-0000-00003B1B0000}"/>
    <cellStyle name="Normal 2 53 2 2 15" xfId="23046" xr:uid="{00000000-0005-0000-0000-00003C1B0000}"/>
    <cellStyle name="Normal 2 53 2 2 2" xfId="5281" xr:uid="{00000000-0005-0000-0000-00003D1B0000}"/>
    <cellStyle name="Normal 2 53 2 2 2 2" xfId="23052" xr:uid="{00000000-0005-0000-0000-00003E1B0000}"/>
    <cellStyle name="Normal 2 53 2 2 3" xfId="5282" xr:uid="{00000000-0005-0000-0000-00003F1B0000}"/>
    <cellStyle name="Normal 2 53 2 2 3 2" xfId="23053" xr:uid="{00000000-0005-0000-0000-0000401B0000}"/>
    <cellStyle name="Normal 2 53 2 2 4" xfId="5283" xr:uid="{00000000-0005-0000-0000-0000411B0000}"/>
    <cellStyle name="Normal 2 53 2 2 4 2" xfId="23054" xr:uid="{00000000-0005-0000-0000-0000421B0000}"/>
    <cellStyle name="Normal 2 53 2 2 5" xfId="5284" xr:uid="{00000000-0005-0000-0000-0000431B0000}"/>
    <cellStyle name="Normal 2 53 2 2 5 2" xfId="23055" xr:uid="{00000000-0005-0000-0000-0000441B0000}"/>
    <cellStyle name="Normal 2 53 2 2 6" xfId="5285" xr:uid="{00000000-0005-0000-0000-0000451B0000}"/>
    <cellStyle name="Normal 2 53 2 2 6 2" xfId="23056" xr:uid="{00000000-0005-0000-0000-0000461B0000}"/>
    <cellStyle name="Normal 2 53 2 2 7" xfId="5286" xr:uid="{00000000-0005-0000-0000-0000471B0000}"/>
    <cellStyle name="Normal 2 53 2 2 7 2" xfId="23057" xr:uid="{00000000-0005-0000-0000-0000481B0000}"/>
    <cellStyle name="Normal 2 53 2 2 8" xfId="5287" xr:uid="{00000000-0005-0000-0000-0000491B0000}"/>
    <cellStyle name="Normal 2 53 2 2 8 2" xfId="23058" xr:uid="{00000000-0005-0000-0000-00004A1B0000}"/>
    <cellStyle name="Normal 2 53 2 2 9" xfId="5288" xr:uid="{00000000-0005-0000-0000-00004B1B0000}"/>
    <cellStyle name="Normal 2 53 2 2 9 2" xfId="23059" xr:uid="{00000000-0005-0000-0000-00004C1B0000}"/>
    <cellStyle name="Normal 2 53 2 3" xfId="5289" xr:uid="{00000000-0005-0000-0000-00004D1B0000}"/>
    <cellStyle name="Normal 2 53 2 3 2" xfId="23060" xr:uid="{00000000-0005-0000-0000-00004E1B0000}"/>
    <cellStyle name="Normal 2 53 2 4" xfId="5290" xr:uid="{00000000-0005-0000-0000-00004F1B0000}"/>
    <cellStyle name="Normal 2 53 2 4 2" xfId="23061" xr:uid="{00000000-0005-0000-0000-0000501B0000}"/>
    <cellStyle name="Normal 2 53 2 5" xfId="5291" xr:uid="{00000000-0005-0000-0000-0000511B0000}"/>
    <cellStyle name="Normal 2 53 2 5 2" xfId="23062" xr:uid="{00000000-0005-0000-0000-0000521B0000}"/>
    <cellStyle name="Normal 2 53 2 6" xfId="5292" xr:uid="{00000000-0005-0000-0000-0000531B0000}"/>
    <cellStyle name="Normal 2 53 2 6 2" xfId="23063" xr:uid="{00000000-0005-0000-0000-0000541B0000}"/>
    <cellStyle name="Normal 2 53 2 7" xfId="5293" xr:uid="{00000000-0005-0000-0000-0000551B0000}"/>
    <cellStyle name="Normal 2 53 2 7 2" xfId="23064" xr:uid="{00000000-0005-0000-0000-0000561B0000}"/>
    <cellStyle name="Normal 2 53 2 8" xfId="5294" xr:uid="{00000000-0005-0000-0000-0000571B0000}"/>
    <cellStyle name="Normal 2 53 2 8 2" xfId="23065" xr:uid="{00000000-0005-0000-0000-0000581B0000}"/>
    <cellStyle name="Normal 2 53 2 9" xfId="5295" xr:uid="{00000000-0005-0000-0000-0000591B0000}"/>
    <cellStyle name="Normal 2 53 2 9 2" xfId="23066" xr:uid="{00000000-0005-0000-0000-00005A1B0000}"/>
    <cellStyle name="Normal 2 53 20" xfId="5296" xr:uid="{00000000-0005-0000-0000-00005B1B0000}"/>
    <cellStyle name="Normal 2 53 20 2" xfId="23067" xr:uid="{00000000-0005-0000-0000-00005C1B0000}"/>
    <cellStyle name="Normal 2 53 21" xfId="5297" xr:uid="{00000000-0005-0000-0000-00005D1B0000}"/>
    <cellStyle name="Normal 2 53 21 2" xfId="23068" xr:uid="{00000000-0005-0000-0000-00005E1B0000}"/>
    <cellStyle name="Normal 2 53 22" xfId="5298" xr:uid="{00000000-0005-0000-0000-00005F1B0000}"/>
    <cellStyle name="Normal 2 53 22 2" xfId="23069" xr:uid="{00000000-0005-0000-0000-0000601B0000}"/>
    <cellStyle name="Normal 2 53 23" xfId="5299" xr:uid="{00000000-0005-0000-0000-0000611B0000}"/>
    <cellStyle name="Normal 2 53 23 2" xfId="23070" xr:uid="{00000000-0005-0000-0000-0000621B0000}"/>
    <cellStyle name="Normal 2 53 24" xfId="23015" xr:uid="{00000000-0005-0000-0000-0000631B0000}"/>
    <cellStyle name="Normal 2 53 3" xfId="5300" xr:uid="{00000000-0005-0000-0000-0000641B0000}"/>
    <cellStyle name="Normal 2 53 3 10" xfId="5301" xr:uid="{00000000-0005-0000-0000-0000651B0000}"/>
    <cellStyle name="Normal 2 53 3 10 2" xfId="23072" xr:uid="{00000000-0005-0000-0000-0000661B0000}"/>
    <cellStyle name="Normal 2 53 3 11" xfId="5302" xr:uid="{00000000-0005-0000-0000-0000671B0000}"/>
    <cellStyle name="Normal 2 53 3 11 2" xfId="23073" xr:uid="{00000000-0005-0000-0000-0000681B0000}"/>
    <cellStyle name="Normal 2 53 3 12" xfId="5303" xr:uid="{00000000-0005-0000-0000-0000691B0000}"/>
    <cellStyle name="Normal 2 53 3 12 2" xfId="23074" xr:uid="{00000000-0005-0000-0000-00006A1B0000}"/>
    <cellStyle name="Normal 2 53 3 13" xfId="5304" xr:uid="{00000000-0005-0000-0000-00006B1B0000}"/>
    <cellStyle name="Normal 2 53 3 13 2" xfId="23075" xr:uid="{00000000-0005-0000-0000-00006C1B0000}"/>
    <cellStyle name="Normal 2 53 3 14" xfId="5305" xr:uid="{00000000-0005-0000-0000-00006D1B0000}"/>
    <cellStyle name="Normal 2 53 3 14 2" xfId="23076" xr:uid="{00000000-0005-0000-0000-00006E1B0000}"/>
    <cellStyle name="Normal 2 53 3 15" xfId="5306" xr:uid="{00000000-0005-0000-0000-00006F1B0000}"/>
    <cellStyle name="Normal 2 53 3 15 2" xfId="23077" xr:uid="{00000000-0005-0000-0000-0000701B0000}"/>
    <cellStyle name="Normal 2 53 3 16" xfId="23071" xr:uid="{00000000-0005-0000-0000-0000711B0000}"/>
    <cellStyle name="Normal 2 53 3 2" xfId="5307" xr:uid="{00000000-0005-0000-0000-0000721B0000}"/>
    <cellStyle name="Normal 2 53 3 2 10" xfId="5308" xr:uid="{00000000-0005-0000-0000-0000731B0000}"/>
    <cellStyle name="Normal 2 53 3 2 10 2" xfId="23079" xr:uid="{00000000-0005-0000-0000-0000741B0000}"/>
    <cellStyle name="Normal 2 53 3 2 11" xfId="5309" xr:uid="{00000000-0005-0000-0000-0000751B0000}"/>
    <cellStyle name="Normal 2 53 3 2 11 2" xfId="23080" xr:uid="{00000000-0005-0000-0000-0000761B0000}"/>
    <cellStyle name="Normal 2 53 3 2 12" xfId="5310" xr:uid="{00000000-0005-0000-0000-0000771B0000}"/>
    <cellStyle name="Normal 2 53 3 2 12 2" xfId="23081" xr:uid="{00000000-0005-0000-0000-0000781B0000}"/>
    <cellStyle name="Normal 2 53 3 2 13" xfId="5311" xr:uid="{00000000-0005-0000-0000-0000791B0000}"/>
    <cellStyle name="Normal 2 53 3 2 13 2" xfId="23082" xr:uid="{00000000-0005-0000-0000-00007A1B0000}"/>
    <cellStyle name="Normal 2 53 3 2 14" xfId="5312" xr:uid="{00000000-0005-0000-0000-00007B1B0000}"/>
    <cellStyle name="Normal 2 53 3 2 14 2" xfId="23083" xr:uid="{00000000-0005-0000-0000-00007C1B0000}"/>
    <cellStyle name="Normal 2 53 3 2 15" xfId="23078" xr:uid="{00000000-0005-0000-0000-00007D1B0000}"/>
    <cellStyle name="Normal 2 53 3 2 2" xfId="5313" xr:uid="{00000000-0005-0000-0000-00007E1B0000}"/>
    <cellStyle name="Normal 2 53 3 2 2 2" xfId="23084" xr:uid="{00000000-0005-0000-0000-00007F1B0000}"/>
    <cellStyle name="Normal 2 53 3 2 3" xfId="5314" xr:uid="{00000000-0005-0000-0000-0000801B0000}"/>
    <cellStyle name="Normal 2 53 3 2 3 2" xfId="23085" xr:uid="{00000000-0005-0000-0000-0000811B0000}"/>
    <cellStyle name="Normal 2 53 3 2 4" xfId="5315" xr:uid="{00000000-0005-0000-0000-0000821B0000}"/>
    <cellStyle name="Normal 2 53 3 2 4 2" xfId="23086" xr:uid="{00000000-0005-0000-0000-0000831B0000}"/>
    <cellStyle name="Normal 2 53 3 2 5" xfId="5316" xr:uid="{00000000-0005-0000-0000-0000841B0000}"/>
    <cellStyle name="Normal 2 53 3 2 5 2" xfId="23087" xr:uid="{00000000-0005-0000-0000-0000851B0000}"/>
    <cellStyle name="Normal 2 53 3 2 6" xfId="5317" xr:uid="{00000000-0005-0000-0000-0000861B0000}"/>
    <cellStyle name="Normal 2 53 3 2 6 2" xfId="23088" xr:uid="{00000000-0005-0000-0000-0000871B0000}"/>
    <cellStyle name="Normal 2 53 3 2 7" xfId="5318" xr:uid="{00000000-0005-0000-0000-0000881B0000}"/>
    <cellStyle name="Normal 2 53 3 2 7 2" xfId="23089" xr:uid="{00000000-0005-0000-0000-0000891B0000}"/>
    <cellStyle name="Normal 2 53 3 2 8" xfId="5319" xr:uid="{00000000-0005-0000-0000-00008A1B0000}"/>
    <cellStyle name="Normal 2 53 3 2 8 2" xfId="23090" xr:uid="{00000000-0005-0000-0000-00008B1B0000}"/>
    <cellStyle name="Normal 2 53 3 2 9" xfId="5320" xr:uid="{00000000-0005-0000-0000-00008C1B0000}"/>
    <cellStyle name="Normal 2 53 3 2 9 2" xfId="23091" xr:uid="{00000000-0005-0000-0000-00008D1B0000}"/>
    <cellStyle name="Normal 2 53 3 3" xfId="5321" xr:uid="{00000000-0005-0000-0000-00008E1B0000}"/>
    <cellStyle name="Normal 2 53 3 3 2" xfId="23092" xr:uid="{00000000-0005-0000-0000-00008F1B0000}"/>
    <cellStyle name="Normal 2 53 3 4" xfId="5322" xr:uid="{00000000-0005-0000-0000-0000901B0000}"/>
    <cellStyle name="Normal 2 53 3 4 2" xfId="23093" xr:uid="{00000000-0005-0000-0000-0000911B0000}"/>
    <cellStyle name="Normal 2 53 3 5" xfId="5323" xr:uid="{00000000-0005-0000-0000-0000921B0000}"/>
    <cellStyle name="Normal 2 53 3 5 2" xfId="23094" xr:uid="{00000000-0005-0000-0000-0000931B0000}"/>
    <cellStyle name="Normal 2 53 3 6" xfId="5324" xr:uid="{00000000-0005-0000-0000-0000941B0000}"/>
    <cellStyle name="Normal 2 53 3 6 2" xfId="23095" xr:uid="{00000000-0005-0000-0000-0000951B0000}"/>
    <cellStyle name="Normal 2 53 3 7" xfId="5325" xr:uid="{00000000-0005-0000-0000-0000961B0000}"/>
    <cellStyle name="Normal 2 53 3 7 2" xfId="23096" xr:uid="{00000000-0005-0000-0000-0000971B0000}"/>
    <cellStyle name="Normal 2 53 3 8" xfId="5326" xr:uid="{00000000-0005-0000-0000-0000981B0000}"/>
    <cellStyle name="Normal 2 53 3 8 2" xfId="23097" xr:uid="{00000000-0005-0000-0000-0000991B0000}"/>
    <cellStyle name="Normal 2 53 3 9" xfId="5327" xr:uid="{00000000-0005-0000-0000-00009A1B0000}"/>
    <cellStyle name="Normal 2 53 3 9 2" xfId="23098" xr:uid="{00000000-0005-0000-0000-00009B1B0000}"/>
    <cellStyle name="Normal 2 53 4" xfId="5328" xr:uid="{00000000-0005-0000-0000-00009C1B0000}"/>
    <cellStyle name="Normal 2 53 4 10" xfId="5329" xr:uid="{00000000-0005-0000-0000-00009D1B0000}"/>
    <cellStyle name="Normal 2 53 4 10 2" xfId="23100" xr:uid="{00000000-0005-0000-0000-00009E1B0000}"/>
    <cellStyle name="Normal 2 53 4 11" xfId="5330" xr:uid="{00000000-0005-0000-0000-00009F1B0000}"/>
    <cellStyle name="Normal 2 53 4 11 2" xfId="23101" xr:uid="{00000000-0005-0000-0000-0000A01B0000}"/>
    <cellStyle name="Normal 2 53 4 12" xfId="5331" xr:uid="{00000000-0005-0000-0000-0000A11B0000}"/>
    <cellStyle name="Normal 2 53 4 12 2" xfId="23102" xr:uid="{00000000-0005-0000-0000-0000A21B0000}"/>
    <cellStyle name="Normal 2 53 4 13" xfId="5332" xr:uid="{00000000-0005-0000-0000-0000A31B0000}"/>
    <cellStyle name="Normal 2 53 4 13 2" xfId="23103" xr:uid="{00000000-0005-0000-0000-0000A41B0000}"/>
    <cellStyle name="Normal 2 53 4 14" xfId="5333" xr:uid="{00000000-0005-0000-0000-0000A51B0000}"/>
    <cellStyle name="Normal 2 53 4 14 2" xfId="23104" xr:uid="{00000000-0005-0000-0000-0000A61B0000}"/>
    <cellStyle name="Normal 2 53 4 15" xfId="5334" xr:uid="{00000000-0005-0000-0000-0000A71B0000}"/>
    <cellStyle name="Normal 2 53 4 15 2" xfId="23105" xr:uid="{00000000-0005-0000-0000-0000A81B0000}"/>
    <cellStyle name="Normal 2 53 4 16" xfId="23099" xr:uid="{00000000-0005-0000-0000-0000A91B0000}"/>
    <cellStyle name="Normal 2 53 4 2" xfId="5335" xr:uid="{00000000-0005-0000-0000-0000AA1B0000}"/>
    <cellStyle name="Normal 2 53 4 2 10" xfId="5336" xr:uid="{00000000-0005-0000-0000-0000AB1B0000}"/>
    <cellStyle name="Normal 2 53 4 2 10 2" xfId="23107" xr:uid="{00000000-0005-0000-0000-0000AC1B0000}"/>
    <cellStyle name="Normal 2 53 4 2 11" xfId="5337" xr:uid="{00000000-0005-0000-0000-0000AD1B0000}"/>
    <cellStyle name="Normal 2 53 4 2 11 2" xfId="23108" xr:uid="{00000000-0005-0000-0000-0000AE1B0000}"/>
    <cellStyle name="Normal 2 53 4 2 12" xfId="5338" xr:uid="{00000000-0005-0000-0000-0000AF1B0000}"/>
    <cellStyle name="Normal 2 53 4 2 12 2" xfId="23109" xr:uid="{00000000-0005-0000-0000-0000B01B0000}"/>
    <cellStyle name="Normal 2 53 4 2 13" xfId="5339" xr:uid="{00000000-0005-0000-0000-0000B11B0000}"/>
    <cellStyle name="Normal 2 53 4 2 13 2" xfId="23110" xr:uid="{00000000-0005-0000-0000-0000B21B0000}"/>
    <cellStyle name="Normal 2 53 4 2 14" xfId="5340" xr:uid="{00000000-0005-0000-0000-0000B31B0000}"/>
    <cellStyle name="Normal 2 53 4 2 14 2" xfId="23111" xr:uid="{00000000-0005-0000-0000-0000B41B0000}"/>
    <cellStyle name="Normal 2 53 4 2 15" xfId="23106" xr:uid="{00000000-0005-0000-0000-0000B51B0000}"/>
    <cellStyle name="Normal 2 53 4 2 2" xfId="5341" xr:uid="{00000000-0005-0000-0000-0000B61B0000}"/>
    <cellStyle name="Normal 2 53 4 2 2 2" xfId="23112" xr:uid="{00000000-0005-0000-0000-0000B71B0000}"/>
    <cellStyle name="Normal 2 53 4 2 3" xfId="5342" xr:uid="{00000000-0005-0000-0000-0000B81B0000}"/>
    <cellStyle name="Normal 2 53 4 2 3 2" xfId="23113" xr:uid="{00000000-0005-0000-0000-0000B91B0000}"/>
    <cellStyle name="Normal 2 53 4 2 4" xfId="5343" xr:uid="{00000000-0005-0000-0000-0000BA1B0000}"/>
    <cellStyle name="Normal 2 53 4 2 4 2" xfId="23114" xr:uid="{00000000-0005-0000-0000-0000BB1B0000}"/>
    <cellStyle name="Normal 2 53 4 2 5" xfId="5344" xr:uid="{00000000-0005-0000-0000-0000BC1B0000}"/>
    <cellStyle name="Normal 2 53 4 2 5 2" xfId="23115" xr:uid="{00000000-0005-0000-0000-0000BD1B0000}"/>
    <cellStyle name="Normal 2 53 4 2 6" xfId="5345" xr:uid="{00000000-0005-0000-0000-0000BE1B0000}"/>
    <cellStyle name="Normal 2 53 4 2 6 2" xfId="23116" xr:uid="{00000000-0005-0000-0000-0000BF1B0000}"/>
    <cellStyle name="Normal 2 53 4 2 7" xfId="5346" xr:uid="{00000000-0005-0000-0000-0000C01B0000}"/>
    <cellStyle name="Normal 2 53 4 2 7 2" xfId="23117" xr:uid="{00000000-0005-0000-0000-0000C11B0000}"/>
    <cellStyle name="Normal 2 53 4 2 8" xfId="5347" xr:uid="{00000000-0005-0000-0000-0000C21B0000}"/>
    <cellStyle name="Normal 2 53 4 2 8 2" xfId="23118" xr:uid="{00000000-0005-0000-0000-0000C31B0000}"/>
    <cellStyle name="Normal 2 53 4 2 9" xfId="5348" xr:uid="{00000000-0005-0000-0000-0000C41B0000}"/>
    <cellStyle name="Normal 2 53 4 2 9 2" xfId="23119" xr:uid="{00000000-0005-0000-0000-0000C51B0000}"/>
    <cellStyle name="Normal 2 53 4 3" xfId="5349" xr:uid="{00000000-0005-0000-0000-0000C61B0000}"/>
    <cellStyle name="Normal 2 53 4 3 2" xfId="23120" xr:uid="{00000000-0005-0000-0000-0000C71B0000}"/>
    <cellStyle name="Normal 2 53 4 4" xfId="5350" xr:uid="{00000000-0005-0000-0000-0000C81B0000}"/>
    <cellStyle name="Normal 2 53 4 4 2" xfId="23121" xr:uid="{00000000-0005-0000-0000-0000C91B0000}"/>
    <cellStyle name="Normal 2 53 4 5" xfId="5351" xr:uid="{00000000-0005-0000-0000-0000CA1B0000}"/>
    <cellStyle name="Normal 2 53 4 5 2" xfId="23122" xr:uid="{00000000-0005-0000-0000-0000CB1B0000}"/>
    <cellStyle name="Normal 2 53 4 6" xfId="5352" xr:uid="{00000000-0005-0000-0000-0000CC1B0000}"/>
    <cellStyle name="Normal 2 53 4 6 2" xfId="23123" xr:uid="{00000000-0005-0000-0000-0000CD1B0000}"/>
    <cellStyle name="Normal 2 53 4 7" xfId="5353" xr:uid="{00000000-0005-0000-0000-0000CE1B0000}"/>
    <cellStyle name="Normal 2 53 4 7 2" xfId="23124" xr:uid="{00000000-0005-0000-0000-0000CF1B0000}"/>
    <cellStyle name="Normal 2 53 4 8" xfId="5354" xr:uid="{00000000-0005-0000-0000-0000D01B0000}"/>
    <cellStyle name="Normal 2 53 4 8 2" xfId="23125" xr:uid="{00000000-0005-0000-0000-0000D11B0000}"/>
    <cellStyle name="Normal 2 53 4 9" xfId="5355" xr:uid="{00000000-0005-0000-0000-0000D21B0000}"/>
    <cellStyle name="Normal 2 53 4 9 2" xfId="23126" xr:uid="{00000000-0005-0000-0000-0000D31B0000}"/>
    <cellStyle name="Normal 2 53 5" xfId="5356" xr:uid="{00000000-0005-0000-0000-0000D41B0000}"/>
    <cellStyle name="Normal 2 53 5 10" xfId="5357" xr:uid="{00000000-0005-0000-0000-0000D51B0000}"/>
    <cellStyle name="Normal 2 53 5 10 2" xfId="23128" xr:uid="{00000000-0005-0000-0000-0000D61B0000}"/>
    <cellStyle name="Normal 2 53 5 11" xfId="5358" xr:uid="{00000000-0005-0000-0000-0000D71B0000}"/>
    <cellStyle name="Normal 2 53 5 11 2" xfId="23129" xr:uid="{00000000-0005-0000-0000-0000D81B0000}"/>
    <cellStyle name="Normal 2 53 5 12" xfId="5359" xr:uid="{00000000-0005-0000-0000-0000D91B0000}"/>
    <cellStyle name="Normal 2 53 5 12 2" xfId="23130" xr:uid="{00000000-0005-0000-0000-0000DA1B0000}"/>
    <cellStyle name="Normal 2 53 5 13" xfId="5360" xr:uid="{00000000-0005-0000-0000-0000DB1B0000}"/>
    <cellStyle name="Normal 2 53 5 13 2" xfId="23131" xr:uid="{00000000-0005-0000-0000-0000DC1B0000}"/>
    <cellStyle name="Normal 2 53 5 14" xfId="5361" xr:uid="{00000000-0005-0000-0000-0000DD1B0000}"/>
    <cellStyle name="Normal 2 53 5 14 2" xfId="23132" xr:uid="{00000000-0005-0000-0000-0000DE1B0000}"/>
    <cellStyle name="Normal 2 53 5 15" xfId="23127" xr:uid="{00000000-0005-0000-0000-0000DF1B0000}"/>
    <cellStyle name="Normal 2 53 5 2" xfId="5362" xr:uid="{00000000-0005-0000-0000-0000E01B0000}"/>
    <cellStyle name="Normal 2 53 5 2 2" xfId="23133" xr:uid="{00000000-0005-0000-0000-0000E11B0000}"/>
    <cellStyle name="Normal 2 53 5 3" xfId="5363" xr:uid="{00000000-0005-0000-0000-0000E21B0000}"/>
    <cellStyle name="Normal 2 53 5 3 2" xfId="23134" xr:uid="{00000000-0005-0000-0000-0000E31B0000}"/>
    <cellStyle name="Normal 2 53 5 4" xfId="5364" xr:uid="{00000000-0005-0000-0000-0000E41B0000}"/>
    <cellStyle name="Normal 2 53 5 4 2" xfId="23135" xr:uid="{00000000-0005-0000-0000-0000E51B0000}"/>
    <cellStyle name="Normal 2 53 5 5" xfId="5365" xr:uid="{00000000-0005-0000-0000-0000E61B0000}"/>
    <cellStyle name="Normal 2 53 5 5 2" xfId="23136" xr:uid="{00000000-0005-0000-0000-0000E71B0000}"/>
    <cellStyle name="Normal 2 53 5 6" xfId="5366" xr:uid="{00000000-0005-0000-0000-0000E81B0000}"/>
    <cellStyle name="Normal 2 53 5 6 2" xfId="23137" xr:uid="{00000000-0005-0000-0000-0000E91B0000}"/>
    <cellStyle name="Normal 2 53 5 7" xfId="5367" xr:uid="{00000000-0005-0000-0000-0000EA1B0000}"/>
    <cellStyle name="Normal 2 53 5 7 2" xfId="23138" xr:uid="{00000000-0005-0000-0000-0000EB1B0000}"/>
    <cellStyle name="Normal 2 53 5 8" xfId="5368" xr:uid="{00000000-0005-0000-0000-0000EC1B0000}"/>
    <cellStyle name="Normal 2 53 5 8 2" xfId="23139" xr:uid="{00000000-0005-0000-0000-0000ED1B0000}"/>
    <cellStyle name="Normal 2 53 5 9" xfId="5369" xr:uid="{00000000-0005-0000-0000-0000EE1B0000}"/>
    <cellStyle name="Normal 2 53 5 9 2" xfId="23140" xr:uid="{00000000-0005-0000-0000-0000EF1B0000}"/>
    <cellStyle name="Normal 2 53 6" xfId="5370" xr:uid="{00000000-0005-0000-0000-0000F01B0000}"/>
    <cellStyle name="Normal 2 53 6 10" xfId="5371" xr:uid="{00000000-0005-0000-0000-0000F11B0000}"/>
    <cellStyle name="Normal 2 53 6 10 2" xfId="23142" xr:uid="{00000000-0005-0000-0000-0000F21B0000}"/>
    <cellStyle name="Normal 2 53 6 11" xfId="5372" xr:uid="{00000000-0005-0000-0000-0000F31B0000}"/>
    <cellStyle name="Normal 2 53 6 11 2" xfId="23143" xr:uid="{00000000-0005-0000-0000-0000F41B0000}"/>
    <cellStyle name="Normal 2 53 6 12" xfId="5373" xr:uid="{00000000-0005-0000-0000-0000F51B0000}"/>
    <cellStyle name="Normal 2 53 6 12 2" xfId="23144" xr:uid="{00000000-0005-0000-0000-0000F61B0000}"/>
    <cellStyle name="Normal 2 53 6 13" xfId="5374" xr:uid="{00000000-0005-0000-0000-0000F71B0000}"/>
    <cellStyle name="Normal 2 53 6 13 2" xfId="23145" xr:uid="{00000000-0005-0000-0000-0000F81B0000}"/>
    <cellStyle name="Normal 2 53 6 14" xfId="5375" xr:uid="{00000000-0005-0000-0000-0000F91B0000}"/>
    <cellStyle name="Normal 2 53 6 14 2" xfId="23146" xr:uid="{00000000-0005-0000-0000-0000FA1B0000}"/>
    <cellStyle name="Normal 2 53 6 15" xfId="23141" xr:uid="{00000000-0005-0000-0000-0000FB1B0000}"/>
    <cellStyle name="Normal 2 53 6 2" xfId="5376" xr:uid="{00000000-0005-0000-0000-0000FC1B0000}"/>
    <cellStyle name="Normal 2 53 6 2 2" xfId="23147" xr:uid="{00000000-0005-0000-0000-0000FD1B0000}"/>
    <cellStyle name="Normal 2 53 6 3" xfId="5377" xr:uid="{00000000-0005-0000-0000-0000FE1B0000}"/>
    <cellStyle name="Normal 2 53 6 3 2" xfId="23148" xr:uid="{00000000-0005-0000-0000-0000FF1B0000}"/>
    <cellStyle name="Normal 2 53 6 4" xfId="5378" xr:uid="{00000000-0005-0000-0000-0000001C0000}"/>
    <cellStyle name="Normal 2 53 6 4 2" xfId="23149" xr:uid="{00000000-0005-0000-0000-0000011C0000}"/>
    <cellStyle name="Normal 2 53 6 5" xfId="5379" xr:uid="{00000000-0005-0000-0000-0000021C0000}"/>
    <cellStyle name="Normal 2 53 6 5 2" xfId="23150" xr:uid="{00000000-0005-0000-0000-0000031C0000}"/>
    <cellStyle name="Normal 2 53 6 6" xfId="5380" xr:uid="{00000000-0005-0000-0000-0000041C0000}"/>
    <cellStyle name="Normal 2 53 6 6 2" xfId="23151" xr:uid="{00000000-0005-0000-0000-0000051C0000}"/>
    <cellStyle name="Normal 2 53 6 7" xfId="5381" xr:uid="{00000000-0005-0000-0000-0000061C0000}"/>
    <cellStyle name="Normal 2 53 6 7 2" xfId="23152" xr:uid="{00000000-0005-0000-0000-0000071C0000}"/>
    <cellStyle name="Normal 2 53 6 8" xfId="5382" xr:uid="{00000000-0005-0000-0000-0000081C0000}"/>
    <cellStyle name="Normal 2 53 6 8 2" xfId="23153" xr:uid="{00000000-0005-0000-0000-0000091C0000}"/>
    <cellStyle name="Normal 2 53 6 9" xfId="5383" xr:uid="{00000000-0005-0000-0000-00000A1C0000}"/>
    <cellStyle name="Normal 2 53 6 9 2" xfId="23154" xr:uid="{00000000-0005-0000-0000-00000B1C0000}"/>
    <cellStyle name="Normal 2 53 7" xfId="5384" xr:uid="{00000000-0005-0000-0000-00000C1C0000}"/>
    <cellStyle name="Normal 2 53 7 10" xfId="5385" xr:uid="{00000000-0005-0000-0000-00000D1C0000}"/>
    <cellStyle name="Normal 2 53 7 10 2" xfId="23156" xr:uid="{00000000-0005-0000-0000-00000E1C0000}"/>
    <cellStyle name="Normal 2 53 7 11" xfId="5386" xr:uid="{00000000-0005-0000-0000-00000F1C0000}"/>
    <cellStyle name="Normal 2 53 7 11 2" xfId="23157" xr:uid="{00000000-0005-0000-0000-0000101C0000}"/>
    <cellStyle name="Normal 2 53 7 12" xfId="5387" xr:uid="{00000000-0005-0000-0000-0000111C0000}"/>
    <cellStyle name="Normal 2 53 7 12 2" xfId="23158" xr:uid="{00000000-0005-0000-0000-0000121C0000}"/>
    <cellStyle name="Normal 2 53 7 13" xfId="5388" xr:uid="{00000000-0005-0000-0000-0000131C0000}"/>
    <cellStyle name="Normal 2 53 7 13 2" xfId="23159" xr:uid="{00000000-0005-0000-0000-0000141C0000}"/>
    <cellStyle name="Normal 2 53 7 14" xfId="5389" xr:uid="{00000000-0005-0000-0000-0000151C0000}"/>
    <cellStyle name="Normal 2 53 7 14 2" xfId="23160" xr:uid="{00000000-0005-0000-0000-0000161C0000}"/>
    <cellStyle name="Normal 2 53 7 15" xfId="23155" xr:uid="{00000000-0005-0000-0000-0000171C0000}"/>
    <cellStyle name="Normal 2 53 7 2" xfId="5390" xr:uid="{00000000-0005-0000-0000-0000181C0000}"/>
    <cellStyle name="Normal 2 53 7 2 2" xfId="23161" xr:uid="{00000000-0005-0000-0000-0000191C0000}"/>
    <cellStyle name="Normal 2 53 7 3" xfId="5391" xr:uid="{00000000-0005-0000-0000-00001A1C0000}"/>
    <cellStyle name="Normal 2 53 7 3 2" xfId="23162" xr:uid="{00000000-0005-0000-0000-00001B1C0000}"/>
    <cellStyle name="Normal 2 53 7 4" xfId="5392" xr:uid="{00000000-0005-0000-0000-00001C1C0000}"/>
    <cellStyle name="Normal 2 53 7 4 2" xfId="23163" xr:uid="{00000000-0005-0000-0000-00001D1C0000}"/>
    <cellStyle name="Normal 2 53 7 5" xfId="5393" xr:uid="{00000000-0005-0000-0000-00001E1C0000}"/>
    <cellStyle name="Normal 2 53 7 5 2" xfId="23164" xr:uid="{00000000-0005-0000-0000-00001F1C0000}"/>
    <cellStyle name="Normal 2 53 7 6" xfId="5394" xr:uid="{00000000-0005-0000-0000-0000201C0000}"/>
    <cellStyle name="Normal 2 53 7 6 2" xfId="23165" xr:uid="{00000000-0005-0000-0000-0000211C0000}"/>
    <cellStyle name="Normal 2 53 7 7" xfId="5395" xr:uid="{00000000-0005-0000-0000-0000221C0000}"/>
    <cellStyle name="Normal 2 53 7 7 2" xfId="23166" xr:uid="{00000000-0005-0000-0000-0000231C0000}"/>
    <cellStyle name="Normal 2 53 7 8" xfId="5396" xr:uid="{00000000-0005-0000-0000-0000241C0000}"/>
    <cellStyle name="Normal 2 53 7 8 2" xfId="23167" xr:uid="{00000000-0005-0000-0000-0000251C0000}"/>
    <cellStyle name="Normal 2 53 7 9" xfId="5397" xr:uid="{00000000-0005-0000-0000-0000261C0000}"/>
    <cellStyle name="Normal 2 53 7 9 2" xfId="23168" xr:uid="{00000000-0005-0000-0000-0000271C0000}"/>
    <cellStyle name="Normal 2 53 8" xfId="5398" xr:uid="{00000000-0005-0000-0000-0000281C0000}"/>
    <cellStyle name="Normal 2 53 8 10" xfId="5399" xr:uid="{00000000-0005-0000-0000-0000291C0000}"/>
    <cellStyle name="Normal 2 53 8 10 2" xfId="23170" xr:uid="{00000000-0005-0000-0000-00002A1C0000}"/>
    <cellStyle name="Normal 2 53 8 11" xfId="5400" xr:uid="{00000000-0005-0000-0000-00002B1C0000}"/>
    <cellStyle name="Normal 2 53 8 11 2" xfId="23171" xr:uid="{00000000-0005-0000-0000-00002C1C0000}"/>
    <cellStyle name="Normal 2 53 8 12" xfId="5401" xr:uid="{00000000-0005-0000-0000-00002D1C0000}"/>
    <cellStyle name="Normal 2 53 8 12 2" xfId="23172" xr:uid="{00000000-0005-0000-0000-00002E1C0000}"/>
    <cellStyle name="Normal 2 53 8 13" xfId="5402" xr:uid="{00000000-0005-0000-0000-00002F1C0000}"/>
    <cellStyle name="Normal 2 53 8 13 2" xfId="23173" xr:uid="{00000000-0005-0000-0000-0000301C0000}"/>
    <cellStyle name="Normal 2 53 8 14" xfId="5403" xr:uid="{00000000-0005-0000-0000-0000311C0000}"/>
    <cellStyle name="Normal 2 53 8 14 2" xfId="23174" xr:uid="{00000000-0005-0000-0000-0000321C0000}"/>
    <cellStyle name="Normal 2 53 8 15" xfId="23169" xr:uid="{00000000-0005-0000-0000-0000331C0000}"/>
    <cellStyle name="Normal 2 53 8 2" xfId="5404" xr:uid="{00000000-0005-0000-0000-0000341C0000}"/>
    <cellStyle name="Normal 2 53 8 2 2" xfId="23175" xr:uid="{00000000-0005-0000-0000-0000351C0000}"/>
    <cellStyle name="Normal 2 53 8 3" xfId="5405" xr:uid="{00000000-0005-0000-0000-0000361C0000}"/>
    <cellStyle name="Normal 2 53 8 3 2" xfId="23176" xr:uid="{00000000-0005-0000-0000-0000371C0000}"/>
    <cellStyle name="Normal 2 53 8 4" xfId="5406" xr:uid="{00000000-0005-0000-0000-0000381C0000}"/>
    <cellStyle name="Normal 2 53 8 4 2" xfId="23177" xr:uid="{00000000-0005-0000-0000-0000391C0000}"/>
    <cellStyle name="Normal 2 53 8 5" xfId="5407" xr:uid="{00000000-0005-0000-0000-00003A1C0000}"/>
    <cellStyle name="Normal 2 53 8 5 2" xfId="23178" xr:uid="{00000000-0005-0000-0000-00003B1C0000}"/>
    <cellStyle name="Normal 2 53 8 6" xfId="5408" xr:uid="{00000000-0005-0000-0000-00003C1C0000}"/>
    <cellStyle name="Normal 2 53 8 6 2" xfId="23179" xr:uid="{00000000-0005-0000-0000-00003D1C0000}"/>
    <cellStyle name="Normal 2 53 8 7" xfId="5409" xr:uid="{00000000-0005-0000-0000-00003E1C0000}"/>
    <cellStyle name="Normal 2 53 8 7 2" xfId="23180" xr:uid="{00000000-0005-0000-0000-00003F1C0000}"/>
    <cellStyle name="Normal 2 53 8 8" xfId="5410" xr:uid="{00000000-0005-0000-0000-0000401C0000}"/>
    <cellStyle name="Normal 2 53 8 8 2" xfId="23181" xr:uid="{00000000-0005-0000-0000-0000411C0000}"/>
    <cellStyle name="Normal 2 53 8 9" xfId="5411" xr:uid="{00000000-0005-0000-0000-0000421C0000}"/>
    <cellStyle name="Normal 2 53 8 9 2" xfId="23182" xr:uid="{00000000-0005-0000-0000-0000431C0000}"/>
    <cellStyle name="Normal 2 53 9" xfId="5412" xr:uid="{00000000-0005-0000-0000-0000441C0000}"/>
    <cellStyle name="Normal 2 53 9 10" xfId="5413" xr:uid="{00000000-0005-0000-0000-0000451C0000}"/>
    <cellStyle name="Normal 2 53 9 10 2" xfId="23184" xr:uid="{00000000-0005-0000-0000-0000461C0000}"/>
    <cellStyle name="Normal 2 53 9 11" xfId="5414" xr:uid="{00000000-0005-0000-0000-0000471C0000}"/>
    <cellStyle name="Normal 2 53 9 11 2" xfId="23185" xr:uid="{00000000-0005-0000-0000-0000481C0000}"/>
    <cellStyle name="Normal 2 53 9 12" xfId="5415" xr:uid="{00000000-0005-0000-0000-0000491C0000}"/>
    <cellStyle name="Normal 2 53 9 12 2" xfId="23186" xr:uid="{00000000-0005-0000-0000-00004A1C0000}"/>
    <cellStyle name="Normal 2 53 9 13" xfId="5416" xr:uid="{00000000-0005-0000-0000-00004B1C0000}"/>
    <cellStyle name="Normal 2 53 9 13 2" xfId="23187" xr:uid="{00000000-0005-0000-0000-00004C1C0000}"/>
    <cellStyle name="Normal 2 53 9 14" xfId="5417" xr:uid="{00000000-0005-0000-0000-00004D1C0000}"/>
    <cellStyle name="Normal 2 53 9 14 2" xfId="23188" xr:uid="{00000000-0005-0000-0000-00004E1C0000}"/>
    <cellStyle name="Normal 2 53 9 15" xfId="23183" xr:uid="{00000000-0005-0000-0000-00004F1C0000}"/>
    <cellStyle name="Normal 2 53 9 2" xfId="5418" xr:uid="{00000000-0005-0000-0000-0000501C0000}"/>
    <cellStyle name="Normal 2 53 9 2 2" xfId="23189" xr:uid="{00000000-0005-0000-0000-0000511C0000}"/>
    <cellStyle name="Normal 2 53 9 3" xfId="5419" xr:uid="{00000000-0005-0000-0000-0000521C0000}"/>
    <cellStyle name="Normal 2 53 9 3 2" xfId="23190" xr:uid="{00000000-0005-0000-0000-0000531C0000}"/>
    <cellStyle name="Normal 2 53 9 4" xfId="5420" xr:uid="{00000000-0005-0000-0000-0000541C0000}"/>
    <cellStyle name="Normal 2 53 9 4 2" xfId="23191" xr:uid="{00000000-0005-0000-0000-0000551C0000}"/>
    <cellStyle name="Normal 2 53 9 5" xfId="5421" xr:uid="{00000000-0005-0000-0000-0000561C0000}"/>
    <cellStyle name="Normal 2 53 9 5 2" xfId="23192" xr:uid="{00000000-0005-0000-0000-0000571C0000}"/>
    <cellStyle name="Normal 2 53 9 6" xfId="5422" xr:uid="{00000000-0005-0000-0000-0000581C0000}"/>
    <cellStyle name="Normal 2 53 9 6 2" xfId="23193" xr:uid="{00000000-0005-0000-0000-0000591C0000}"/>
    <cellStyle name="Normal 2 53 9 7" xfId="5423" xr:uid="{00000000-0005-0000-0000-00005A1C0000}"/>
    <cellStyle name="Normal 2 53 9 7 2" xfId="23194" xr:uid="{00000000-0005-0000-0000-00005B1C0000}"/>
    <cellStyle name="Normal 2 53 9 8" xfId="5424" xr:uid="{00000000-0005-0000-0000-00005C1C0000}"/>
    <cellStyle name="Normal 2 53 9 8 2" xfId="23195" xr:uid="{00000000-0005-0000-0000-00005D1C0000}"/>
    <cellStyle name="Normal 2 53 9 9" xfId="5425" xr:uid="{00000000-0005-0000-0000-00005E1C0000}"/>
    <cellStyle name="Normal 2 53 9 9 2" xfId="23196" xr:uid="{00000000-0005-0000-0000-00005F1C0000}"/>
    <cellStyle name="Normal 2 54" xfId="5426" xr:uid="{00000000-0005-0000-0000-0000601C0000}"/>
    <cellStyle name="Normal 2 54 10" xfId="5427" xr:uid="{00000000-0005-0000-0000-0000611C0000}"/>
    <cellStyle name="Normal 2 54 10 10" xfId="5428" xr:uid="{00000000-0005-0000-0000-0000621C0000}"/>
    <cellStyle name="Normal 2 54 10 10 2" xfId="23199" xr:uid="{00000000-0005-0000-0000-0000631C0000}"/>
    <cellStyle name="Normal 2 54 10 11" xfId="5429" xr:uid="{00000000-0005-0000-0000-0000641C0000}"/>
    <cellStyle name="Normal 2 54 10 11 2" xfId="23200" xr:uid="{00000000-0005-0000-0000-0000651C0000}"/>
    <cellStyle name="Normal 2 54 10 12" xfId="5430" xr:uid="{00000000-0005-0000-0000-0000661C0000}"/>
    <cellStyle name="Normal 2 54 10 12 2" xfId="23201" xr:uid="{00000000-0005-0000-0000-0000671C0000}"/>
    <cellStyle name="Normal 2 54 10 13" xfId="5431" xr:uid="{00000000-0005-0000-0000-0000681C0000}"/>
    <cellStyle name="Normal 2 54 10 13 2" xfId="23202" xr:uid="{00000000-0005-0000-0000-0000691C0000}"/>
    <cellStyle name="Normal 2 54 10 14" xfId="5432" xr:uid="{00000000-0005-0000-0000-00006A1C0000}"/>
    <cellStyle name="Normal 2 54 10 14 2" xfId="23203" xr:uid="{00000000-0005-0000-0000-00006B1C0000}"/>
    <cellStyle name="Normal 2 54 10 15" xfId="23198" xr:uid="{00000000-0005-0000-0000-00006C1C0000}"/>
    <cellStyle name="Normal 2 54 10 2" xfId="5433" xr:uid="{00000000-0005-0000-0000-00006D1C0000}"/>
    <cellStyle name="Normal 2 54 10 2 2" xfId="23204" xr:uid="{00000000-0005-0000-0000-00006E1C0000}"/>
    <cellStyle name="Normal 2 54 10 3" xfId="5434" xr:uid="{00000000-0005-0000-0000-00006F1C0000}"/>
    <cellStyle name="Normal 2 54 10 3 2" xfId="23205" xr:uid="{00000000-0005-0000-0000-0000701C0000}"/>
    <cellStyle name="Normal 2 54 10 4" xfId="5435" xr:uid="{00000000-0005-0000-0000-0000711C0000}"/>
    <cellStyle name="Normal 2 54 10 4 2" xfId="23206" xr:uid="{00000000-0005-0000-0000-0000721C0000}"/>
    <cellStyle name="Normal 2 54 10 5" xfId="5436" xr:uid="{00000000-0005-0000-0000-0000731C0000}"/>
    <cellStyle name="Normal 2 54 10 5 2" xfId="23207" xr:uid="{00000000-0005-0000-0000-0000741C0000}"/>
    <cellStyle name="Normal 2 54 10 6" xfId="5437" xr:uid="{00000000-0005-0000-0000-0000751C0000}"/>
    <cellStyle name="Normal 2 54 10 6 2" xfId="23208" xr:uid="{00000000-0005-0000-0000-0000761C0000}"/>
    <cellStyle name="Normal 2 54 10 7" xfId="5438" xr:uid="{00000000-0005-0000-0000-0000771C0000}"/>
    <cellStyle name="Normal 2 54 10 7 2" xfId="23209" xr:uid="{00000000-0005-0000-0000-0000781C0000}"/>
    <cellStyle name="Normal 2 54 10 8" xfId="5439" xr:uid="{00000000-0005-0000-0000-0000791C0000}"/>
    <cellStyle name="Normal 2 54 10 8 2" xfId="23210" xr:uid="{00000000-0005-0000-0000-00007A1C0000}"/>
    <cellStyle name="Normal 2 54 10 9" xfId="5440" xr:uid="{00000000-0005-0000-0000-00007B1C0000}"/>
    <cellStyle name="Normal 2 54 10 9 2" xfId="23211" xr:uid="{00000000-0005-0000-0000-00007C1C0000}"/>
    <cellStyle name="Normal 2 54 11" xfId="5441" xr:uid="{00000000-0005-0000-0000-00007D1C0000}"/>
    <cellStyle name="Normal 2 54 11 2" xfId="23212" xr:uid="{00000000-0005-0000-0000-00007E1C0000}"/>
    <cellStyle name="Normal 2 54 12" xfId="5442" xr:uid="{00000000-0005-0000-0000-00007F1C0000}"/>
    <cellStyle name="Normal 2 54 12 2" xfId="23213" xr:uid="{00000000-0005-0000-0000-0000801C0000}"/>
    <cellStyle name="Normal 2 54 13" xfId="5443" xr:uid="{00000000-0005-0000-0000-0000811C0000}"/>
    <cellStyle name="Normal 2 54 13 2" xfId="23214" xr:uid="{00000000-0005-0000-0000-0000821C0000}"/>
    <cellStyle name="Normal 2 54 14" xfId="5444" xr:uid="{00000000-0005-0000-0000-0000831C0000}"/>
    <cellStyle name="Normal 2 54 14 2" xfId="23215" xr:uid="{00000000-0005-0000-0000-0000841C0000}"/>
    <cellStyle name="Normal 2 54 15" xfId="5445" xr:uid="{00000000-0005-0000-0000-0000851C0000}"/>
    <cellStyle name="Normal 2 54 15 2" xfId="23216" xr:uid="{00000000-0005-0000-0000-0000861C0000}"/>
    <cellStyle name="Normal 2 54 16" xfId="5446" xr:uid="{00000000-0005-0000-0000-0000871C0000}"/>
    <cellStyle name="Normal 2 54 16 2" xfId="23217" xr:uid="{00000000-0005-0000-0000-0000881C0000}"/>
    <cellStyle name="Normal 2 54 17" xfId="5447" xr:uid="{00000000-0005-0000-0000-0000891C0000}"/>
    <cellStyle name="Normal 2 54 17 2" xfId="23218" xr:uid="{00000000-0005-0000-0000-00008A1C0000}"/>
    <cellStyle name="Normal 2 54 18" xfId="5448" xr:uid="{00000000-0005-0000-0000-00008B1C0000}"/>
    <cellStyle name="Normal 2 54 18 2" xfId="23219" xr:uid="{00000000-0005-0000-0000-00008C1C0000}"/>
    <cellStyle name="Normal 2 54 19" xfId="5449" xr:uid="{00000000-0005-0000-0000-00008D1C0000}"/>
    <cellStyle name="Normal 2 54 19 2" xfId="23220" xr:uid="{00000000-0005-0000-0000-00008E1C0000}"/>
    <cellStyle name="Normal 2 54 2" xfId="5450" xr:uid="{00000000-0005-0000-0000-00008F1C0000}"/>
    <cellStyle name="Normal 2 54 2 10" xfId="5451" xr:uid="{00000000-0005-0000-0000-0000901C0000}"/>
    <cellStyle name="Normal 2 54 2 10 2" xfId="23222" xr:uid="{00000000-0005-0000-0000-0000911C0000}"/>
    <cellStyle name="Normal 2 54 2 11" xfId="5452" xr:uid="{00000000-0005-0000-0000-0000921C0000}"/>
    <cellStyle name="Normal 2 54 2 11 2" xfId="23223" xr:uid="{00000000-0005-0000-0000-0000931C0000}"/>
    <cellStyle name="Normal 2 54 2 12" xfId="5453" xr:uid="{00000000-0005-0000-0000-0000941C0000}"/>
    <cellStyle name="Normal 2 54 2 12 2" xfId="23224" xr:uid="{00000000-0005-0000-0000-0000951C0000}"/>
    <cellStyle name="Normal 2 54 2 13" xfId="5454" xr:uid="{00000000-0005-0000-0000-0000961C0000}"/>
    <cellStyle name="Normal 2 54 2 13 2" xfId="23225" xr:uid="{00000000-0005-0000-0000-0000971C0000}"/>
    <cellStyle name="Normal 2 54 2 14" xfId="5455" xr:uid="{00000000-0005-0000-0000-0000981C0000}"/>
    <cellStyle name="Normal 2 54 2 14 2" xfId="23226" xr:uid="{00000000-0005-0000-0000-0000991C0000}"/>
    <cellStyle name="Normal 2 54 2 15" xfId="5456" xr:uid="{00000000-0005-0000-0000-00009A1C0000}"/>
    <cellStyle name="Normal 2 54 2 15 2" xfId="23227" xr:uid="{00000000-0005-0000-0000-00009B1C0000}"/>
    <cellStyle name="Normal 2 54 2 16" xfId="23221" xr:uid="{00000000-0005-0000-0000-00009C1C0000}"/>
    <cellStyle name="Normal 2 54 2 2" xfId="5457" xr:uid="{00000000-0005-0000-0000-00009D1C0000}"/>
    <cellStyle name="Normal 2 54 2 2 10" xfId="5458" xr:uid="{00000000-0005-0000-0000-00009E1C0000}"/>
    <cellStyle name="Normal 2 54 2 2 10 2" xfId="23229" xr:uid="{00000000-0005-0000-0000-00009F1C0000}"/>
    <cellStyle name="Normal 2 54 2 2 11" xfId="5459" xr:uid="{00000000-0005-0000-0000-0000A01C0000}"/>
    <cellStyle name="Normal 2 54 2 2 11 2" xfId="23230" xr:uid="{00000000-0005-0000-0000-0000A11C0000}"/>
    <cellStyle name="Normal 2 54 2 2 12" xfId="5460" xr:uid="{00000000-0005-0000-0000-0000A21C0000}"/>
    <cellStyle name="Normal 2 54 2 2 12 2" xfId="23231" xr:uid="{00000000-0005-0000-0000-0000A31C0000}"/>
    <cellStyle name="Normal 2 54 2 2 13" xfId="5461" xr:uid="{00000000-0005-0000-0000-0000A41C0000}"/>
    <cellStyle name="Normal 2 54 2 2 13 2" xfId="23232" xr:uid="{00000000-0005-0000-0000-0000A51C0000}"/>
    <cellStyle name="Normal 2 54 2 2 14" xfId="5462" xr:uid="{00000000-0005-0000-0000-0000A61C0000}"/>
    <cellStyle name="Normal 2 54 2 2 14 2" xfId="23233" xr:uid="{00000000-0005-0000-0000-0000A71C0000}"/>
    <cellStyle name="Normal 2 54 2 2 15" xfId="23228" xr:uid="{00000000-0005-0000-0000-0000A81C0000}"/>
    <cellStyle name="Normal 2 54 2 2 2" xfId="5463" xr:uid="{00000000-0005-0000-0000-0000A91C0000}"/>
    <cellStyle name="Normal 2 54 2 2 2 2" xfId="23234" xr:uid="{00000000-0005-0000-0000-0000AA1C0000}"/>
    <cellStyle name="Normal 2 54 2 2 3" xfId="5464" xr:uid="{00000000-0005-0000-0000-0000AB1C0000}"/>
    <cellStyle name="Normal 2 54 2 2 3 2" xfId="23235" xr:uid="{00000000-0005-0000-0000-0000AC1C0000}"/>
    <cellStyle name="Normal 2 54 2 2 4" xfId="5465" xr:uid="{00000000-0005-0000-0000-0000AD1C0000}"/>
    <cellStyle name="Normal 2 54 2 2 4 2" xfId="23236" xr:uid="{00000000-0005-0000-0000-0000AE1C0000}"/>
    <cellStyle name="Normal 2 54 2 2 5" xfId="5466" xr:uid="{00000000-0005-0000-0000-0000AF1C0000}"/>
    <cellStyle name="Normal 2 54 2 2 5 2" xfId="23237" xr:uid="{00000000-0005-0000-0000-0000B01C0000}"/>
    <cellStyle name="Normal 2 54 2 2 6" xfId="5467" xr:uid="{00000000-0005-0000-0000-0000B11C0000}"/>
    <cellStyle name="Normal 2 54 2 2 6 2" xfId="23238" xr:uid="{00000000-0005-0000-0000-0000B21C0000}"/>
    <cellStyle name="Normal 2 54 2 2 7" xfId="5468" xr:uid="{00000000-0005-0000-0000-0000B31C0000}"/>
    <cellStyle name="Normal 2 54 2 2 7 2" xfId="23239" xr:uid="{00000000-0005-0000-0000-0000B41C0000}"/>
    <cellStyle name="Normal 2 54 2 2 8" xfId="5469" xr:uid="{00000000-0005-0000-0000-0000B51C0000}"/>
    <cellStyle name="Normal 2 54 2 2 8 2" xfId="23240" xr:uid="{00000000-0005-0000-0000-0000B61C0000}"/>
    <cellStyle name="Normal 2 54 2 2 9" xfId="5470" xr:uid="{00000000-0005-0000-0000-0000B71C0000}"/>
    <cellStyle name="Normal 2 54 2 2 9 2" xfId="23241" xr:uid="{00000000-0005-0000-0000-0000B81C0000}"/>
    <cellStyle name="Normal 2 54 2 3" xfId="5471" xr:uid="{00000000-0005-0000-0000-0000B91C0000}"/>
    <cellStyle name="Normal 2 54 2 3 2" xfId="23242" xr:uid="{00000000-0005-0000-0000-0000BA1C0000}"/>
    <cellStyle name="Normal 2 54 2 4" xfId="5472" xr:uid="{00000000-0005-0000-0000-0000BB1C0000}"/>
    <cellStyle name="Normal 2 54 2 4 2" xfId="23243" xr:uid="{00000000-0005-0000-0000-0000BC1C0000}"/>
    <cellStyle name="Normal 2 54 2 5" xfId="5473" xr:uid="{00000000-0005-0000-0000-0000BD1C0000}"/>
    <cellStyle name="Normal 2 54 2 5 2" xfId="23244" xr:uid="{00000000-0005-0000-0000-0000BE1C0000}"/>
    <cellStyle name="Normal 2 54 2 6" xfId="5474" xr:uid="{00000000-0005-0000-0000-0000BF1C0000}"/>
    <cellStyle name="Normal 2 54 2 6 2" xfId="23245" xr:uid="{00000000-0005-0000-0000-0000C01C0000}"/>
    <cellStyle name="Normal 2 54 2 7" xfId="5475" xr:uid="{00000000-0005-0000-0000-0000C11C0000}"/>
    <cellStyle name="Normal 2 54 2 7 2" xfId="23246" xr:uid="{00000000-0005-0000-0000-0000C21C0000}"/>
    <cellStyle name="Normal 2 54 2 8" xfId="5476" xr:uid="{00000000-0005-0000-0000-0000C31C0000}"/>
    <cellStyle name="Normal 2 54 2 8 2" xfId="23247" xr:uid="{00000000-0005-0000-0000-0000C41C0000}"/>
    <cellStyle name="Normal 2 54 2 9" xfId="5477" xr:uid="{00000000-0005-0000-0000-0000C51C0000}"/>
    <cellStyle name="Normal 2 54 2 9 2" xfId="23248" xr:uid="{00000000-0005-0000-0000-0000C61C0000}"/>
    <cellStyle name="Normal 2 54 20" xfId="5478" xr:uid="{00000000-0005-0000-0000-0000C71C0000}"/>
    <cellStyle name="Normal 2 54 20 2" xfId="23249" xr:uid="{00000000-0005-0000-0000-0000C81C0000}"/>
    <cellStyle name="Normal 2 54 21" xfId="5479" xr:uid="{00000000-0005-0000-0000-0000C91C0000}"/>
    <cellStyle name="Normal 2 54 21 2" xfId="23250" xr:uid="{00000000-0005-0000-0000-0000CA1C0000}"/>
    <cellStyle name="Normal 2 54 22" xfId="5480" xr:uid="{00000000-0005-0000-0000-0000CB1C0000}"/>
    <cellStyle name="Normal 2 54 22 2" xfId="23251" xr:uid="{00000000-0005-0000-0000-0000CC1C0000}"/>
    <cellStyle name="Normal 2 54 23" xfId="5481" xr:uid="{00000000-0005-0000-0000-0000CD1C0000}"/>
    <cellStyle name="Normal 2 54 23 2" xfId="23252" xr:uid="{00000000-0005-0000-0000-0000CE1C0000}"/>
    <cellStyle name="Normal 2 54 24" xfId="23197" xr:uid="{00000000-0005-0000-0000-0000CF1C0000}"/>
    <cellStyle name="Normal 2 54 3" xfId="5482" xr:uid="{00000000-0005-0000-0000-0000D01C0000}"/>
    <cellStyle name="Normal 2 54 3 10" xfId="5483" xr:uid="{00000000-0005-0000-0000-0000D11C0000}"/>
    <cellStyle name="Normal 2 54 3 10 2" xfId="23254" xr:uid="{00000000-0005-0000-0000-0000D21C0000}"/>
    <cellStyle name="Normal 2 54 3 11" xfId="5484" xr:uid="{00000000-0005-0000-0000-0000D31C0000}"/>
    <cellStyle name="Normal 2 54 3 11 2" xfId="23255" xr:uid="{00000000-0005-0000-0000-0000D41C0000}"/>
    <cellStyle name="Normal 2 54 3 12" xfId="5485" xr:uid="{00000000-0005-0000-0000-0000D51C0000}"/>
    <cellStyle name="Normal 2 54 3 12 2" xfId="23256" xr:uid="{00000000-0005-0000-0000-0000D61C0000}"/>
    <cellStyle name="Normal 2 54 3 13" xfId="5486" xr:uid="{00000000-0005-0000-0000-0000D71C0000}"/>
    <cellStyle name="Normal 2 54 3 13 2" xfId="23257" xr:uid="{00000000-0005-0000-0000-0000D81C0000}"/>
    <cellStyle name="Normal 2 54 3 14" xfId="5487" xr:uid="{00000000-0005-0000-0000-0000D91C0000}"/>
    <cellStyle name="Normal 2 54 3 14 2" xfId="23258" xr:uid="{00000000-0005-0000-0000-0000DA1C0000}"/>
    <cellStyle name="Normal 2 54 3 15" xfId="5488" xr:uid="{00000000-0005-0000-0000-0000DB1C0000}"/>
    <cellStyle name="Normal 2 54 3 15 2" xfId="23259" xr:uid="{00000000-0005-0000-0000-0000DC1C0000}"/>
    <cellStyle name="Normal 2 54 3 16" xfId="23253" xr:uid="{00000000-0005-0000-0000-0000DD1C0000}"/>
    <cellStyle name="Normal 2 54 3 2" xfId="5489" xr:uid="{00000000-0005-0000-0000-0000DE1C0000}"/>
    <cellStyle name="Normal 2 54 3 2 10" xfId="5490" xr:uid="{00000000-0005-0000-0000-0000DF1C0000}"/>
    <cellStyle name="Normal 2 54 3 2 10 2" xfId="23261" xr:uid="{00000000-0005-0000-0000-0000E01C0000}"/>
    <cellStyle name="Normal 2 54 3 2 11" xfId="5491" xr:uid="{00000000-0005-0000-0000-0000E11C0000}"/>
    <cellStyle name="Normal 2 54 3 2 11 2" xfId="23262" xr:uid="{00000000-0005-0000-0000-0000E21C0000}"/>
    <cellStyle name="Normal 2 54 3 2 12" xfId="5492" xr:uid="{00000000-0005-0000-0000-0000E31C0000}"/>
    <cellStyle name="Normal 2 54 3 2 12 2" xfId="23263" xr:uid="{00000000-0005-0000-0000-0000E41C0000}"/>
    <cellStyle name="Normal 2 54 3 2 13" xfId="5493" xr:uid="{00000000-0005-0000-0000-0000E51C0000}"/>
    <cellStyle name="Normal 2 54 3 2 13 2" xfId="23264" xr:uid="{00000000-0005-0000-0000-0000E61C0000}"/>
    <cellStyle name="Normal 2 54 3 2 14" xfId="5494" xr:uid="{00000000-0005-0000-0000-0000E71C0000}"/>
    <cellStyle name="Normal 2 54 3 2 14 2" xfId="23265" xr:uid="{00000000-0005-0000-0000-0000E81C0000}"/>
    <cellStyle name="Normal 2 54 3 2 15" xfId="23260" xr:uid="{00000000-0005-0000-0000-0000E91C0000}"/>
    <cellStyle name="Normal 2 54 3 2 2" xfId="5495" xr:uid="{00000000-0005-0000-0000-0000EA1C0000}"/>
    <cellStyle name="Normal 2 54 3 2 2 2" xfId="23266" xr:uid="{00000000-0005-0000-0000-0000EB1C0000}"/>
    <cellStyle name="Normal 2 54 3 2 3" xfId="5496" xr:uid="{00000000-0005-0000-0000-0000EC1C0000}"/>
    <cellStyle name="Normal 2 54 3 2 3 2" xfId="23267" xr:uid="{00000000-0005-0000-0000-0000ED1C0000}"/>
    <cellStyle name="Normal 2 54 3 2 4" xfId="5497" xr:uid="{00000000-0005-0000-0000-0000EE1C0000}"/>
    <cellStyle name="Normal 2 54 3 2 4 2" xfId="23268" xr:uid="{00000000-0005-0000-0000-0000EF1C0000}"/>
    <cellStyle name="Normal 2 54 3 2 5" xfId="5498" xr:uid="{00000000-0005-0000-0000-0000F01C0000}"/>
    <cellStyle name="Normal 2 54 3 2 5 2" xfId="23269" xr:uid="{00000000-0005-0000-0000-0000F11C0000}"/>
    <cellStyle name="Normal 2 54 3 2 6" xfId="5499" xr:uid="{00000000-0005-0000-0000-0000F21C0000}"/>
    <cellStyle name="Normal 2 54 3 2 6 2" xfId="23270" xr:uid="{00000000-0005-0000-0000-0000F31C0000}"/>
    <cellStyle name="Normal 2 54 3 2 7" xfId="5500" xr:uid="{00000000-0005-0000-0000-0000F41C0000}"/>
    <cellStyle name="Normal 2 54 3 2 7 2" xfId="23271" xr:uid="{00000000-0005-0000-0000-0000F51C0000}"/>
    <cellStyle name="Normal 2 54 3 2 8" xfId="5501" xr:uid="{00000000-0005-0000-0000-0000F61C0000}"/>
    <cellStyle name="Normal 2 54 3 2 8 2" xfId="23272" xr:uid="{00000000-0005-0000-0000-0000F71C0000}"/>
    <cellStyle name="Normal 2 54 3 2 9" xfId="5502" xr:uid="{00000000-0005-0000-0000-0000F81C0000}"/>
    <cellStyle name="Normal 2 54 3 2 9 2" xfId="23273" xr:uid="{00000000-0005-0000-0000-0000F91C0000}"/>
    <cellStyle name="Normal 2 54 3 3" xfId="5503" xr:uid="{00000000-0005-0000-0000-0000FA1C0000}"/>
    <cellStyle name="Normal 2 54 3 3 2" xfId="23274" xr:uid="{00000000-0005-0000-0000-0000FB1C0000}"/>
    <cellStyle name="Normal 2 54 3 4" xfId="5504" xr:uid="{00000000-0005-0000-0000-0000FC1C0000}"/>
    <cellStyle name="Normal 2 54 3 4 2" xfId="23275" xr:uid="{00000000-0005-0000-0000-0000FD1C0000}"/>
    <cellStyle name="Normal 2 54 3 5" xfId="5505" xr:uid="{00000000-0005-0000-0000-0000FE1C0000}"/>
    <cellStyle name="Normal 2 54 3 5 2" xfId="23276" xr:uid="{00000000-0005-0000-0000-0000FF1C0000}"/>
    <cellStyle name="Normal 2 54 3 6" xfId="5506" xr:uid="{00000000-0005-0000-0000-0000001D0000}"/>
    <cellStyle name="Normal 2 54 3 6 2" xfId="23277" xr:uid="{00000000-0005-0000-0000-0000011D0000}"/>
    <cellStyle name="Normal 2 54 3 7" xfId="5507" xr:uid="{00000000-0005-0000-0000-0000021D0000}"/>
    <cellStyle name="Normal 2 54 3 7 2" xfId="23278" xr:uid="{00000000-0005-0000-0000-0000031D0000}"/>
    <cellStyle name="Normal 2 54 3 8" xfId="5508" xr:uid="{00000000-0005-0000-0000-0000041D0000}"/>
    <cellStyle name="Normal 2 54 3 8 2" xfId="23279" xr:uid="{00000000-0005-0000-0000-0000051D0000}"/>
    <cellStyle name="Normal 2 54 3 9" xfId="5509" xr:uid="{00000000-0005-0000-0000-0000061D0000}"/>
    <cellStyle name="Normal 2 54 3 9 2" xfId="23280" xr:uid="{00000000-0005-0000-0000-0000071D0000}"/>
    <cellStyle name="Normal 2 54 4" xfId="5510" xr:uid="{00000000-0005-0000-0000-0000081D0000}"/>
    <cellStyle name="Normal 2 54 4 10" xfId="5511" xr:uid="{00000000-0005-0000-0000-0000091D0000}"/>
    <cellStyle name="Normal 2 54 4 10 2" xfId="23282" xr:uid="{00000000-0005-0000-0000-00000A1D0000}"/>
    <cellStyle name="Normal 2 54 4 11" xfId="5512" xr:uid="{00000000-0005-0000-0000-00000B1D0000}"/>
    <cellStyle name="Normal 2 54 4 11 2" xfId="23283" xr:uid="{00000000-0005-0000-0000-00000C1D0000}"/>
    <cellStyle name="Normal 2 54 4 12" xfId="5513" xr:uid="{00000000-0005-0000-0000-00000D1D0000}"/>
    <cellStyle name="Normal 2 54 4 12 2" xfId="23284" xr:uid="{00000000-0005-0000-0000-00000E1D0000}"/>
    <cellStyle name="Normal 2 54 4 13" xfId="5514" xr:uid="{00000000-0005-0000-0000-00000F1D0000}"/>
    <cellStyle name="Normal 2 54 4 13 2" xfId="23285" xr:uid="{00000000-0005-0000-0000-0000101D0000}"/>
    <cellStyle name="Normal 2 54 4 14" xfId="5515" xr:uid="{00000000-0005-0000-0000-0000111D0000}"/>
    <cellStyle name="Normal 2 54 4 14 2" xfId="23286" xr:uid="{00000000-0005-0000-0000-0000121D0000}"/>
    <cellStyle name="Normal 2 54 4 15" xfId="5516" xr:uid="{00000000-0005-0000-0000-0000131D0000}"/>
    <cellStyle name="Normal 2 54 4 15 2" xfId="23287" xr:uid="{00000000-0005-0000-0000-0000141D0000}"/>
    <cellStyle name="Normal 2 54 4 16" xfId="23281" xr:uid="{00000000-0005-0000-0000-0000151D0000}"/>
    <cellStyle name="Normal 2 54 4 2" xfId="5517" xr:uid="{00000000-0005-0000-0000-0000161D0000}"/>
    <cellStyle name="Normal 2 54 4 2 10" xfId="5518" xr:uid="{00000000-0005-0000-0000-0000171D0000}"/>
    <cellStyle name="Normal 2 54 4 2 10 2" xfId="23289" xr:uid="{00000000-0005-0000-0000-0000181D0000}"/>
    <cellStyle name="Normal 2 54 4 2 11" xfId="5519" xr:uid="{00000000-0005-0000-0000-0000191D0000}"/>
    <cellStyle name="Normal 2 54 4 2 11 2" xfId="23290" xr:uid="{00000000-0005-0000-0000-00001A1D0000}"/>
    <cellStyle name="Normal 2 54 4 2 12" xfId="5520" xr:uid="{00000000-0005-0000-0000-00001B1D0000}"/>
    <cellStyle name="Normal 2 54 4 2 12 2" xfId="23291" xr:uid="{00000000-0005-0000-0000-00001C1D0000}"/>
    <cellStyle name="Normal 2 54 4 2 13" xfId="5521" xr:uid="{00000000-0005-0000-0000-00001D1D0000}"/>
    <cellStyle name="Normal 2 54 4 2 13 2" xfId="23292" xr:uid="{00000000-0005-0000-0000-00001E1D0000}"/>
    <cellStyle name="Normal 2 54 4 2 14" xfId="5522" xr:uid="{00000000-0005-0000-0000-00001F1D0000}"/>
    <cellStyle name="Normal 2 54 4 2 14 2" xfId="23293" xr:uid="{00000000-0005-0000-0000-0000201D0000}"/>
    <cellStyle name="Normal 2 54 4 2 15" xfId="23288" xr:uid="{00000000-0005-0000-0000-0000211D0000}"/>
    <cellStyle name="Normal 2 54 4 2 2" xfId="5523" xr:uid="{00000000-0005-0000-0000-0000221D0000}"/>
    <cellStyle name="Normal 2 54 4 2 2 2" xfId="23294" xr:uid="{00000000-0005-0000-0000-0000231D0000}"/>
    <cellStyle name="Normal 2 54 4 2 3" xfId="5524" xr:uid="{00000000-0005-0000-0000-0000241D0000}"/>
    <cellStyle name="Normal 2 54 4 2 3 2" xfId="23295" xr:uid="{00000000-0005-0000-0000-0000251D0000}"/>
    <cellStyle name="Normal 2 54 4 2 4" xfId="5525" xr:uid="{00000000-0005-0000-0000-0000261D0000}"/>
    <cellStyle name="Normal 2 54 4 2 4 2" xfId="23296" xr:uid="{00000000-0005-0000-0000-0000271D0000}"/>
    <cellStyle name="Normal 2 54 4 2 5" xfId="5526" xr:uid="{00000000-0005-0000-0000-0000281D0000}"/>
    <cellStyle name="Normal 2 54 4 2 5 2" xfId="23297" xr:uid="{00000000-0005-0000-0000-0000291D0000}"/>
    <cellStyle name="Normal 2 54 4 2 6" xfId="5527" xr:uid="{00000000-0005-0000-0000-00002A1D0000}"/>
    <cellStyle name="Normal 2 54 4 2 6 2" xfId="23298" xr:uid="{00000000-0005-0000-0000-00002B1D0000}"/>
    <cellStyle name="Normal 2 54 4 2 7" xfId="5528" xr:uid="{00000000-0005-0000-0000-00002C1D0000}"/>
    <cellStyle name="Normal 2 54 4 2 7 2" xfId="23299" xr:uid="{00000000-0005-0000-0000-00002D1D0000}"/>
    <cellStyle name="Normal 2 54 4 2 8" xfId="5529" xr:uid="{00000000-0005-0000-0000-00002E1D0000}"/>
    <cellStyle name="Normal 2 54 4 2 8 2" xfId="23300" xr:uid="{00000000-0005-0000-0000-00002F1D0000}"/>
    <cellStyle name="Normal 2 54 4 2 9" xfId="5530" xr:uid="{00000000-0005-0000-0000-0000301D0000}"/>
    <cellStyle name="Normal 2 54 4 2 9 2" xfId="23301" xr:uid="{00000000-0005-0000-0000-0000311D0000}"/>
    <cellStyle name="Normal 2 54 4 3" xfId="5531" xr:uid="{00000000-0005-0000-0000-0000321D0000}"/>
    <cellStyle name="Normal 2 54 4 3 2" xfId="23302" xr:uid="{00000000-0005-0000-0000-0000331D0000}"/>
    <cellStyle name="Normal 2 54 4 4" xfId="5532" xr:uid="{00000000-0005-0000-0000-0000341D0000}"/>
    <cellStyle name="Normal 2 54 4 4 2" xfId="23303" xr:uid="{00000000-0005-0000-0000-0000351D0000}"/>
    <cellStyle name="Normal 2 54 4 5" xfId="5533" xr:uid="{00000000-0005-0000-0000-0000361D0000}"/>
    <cellStyle name="Normal 2 54 4 5 2" xfId="23304" xr:uid="{00000000-0005-0000-0000-0000371D0000}"/>
    <cellStyle name="Normal 2 54 4 6" xfId="5534" xr:uid="{00000000-0005-0000-0000-0000381D0000}"/>
    <cellStyle name="Normal 2 54 4 6 2" xfId="23305" xr:uid="{00000000-0005-0000-0000-0000391D0000}"/>
    <cellStyle name="Normal 2 54 4 7" xfId="5535" xr:uid="{00000000-0005-0000-0000-00003A1D0000}"/>
    <cellStyle name="Normal 2 54 4 7 2" xfId="23306" xr:uid="{00000000-0005-0000-0000-00003B1D0000}"/>
    <cellStyle name="Normal 2 54 4 8" xfId="5536" xr:uid="{00000000-0005-0000-0000-00003C1D0000}"/>
    <cellStyle name="Normal 2 54 4 8 2" xfId="23307" xr:uid="{00000000-0005-0000-0000-00003D1D0000}"/>
    <cellStyle name="Normal 2 54 4 9" xfId="5537" xr:uid="{00000000-0005-0000-0000-00003E1D0000}"/>
    <cellStyle name="Normal 2 54 4 9 2" xfId="23308" xr:uid="{00000000-0005-0000-0000-00003F1D0000}"/>
    <cellStyle name="Normal 2 54 5" xfId="5538" xr:uid="{00000000-0005-0000-0000-0000401D0000}"/>
    <cellStyle name="Normal 2 54 5 10" xfId="5539" xr:uid="{00000000-0005-0000-0000-0000411D0000}"/>
    <cellStyle name="Normal 2 54 5 10 2" xfId="23310" xr:uid="{00000000-0005-0000-0000-0000421D0000}"/>
    <cellStyle name="Normal 2 54 5 11" xfId="5540" xr:uid="{00000000-0005-0000-0000-0000431D0000}"/>
    <cellStyle name="Normal 2 54 5 11 2" xfId="23311" xr:uid="{00000000-0005-0000-0000-0000441D0000}"/>
    <cellStyle name="Normal 2 54 5 12" xfId="5541" xr:uid="{00000000-0005-0000-0000-0000451D0000}"/>
    <cellStyle name="Normal 2 54 5 12 2" xfId="23312" xr:uid="{00000000-0005-0000-0000-0000461D0000}"/>
    <cellStyle name="Normal 2 54 5 13" xfId="5542" xr:uid="{00000000-0005-0000-0000-0000471D0000}"/>
    <cellStyle name="Normal 2 54 5 13 2" xfId="23313" xr:uid="{00000000-0005-0000-0000-0000481D0000}"/>
    <cellStyle name="Normal 2 54 5 14" xfId="5543" xr:uid="{00000000-0005-0000-0000-0000491D0000}"/>
    <cellStyle name="Normal 2 54 5 14 2" xfId="23314" xr:uid="{00000000-0005-0000-0000-00004A1D0000}"/>
    <cellStyle name="Normal 2 54 5 15" xfId="23309" xr:uid="{00000000-0005-0000-0000-00004B1D0000}"/>
    <cellStyle name="Normal 2 54 5 2" xfId="5544" xr:uid="{00000000-0005-0000-0000-00004C1D0000}"/>
    <cellStyle name="Normal 2 54 5 2 2" xfId="23315" xr:uid="{00000000-0005-0000-0000-00004D1D0000}"/>
    <cellStyle name="Normal 2 54 5 3" xfId="5545" xr:uid="{00000000-0005-0000-0000-00004E1D0000}"/>
    <cellStyle name="Normal 2 54 5 3 2" xfId="23316" xr:uid="{00000000-0005-0000-0000-00004F1D0000}"/>
    <cellStyle name="Normal 2 54 5 4" xfId="5546" xr:uid="{00000000-0005-0000-0000-0000501D0000}"/>
    <cellStyle name="Normal 2 54 5 4 2" xfId="23317" xr:uid="{00000000-0005-0000-0000-0000511D0000}"/>
    <cellStyle name="Normal 2 54 5 5" xfId="5547" xr:uid="{00000000-0005-0000-0000-0000521D0000}"/>
    <cellStyle name="Normal 2 54 5 5 2" xfId="23318" xr:uid="{00000000-0005-0000-0000-0000531D0000}"/>
    <cellStyle name="Normal 2 54 5 6" xfId="5548" xr:uid="{00000000-0005-0000-0000-0000541D0000}"/>
    <cellStyle name="Normal 2 54 5 6 2" xfId="23319" xr:uid="{00000000-0005-0000-0000-0000551D0000}"/>
    <cellStyle name="Normal 2 54 5 7" xfId="5549" xr:uid="{00000000-0005-0000-0000-0000561D0000}"/>
    <cellStyle name="Normal 2 54 5 7 2" xfId="23320" xr:uid="{00000000-0005-0000-0000-0000571D0000}"/>
    <cellStyle name="Normal 2 54 5 8" xfId="5550" xr:uid="{00000000-0005-0000-0000-0000581D0000}"/>
    <cellStyle name="Normal 2 54 5 8 2" xfId="23321" xr:uid="{00000000-0005-0000-0000-0000591D0000}"/>
    <cellStyle name="Normal 2 54 5 9" xfId="5551" xr:uid="{00000000-0005-0000-0000-00005A1D0000}"/>
    <cellStyle name="Normal 2 54 5 9 2" xfId="23322" xr:uid="{00000000-0005-0000-0000-00005B1D0000}"/>
    <cellStyle name="Normal 2 54 6" xfId="5552" xr:uid="{00000000-0005-0000-0000-00005C1D0000}"/>
    <cellStyle name="Normal 2 54 6 10" xfId="5553" xr:uid="{00000000-0005-0000-0000-00005D1D0000}"/>
    <cellStyle name="Normal 2 54 6 10 2" xfId="23324" xr:uid="{00000000-0005-0000-0000-00005E1D0000}"/>
    <cellStyle name="Normal 2 54 6 11" xfId="5554" xr:uid="{00000000-0005-0000-0000-00005F1D0000}"/>
    <cellStyle name="Normal 2 54 6 11 2" xfId="23325" xr:uid="{00000000-0005-0000-0000-0000601D0000}"/>
    <cellStyle name="Normal 2 54 6 12" xfId="5555" xr:uid="{00000000-0005-0000-0000-0000611D0000}"/>
    <cellStyle name="Normal 2 54 6 12 2" xfId="23326" xr:uid="{00000000-0005-0000-0000-0000621D0000}"/>
    <cellStyle name="Normal 2 54 6 13" xfId="5556" xr:uid="{00000000-0005-0000-0000-0000631D0000}"/>
    <cellStyle name="Normal 2 54 6 13 2" xfId="23327" xr:uid="{00000000-0005-0000-0000-0000641D0000}"/>
    <cellStyle name="Normal 2 54 6 14" xfId="5557" xr:uid="{00000000-0005-0000-0000-0000651D0000}"/>
    <cellStyle name="Normal 2 54 6 14 2" xfId="23328" xr:uid="{00000000-0005-0000-0000-0000661D0000}"/>
    <cellStyle name="Normal 2 54 6 15" xfId="23323" xr:uid="{00000000-0005-0000-0000-0000671D0000}"/>
    <cellStyle name="Normal 2 54 6 2" xfId="5558" xr:uid="{00000000-0005-0000-0000-0000681D0000}"/>
    <cellStyle name="Normal 2 54 6 2 2" xfId="23329" xr:uid="{00000000-0005-0000-0000-0000691D0000}"/>
    <cellStyle name="Normal 2 54 6 3" xfId="5559" xr:uid="{00000000-0005-0000-0000-00006A1D0000}"/>
    <cellStyle name="Normal 2 54 6 3 2" xfId="23330" xr:uid="{00000000-0005-0000-0000-00006B1D0000}"/>
    <cellStyle name="Normal 2 54 6 4" xfId="5560" xr:uid="{00000000-0005-0000-0000-00006C1D0000}"/>
    <cellStyle name="Normal 2 54 6 4 2" xfId="23331" xr:uid="{00000000-0005-0000-0000-00006D1D0000}"/>
    <cellStyle name="Normal 2 54 6 5" xfId="5561" xr:uid="{00000000-0005-0000-0000-00006E1D0000}"/>
    <cellStyle name="Normal 2 54 6 5 2" xfId="23332" xr:uid="{00000000-0005-0000-0000-00006F1D0000}"/>
    <cellStyle name="Normal 2 54 6 6" xfId="5562" xr:uid="{00000000-0005-0000-0000-0000701D0000}"/>
    <cellStyle name="Normal 2 54 6 6 2" xfId="23333" xr:uid="{00000000-0005-0000-0000-0000711D0000}"/>
    <cellStyle name="Normal 2 54 6 7" xfId="5563" xr:uid="{00000000-0005-0000-0000-0000721D0000}"/>
    <cellStyle name="Normal 2 54 6 7 2" xfId="23334" xr:uid="{00000000-0005-0000-0000-0000731D0000}"/>
    <cellStyle name="Normal 2 54 6 8" xfId="5564" xr:uid="{00000000-0005-0000-0000-0000741D0000}"/>
    <cellStyle name="Normal 2 54 6 8 2" xfId="23335" xr:uid="{00000000-0005-0000-0000-0000751D0000}"/>
    <cellStyle name="Normal 2 54 6 9" xfId="5565" xr:uid="{00000000-0005-0000-0000-0000761D0000}"/>
    <cellStyle name="Normal 2 54 6 9 2" xfId="23336" xr:uid="{00000000-0005-0000-0000-0000771D0000}"/>
    <cellStyle name="Normal 2 54 7" xfId="5566" xr:uid="{00000000-0005-0000-0000-0000781D0000}"/>
    <cellStyle name="Normal 2 54 7 10" xfId="5567" xr:uid="{00000000-0005-0000-0000-0000791D0000}"/>
    <cellStyle name="Normal 2 54 7 10 2" xfId="23338" xr:uid="{00000000-0005-0000-0000-00007A1D0000}"/>
    <cellStyle name="Normal 2 54 7 11" xfId="5568" xr:uid="{00000000-0005-0000-0000-00007B1D0000}"/>
    <cellStyle name="Normal 2 54 7 11 2" xfId="23339" xr:uid="{00000000-0005-0000-0000-00007C1D0000}"/>
    <cellStyle name="Normal 2 54 7 12" xfId="5569" xr:uid="{00000000-0005-0000-0000-00007D1D0000}"/>
    <cellStyle name="Normal 2 54 7 12 2" xfId="23340" xr:uid="{00000000-0005-0000-0000-00007E1D0000}"/>
    <cellStyle name="Normal 2 54 7 13" xfId="5570" xr:uid="{00000000-0005-0000-0000-00007F1D0000}"/>
    <cellStyle name="Normal 2 54 7 13 2" xfId="23341" xr:uid="{00000000-0005-0000-0000-0000801D0000}"/>
    <cellStyle name="Normal 2 54 7 14" xfId="5571" xr:uid="{00000000-0005-0000-0000-0000811D0000}"/>
    <cellStyle name="Normal 2 54 7 14 2" xfId="23342" xr:uid="{00000000-0005-0000-0000-0000821D0000}"/>
    <cellStyle name="Normal 2 54 7 15" xfId="23337" xr:uid="{00000000-0005-0000-0000-0000831D0000}"/>
    <cellStyle name="Normal 2 54 7 2" xfId="5572" xr:uid="{00000000-0005-0000-0000-0000841D0000}"/>
    <cellStyle name="Normal 2 54 7 2 2" xfId="23343" xr:uid="{00000000-0005-0000-0000-0000851D0000}"/>
    <cellStyle name="Normal 2 54 7 3" xfId="5573" xr:uid="{00000000-0005-0000-0000-0000861D0000}"/>
    <cellStyle name="Normal 2 54 7 3 2" xfId="23344" xr:uid="{00000000-0005-0000-0000-0000871D0000}"/>
    <cellStyle name="Normal 2 54 7 4" xfId="5574" xr:uid="{00000000-0005-0000-0000-0000881D0000}"/>
    <cellStyle name="Normal 2 54 7 4 2" xfId="23345" xr:uid="{00000000-0005-0000-0000-0000891D0000}"/>
    <cellStyle name="Normal 2 54 7 5" xfId="5575" xr:uid="{00000000-0005-0000-0000-00008A1D0000}"/>
    <cellStyle name="Normal 2 54 7 5 2" xfId="23346" xr:uid="{00000000-0005-0000-0000-00008B1D0000}"/>
    <cellStyle name="Normal 2 54 7 6" xfId="5576" xr:uid="{00000000-0005-0000-0000-00008C1D0000}"/>
    <cellStyle name="Normal 2 54 7 6 2" xfId="23347" xr:uid="{00000000-0005-0000-0000-00008D1D0000}"/>
    <cellStyle name="Normal 2 54 7 7" xfId="5577" xr:uid="{00000000-0005-0000-0000-00008E1D0000}"/>
    <cellStyle name="Normal 2 54 7 7 2" xfId="23348" xr:uid="{00000000-0005-0000-0000-00008F1D0000}"/>
    <cellStyle name="Normal 2 54 7 8" xfId="5578" xr:uid="{00000000-0005-0000-0000-0000901D0000}"/>
    <cellStyle name="Normal 2 54 7 8 2" xfId="23349" xr:uid="{00000000-0005-0000-0000-0000911D0000}"/>
    <cellStyle name="Normal 2 54 7 9" xfId="5579" xr:uid="{00000000-0005-0000-0000-0000921D0000}"/>
    <cellStyle name="Normal 2 54 7 9 2" xfId="23350" xr:uid="{00000000-0005-0000-0000-0000931D0000}"/>
    <cellStyle name="Normal 2 54 8" xfId="5580" xr:uid="{00000000-0005-0000-0000-0000941D0000}"/>
    <cellStyle name="Normal 2 54 8 10" xfId="5581" xr:uid="{00000000-0005-0000-0000-0000951D0000}"/>
    <cellStyle name="Normal 2 54 8 10 2" xfId="23352" xr:uid="{00000000-0005-0000-0000-0000961D0000}"/>
    <cellStyle name="Normal 2 54 8 11" xfId="5582" xr:uid="{00000000-0005-0000-0000-0000971D0000}"/>
    <cellStyle name="Normal 2 54 8 11 2" xfId="23353" xr:uid="{00000000-0005-0000-0000-0000981D0000}"/>
    <cellStyle name="Normal 2 54 8 12" xfId="5583" xr:uid="{00000000-0005-0000-0000-0000991D0000}"/>
    <cellStyle name="Normal 2 54 8 12 2" xfId="23354" xr:uid="{00000000-0005-0000-0000-00009A1D0000}"/>
    <cellStyle name="Normal 2 54 8 13" xfId="5584" xr:uid="{00000000-0005-0000-0000-00009B1D0000}"/>
    <cellStyle name="Normal 2 54 8 13 2" xfId="23355" xr:uid="{00000000-0005-0000-0000-00009C1D0000}"/>
    <cellStyle name="Normal 2 54 8 14" xfId="5585" xr:uid="{00000000-0005-0000-0000-00009D1D0000}"/>
    <cellStyle name="Normal 2 54 8 14 2" xfId="23356" xr:uid="{00000000-0005-0000-0000-00009E1D0000}"/>
    <cellStyle name="Normal 2 54 8 15" xfId="23351" xr:uid="{00000000-0005-0000-0000-00009F1D0000}"/>
    <cellStyle name="Normal 2 54 8 2" xfId="5586" xr:uid="{00000000-0005-0000-0000-0000A01D0000}"/>
    <cellStyle name="Normal 2 54 8 2 2" xfId="23357" xr:uid="{00000000-0005-0000-0000-0000A11D0000}"/>
    <cellStyle name="Normal 2 54 8 3" xfId="5587" xr:uid="{00000000-0005-0000-0000-0000A21D0000}"/>
    <cellStyle name="Normal 2 54 8 3 2" xfId="23358" xr:uid="{00000000-0005-0000-0000-0000A31D0000}"/>
    <cellStyle name="Normal 2 54 8 4" xfId="5588" xr:uid="{00000000-0005-0000-0000-0000A41D0000}"/>
    <cellStyle name="Normal 2 54 8 4 2" xfId="23359" xr:uid="{00000000-0005-0000-0000-0000A51D0000}"/>
    <cellStyle name="Normal 2 54 8 5" xfId="5589" xr:uid="{00000000-0005-0000-0000-0000A61D0000}"/>
    <cellStyle name="Normal 2 54 8 5 2" xfId="23360" xr:uid="{00000000-0005-0000-0000-0000A71D0000}"/>
    <cellStyle name="Normal 2 54 8 6" xfId="5590" xr:uid="{00000000-0005-0000-0000-0000A81D0000}"/>
    <cellStyle name="Normal 2 54 8 6 2" xfId="23361" xr:uid="{00000000-0005-0000-0000-0000A91D0000}"/>
    <cellStyle name="Normal 2 54 8 7" xfId="5591" xr:uid="{00000000-0005-0000-0000-0000AA1D0000}"/>
    <cellStyle name="Normal 2 54 8 7 2" xfId="23362" xr:uid="{00000000-0005-0000-0000-0000AB1D0000}"/>
    <cellStyle name="Normal 2 54 8 8" xfId="5592" xr:uid="{00000000-0005-0000-0000-0000AC1D0000}"/>
    <cellStyle name="Normal 2 54 8 8 2" xfId="23363" xr:uid="{00000000-0005-0000-0000-0000AD1D0000}"/>
    <cellStyle name="Normal 2 54 8 9" xfId="5593" xr:uid="{00000000-0005-0000-0000-0000AE1D0000}"/>
    <cellStyle name="Normal 2 54 8 9 2" xfId="23364" xr:uid="{00000000-0005-0000-0000-0000AF1D0000}"/>
    <cellStyle name="Normal 2 54 9" xfId="5594" xr:uid="{00000000-0005-0000-0000-0000B01D0000}"/>
    <cellStyle name="Normal 2 54 9 10" xfId="5595" xr:uid="{00000000-0005-0000-0000-0000B11D0000}"/>
    <cellStyle name="Normal 2 54 9 10 2" xfId="23366" xr:uid="{00000000-0005-0000-0000-0000B21D0000}"/>
    <cellStyle name="Normal 2 54 9 11" xfId="5596" xr:uid="{00000000-0005-0000-0000-0000B31D0000}"/>
    <cellStyle name="Normal 2 54 9 11 2" xfId="23367" xr:uid="{00000000-0005-0000-0000-0000B41D0000}"/>
    <cellStyle name="Normal 2 54 9 12" xfId="5597" xr:uid="{00000000-0005-0000-0000-0000B51D0000}"/>
    <cellStyle name="Normal 2 54 9 12 2" xfId="23368" xr:uid="{00000000-0005-0000-0000-0000B61D0000}"/>
    <cellStyle name="Normal 2 54 9 13" xfId="5598" xr:uid="{00000000-0005-0000-0000-0000B71D0000}"/>
    <cellStyle name="Normal 2 54 9 13 2" xfId="23369" xr:uid="{00000000-0005-0000-0000-0000B81D0000}"/>
    <cellStyle name="Normal 2 54 9 14" xfId="5599" xr:uid="{00000000-0005-0000-0000-0000B91D0000}"/>
    <cellStyle name="Normal 2 54 9 14 2" xfId="23370" xr:uid="{00000000-0005-0000-0000-0000BA1D0000}"/>
    <cellStyle name="Normal 2 54 9 15" xfId="23365" xr:uid="{00000000-0005-0000-0000-0000BB1D0000}"/>
    <cellStyle name="Normal 2 54 9 2" xfId="5600" xr:uid="{00000000-0005-0000-0000-0000BC1D0000}"/>
    <cellStyle name="Normal 2 54 9 2 2" xfId="23371" xr:uid="{00000000-0005-0000-0000-0000BD1D0000}"/>
    <cellStyle name="Normal 2 54 9 3" xfId="5601" xr:uid="{00000000-0005-0000-0000-0000BE1D0000}"/>
    <cellStyle name="Normal 2 54 9 3 2" xfId="23372" xr:uid="{00000000-0005-0000-0000-0000BF1D0000}"/>
    <cellStyle name="Normal 2 54 9 4" xfId="5602" xr:uid="{00000000-0005-0000-0000-0000C01D0000}"/>
    <cellStyle name="Normal 2 54 9 4 2" xfId="23373" xr:uid="{00000000-0005-0000-0000-0000C11D0000}"/>
    <cellStyle name="Normal 2 54 9 5" xfId="5603" xr:uid="{00000000-0005-0000-0000-0000C21D0000}"/>
    <cellStyle name="Normal 2 54 9 5 2" xfId="23374" xr:uid="{00000000-0005-0000-0000-0000C31D0000}"/>
    <cellStyle name="Normal 2 54 9 6" xfId="5604" xr:uid="{00000000-0005-0000-0000-0000C41D0000}"/>
    <cellStyle name="Normal 2 54 9 6 2" xfId="23375" xr:uid="{00000000-0005-0000-0000-0000C51D0000}"/>
    <cellStyle name="Normal 2 54 9 7" xfId="5605" xr:uid="{00000000-0005-0000-0000-0000C61D0000}"/>
    <cellStyle name="Normal 2 54 9 7 2" xfId="23376" xr:uid="{00000000-0005-0000-0000-0000C71D0000}"/>
    <cellStyle name="Normal 2 54 9 8" xfId="5606" xr:uid="{00000000-0005-0000-0000-0000C81D0000}"/>
    <cellStyle name="Normal 2 54 9 8 2" xfId="23377" xr:uid="{00000000-0005-0000-0000-0000C91D0000}"/>
    <cellStyle name="Normal 2 54 9 9" xfId="5607" xr:uid="{00000000-0005-0000-0000-0000CA1D0000}"/>
    <cellStyle name="Normal 2 54 9 9 2" xfId="23378" xr:uid="{00000000-0005-0000-0000-0000CB1D0000}"/>
    <cellStyle name="Normal 2 55" xfId="5608" xr:uid="{00000000-0005-0000-0000-0000CC1D0000}"/>
    <cellStyle name="Normal 2 55 10" xfId="5609" xr:uid="{00000000-0005-0000-0000-0000CD1D0000}"/>
    <cellStyle name="Normal 2 55 10 10" xfId="5610" xr:uid="{00000000-0005-0000-0000-0000CE1D0000}"/>
    <cellStyle name="Normal 2 55 10 10 2" xfId="23381" xr:uid="{00000000-0005-0000-0000-0000CF1D0000}"/>
    <cellStyle name="Normal 2 55 10 11" xfId="5611" xr:uid="{00000000-0005-0000-0000-0000D01D0000}"/>
    <cellStyle name="Normal 2 55 10 11 2" xfId="23382" xr:uid="{00000000-0005-0000-0000-0000D11D0000}"/>
    <cellStyle name="Normal 2 55 10 12" xfId="5612" xr:uid="{00000000-0005-0000-0000-0000D21D0000}"/>
    <cellStyle name="Normal 2 55 10 12 2" xfId="23383" xr:uid="{00000000-0005-0000-0000-0000D31D0000}"/>
    <cellStyle name="Normal 2 55 10 13" xfId="5613" xr:uid="{00000000-0005-0000-0000-0000D41D0000}"/>
    <cellStyle name="Normal 2 55 10 13 2" xfId="23384" xr:uid="{00000000-0005-0000-0000-0000D51D0000}"/>
    <cellStyle name="Normal 2 55 10 14" xfId="5614" xr:uid="{00000000-0005-0000-0000-0000D61D0000}"/>
    <cellStyle name="Normal 2 55 10 14 2" xfId="23385" xr:uid="{00000000-0005-0000-0000-0000D71D0000}"/>
    <cellStyle name="Normal 2 55 10 15" xfId="23380" xr:uid="{00000000-0005-0000-0000-0000D81D0000}"/>
    <cellStyle name="Normal 2 55 10 2" xfId="5615" xr:uid="{00000000-0005-0000-0000-0000D91D0000}"/>
    <cellStyle name="Normal 2 55 10 2 2" xfId="23386" xr:uid="{00000000-0005-0000-0000-0000DA1D0000}"/>
    <cellStyle name="Normal 2 55 10 3" xfId="5616" xr:uid="{00000000-0005-0000-0000-0000DB1D0000}"/>
    <cellStyle name="Normal 2 55 10 3 2" xfId="23387" xr:uid="{00000000-0005-0000-0000-0000DC1D0000}"/>
    <cellStyle name="Normal 2 55 10 4" xfId="5617" xr:uid="{00000000-0005-0000-0000-0000DD1D0000}"/>
    <cellStyle name="Normal 2 55 10 4 2" xfId="23388" xr:uid="{00000000-0005-0000-0000-0000DE1D0000}"/>
    <cellStyle name="Normal 2 55 10 5" xfId="5618" xr:uid="{00000000-0005-0000-0000-0000DF1D0000}"/>
    <cellStyle name="Normal 2 55 10 5 2" xfId="23389" xr:uid="{00000000-0005-0000-0000-0000E01D0000}"/>
    <cellStyle name="Normal 2 55 10 6" xfId="5619" xr:uid="{00000000-0005-0000-0000-0000E11D0000}"/>
    <cellStyle name="Normal 2 55 10 6 2" xfId="23390" xr:uid="{00000000-0005-0000-0000-0000E21D0000}"/>
    <cellStyle name="Normal 2 55 10 7" xfId="5620" xr:uid="{00000000-0005-0000-0000-0000E31D0000}"/>
    <cellStyle name="Normal 2 55 10 7 2" xfId="23391" xr:uid="{00000000-0005-0000-0000-0000E41D0000}"/>
    <cellStyle name="Normal 2 55 10 8" xfId="5621" xr:uid="{00000000-0005-0000-0000-0000E51D0000}"/>
    <cellStyle name="Normal 2 55 10 8 2" xfId="23392" xr:uid="{00000000-0005-0000-0000-0000E61D0000}"/>
    <cellStyle name="Normal 2 55 10 9" xfId="5622" xr:uid="{00000000-0005-0000-0000-0000E71D0000}"/>
    <cellStyle name="Normal 2 55 10 9 2" xfId="23393" xr:uid="{00000000-0005-0000-0000-0000E81D0000}"/>
    <cellStyle name="Normal 2 55 11" xfId="5623" xr:uid="{00000000-0005-0000-0000-0000E91D0000}"/>
    <cellStyle name="Normal 2 55 11 2" xfId="23394" xr:uid="{00000000-0005-0000-0000-0000EA1D0000}"/>
    <cellStyle name="Normal 2 55 12" xfId="5624" xr:uid="{00000000-0005-0000-0000-0000EB1D0000}"/>
    <cellStyle name="Normal 2 55 12 2" xfId="23395" xr:uid="{00000000-0005-0000-0000-0000EC1D0000}"/>
    <cellStyle name="Normal 2 55 13" xfId="5625" xr:uid="{00000000-0005-0000-0000-0000ED1D0000}"/>
    <cellStyle name="Normal 2 55 13 2" xfId="23396" xr:uid="{00000000-0005-0000-0000-0000EE1D0000}"/>
    <cellStyle name="Normal 2 55 14" xfId="5626" xr:uid="{00000000-0005-0000-0000-0000EF1D0000}"/>
    <cellStyle name="Normal 2 55 14 2" xfId="23397" xr:uid="{00000000-0005-0000-0000-0000F01D0000}"/>
    <cellStyle name="Normal 2 55 15" xfId="5627" xr:uid="{00000000-0005-0000-0000-0000F11D0000}"/>
    <cellStyle name="Normal 2 55 15 2" xfId="23398" xr:uid="{00000000-0005-0000-0000-0000F21D0000}"/>
    <cellStyle name="Normal 2 55 16" xfId="5628" xr:uid="{00000000-0005-0000-0000-0000F31D0000}"/>
    <cellStyle name="Normal 2 55 16 2" xfId="23399" xr:uid="{00000000-0005-0000-0000-0000F41D0000}"/>
    <cellStyle name="Normal 2 55 17" xfId="5629" xr:uid="{00000000-0005-0000-0000-0000F51D0000}"/>
    <cellStyle name="Normal 2 55 17 2" xfId="23400" xr:uid="{00000000-0005-0000-0000-0000F61D0000}"/>
    <cellStyle name="Normal 2 55 18" xfId="5630" xr:uid="{00000000-0005-0000-0000-0000F71D0000}"/>
    <cellStyle name="Normal 2 55 18 2" xfId="23401" xr:uid="{00000000-0005-0000-0000-0000F81D0000}"/>
    <cellStyle name="Normal 2 55 19" xfId="5631" xr:uid="{00000000-0005-0000-0000-0000F91D0000}"/>
    <cellStyle name="Normal 2 55 19 2" xfId="23402" xr:uid="{00000000-0005-0000-0000-0000FA1D0000}"/>
    <cellStyle name="Normal 2 55 2" xfId="5632" xr:uid="{00000000-0005-0000-0000-0000FB1D0000}"/>
    <cellStyle name="Normal 2 55 2 10" xfId="5633" xr:uid="{00000000-0005-0000-0000-0000FC1D0000}"/>
    <cellStyle name="Normal 2 55 2 10 2" xfId="23404" xr:uid="{00000000-0005-0000-0000-0000FD1D0000}"/>
    <cellStyle name="Normal 2 55 2 11" xfId="5634" xr:uid="{00000000-0005-0000-0000-0000FE1D0000}"/>
    <cellStyle name="Normal 2 55 2 11 2" xfId="23405" xr:uid="{00000000-0005-0000-0000-0000FF1D0000}"/>
    <cellStyle name="Normal 2 55 2 12" xfId="5635" xr:uid="{00000000-0005-0000-0000-0000001E0000}"/>
    <cellStyle name="Normal 2 55 2 12 2" xfId="23406" xr:uid="{00000000-0005-0000-0000-0000011E0000}"/>
    <cellStyle name="Normal 2 55 2 13" xfId="5636" xr:uid="{00000000-0005-0000-0000-0000021E0000}"/>
    <cellStyle name="Normal 2 55 2 13 2" xfId="23407" xr:uid="{00000000-0005-0000-0000-0000031E0000}"/>
    <cellStyle name="Normal 2 55 2 14" xfId="5637" xr:uid="{00000000-0005-0000-0000-0000041E0000}"/>
    <cellStyle name="Normal 2 55 2 14 2" xfId="23408" xr:uid="{00000000-0005-0000-0000-0000051E0000}"/>
    <cellStyle name="Normal 2 55 2 15" xfId="5638" xr:uid="{00000000-0005-0000-0000-0000061E0000}"/>
    <cellStyle name="Normal 2 55 2 15 2" xfId="23409" xr:uid="{00000000-0005-0000-0000-0000071E0000}"/>
    <cellStyle name="Normal 2 55 2 16" xfId="23403" xr:uid="{00000000-0005-0000-0000-0000081E0000}"/>
    <cellStyle name="Normal 2 55 2 2" xfId="5639" xr:uid="{00000000-0005-0000-0000-0000091E0000}"/>
    <cellStyle name="Normal 2 55 2 2 10" xfId="5640" xr:uid="{00000000-0005-0000-0000-00000A1E0000}"/>
    <cellStyle name="Normal 2 55 2 2 10 2" xfId="23411" xr:uid="{00000000-0005-0000-0000-00000B1E0000}"/>
    <cellStyle name="Normal 2 55 2 2 11" xfId="5641" xr:uid="{00000000-0005-0000-0000-00000C1E0000}"/>
    <cellStyle name="Normal 2 55 2 2 11 2" xfId="23412" xr:uid="{00000000-0005-0000-0000-00000D1E0000}"/>
    <cellStyle name="Normal 2 55 2 2 12" xfId="5642" xr:uid="{00000000-0005-0000-0000-00000E1E0000}"/>
    <cellStyle name="Normal 2 55 2 2 12 2" xfId="23413" xr:uid="{00000000-0005-0000-0000-00000F1E0000}"/>
    <cellStyle name="Normal 2 55 2 2 13" xfId="5643" xr:uid="{00000000-0005-0000-0000-0000101E0000}"/>
    <cellStyle name="Normal 2 55 2 2 13 2" xfId="23414" xr:uid="{00000000-0005-0000-0000-0000111E0000}"/>
    <cellStyle name="Normal 2 55 2 2 14" xfId="5644" xr:uid="{00000000-0005-0000-0000-0000121E0000}"/>
    <cellStyle name="Normal 2 55 2 2 14 2" xfId="23415" xr:uid="{00000000-0005-0000-0000-0000131E0000}"/>
    <cellStyle name="Normal 2 55 2 2 15" xfId="23410" xr:uid="{00000000-0005-0000-0000-0000141E0000}"/>
    <cellStyle name="Normal 2 55 2 2 2" xfId="5645" xr:uid="{00000000-0005-0000-0000-0000151E0000}"/>
    <cellStyle name="Normal 2 55 2 2 2 2" xfId="23416" xr:uid="{00000000-0005-0000-0000-0000161E0000}"/>
    <cellStyle name="Normal 2 55 2 2 3" xfId="5646" xr:uid="{00000000-0005-0000-0000-0000171E0000}"/>
    <cellStyle name="Normal 2 55 2 2 3 2" xfId="23417" xr:uid="{00000000-0005-0000-0000-0000181E0000}"/>
    <cellStyle name="Normal 2 55 2 2 4" xfId="5647" xr:uid="{00000000-0005-0000-0000-0000191E0000}"/>
    <cellStyle name="Normal 2 55 2 2 4 2" xfId="23418" xr:uid="{00000000-0005-0000-0000-00001A1E0000}"/>
    <cellStyle name="Normal 2 55 2 2 5" xfId="5648" xr:uid="{00000000-0005-0000-0000-00001B1E0000}"/>
    <cellStyle name="Normal 2 55 2 2 5 2" xfId="23419" xr:uid="{00000000-0005-0000-0000-00001C1E0000}"/>
    <cellStyle name="Normal 2 55 2 2 6" xfId="5649" xr:uid="{00000000-0005-0000-0000-00001D1E0000}"/>
    <cellStyle name="Normal 2 55 2 2 6 2" xfId="23420" xr:uid="{00000000-0005-0000-0000-00001E1E0000}"/>
    <cellStyle name="Normal 2 55 2 2 7" xfId="5650" xr:uid="{00000000-0005-0000-0000-00001F1E0000}"/>
    <cellStyle name="Normal 2 55 2 2 7 2" xfId="23421" xr:uid="{00000000-0005-0000-0000-0000201E0000}"/>
    <cellStyle name="Normal 2 55 2 2 8" xfId="5651" xr:uid="{00000000-0005-0000-0000-0000211E0000}"/>
    <cellStyle name="Normal 2 55 2 2 8 2" xfId="23422" xr:uid="{00000000-0005-0000-0000-0000221E0000}"/>
    <cellStyle name="Normal 2 55 2 2 9" xfId="5652" xr:uid="{00000000-0005-0000-0000-0000231E0000}"/>
    <cellStyle name="Normal 2 55 2 2 9 2" xfId="23423" xr:uid="{00000000-0005-0000-0000-0000241E0000}"/>
    <cellStyle name="Normal 2 55 2 3" xfId="5653" xr:uid="{00000000-0005-0000-0000-0000251E0000}"/>
    <cellStyle name="Normal 2 55 2 3 2" xfId="23424" xr:uid="{00000000-0005-0000-0000-0000261E0000}"/>
    <cellStyle name="Normal 2 55 2 4" xfId="5654" xr:uid="{00000000-0005-0000-0000-0000271E0000}"/>
    <cellStyle name="Normal 2 55 2 4 2" xfId="23425" xr:uid="{00000000-0005-0000-0000-0000281E0000}"/>
    <cellStyle name="Normal 2 55 2 5" xfId="5655" xr:uid="{00000000-0005-0000-0000-0000291E0000}"/>
    <cellStyle name="Normal 2 55 2 5 2" xfId="23426" xr:uid="{00000000-0005-0000-0000-00002A1E0000}"/>
    <cellStyle name="Normal 2 55 2 6" xfId="5656" xr:uid="{00000000-0005-0000-0000-00002B1E0000}"/>
    <cellStyle name="Normal 2 55 2 6 2" xfId="23427" xr:uid="{00000000-0005-0000-0000-00002C1E0000}"/>
    <cellStyle name="Normal 2 55 2 7" xfId="5657" xr:uid="{00000000-0005-0000-0000-00002D1E0000}"/>
    <cellStyle name="Normal 2 55 2 7 2" xfId="23428" xr:uid="{00000000-0005-0000-0000-00002E1E0000}"/>
    <cellStyle name="Normal 2 55 2 8" xfId="5658" xr:uid="{00000000-0005-0000-0000-00002F1E0000}"/>
    <cellStyle name="Normal 2 55 2 8 2" xfId="23429" xr:uid="{00000000-0005-0000-0000-0000301E0000}"/>
    <cellStyle name="Normal 2 55 2 9" xfId="5659" xr:uid="{00000000-0005-0000-0000-0000311E0000}"/>
    <cellStyle name="Normal 2 55 2 9 2" xfId="23430" xr:uid="{00000000-0005-0000-0000-0000321E0000}"/>
    <cellStyle name="Normal 2 55 20" xfId="5660" xr:uid="{00000000-0005-0000-0000-0000331E0000}"/>
    <cellStyle name="Normal 2 55 20 2" xfId="23431" xr:uid="{00000000-0005-0000-0000-0000341E0000}"/>
    <cellStyle name="Normal 2 55 21" xfId="5661" xr:uid="{00000000-0005-0000-0000-0000351E0000}"/>
    <cellStyle name="Normal 2 55 21 2" xfId="23432" xr:uid="{00000000-0005-0000-0000-0000361E0000}"/>
    <cellStyle name="Normal 2 55 22" xfId="5662" xr:uid="{00000000-0005-0000-0000-0000371E0000}"/>
    <cellStyle name="Normal 2 55 22 2" xfId="23433" xr:uid="{00000000-0005-0000-0000-0000381E0000}"/>
    <cellStyle name="Normal 2 55 23" xfId="5663" xr:uid="{00000000-0005-0000-0000-0000391E0000}"/>
    <cellStyle name="Normal 2 55 23 2" xfId="23434" xr:uid="{00000000-0005-0000-0000-00003A1E0000}"/>
    <cellStyle name="Normal 2 55 24" xfId="23379" xr:uid="{00000000-0005-0000-0000-00003B1E0000}"/>
    <cellStyle name="Normal 2 55 3" xfId="5664" xr:uid="{00000000-0005-0000-0000-00003C1E0000}"/>
    <cellStyle name="Normal 2 55 3 10" xfId="5665" xr:uid="{00000000-0005-0000-0000-00003D1E0000}"/>
    <cellStyle name="Normal 2 55 3 10 2" xfId="23436" xr:uid="{00000000-0005-0000-0000-00003E1E0000}"/>
    <cellStyle name="Normal 2 55 3 11" xfId="5666" xr:uid="{00000000-0005-0000-0000-00003F1E0000}"/>
    <cellStyle name="Normal 2 55 3 11 2" xfId="23437" xr:uid="{00000000-0005-0000-0000-0000401E0000}"/>
    <cellStyle name="Normal 2 55 3 12" xfId="5667" xr:uid="{00000000-0005-0000-0000-0000411E0000}"/>
    <cellStyle name="Normal 2 55 3 12 2" xfId="23438" xr:uid="{00000000-0005-0000-0000-0000421E0000}"/>
    <cellStyle name="Normal 2 55 3 13" xfId="5668" xr:uid="{00000000-0005-0000-0000-0000431E0000}"/>
    <cellStyle name="Normal 2 55 3 13 2" xfId="23439" xr:uid="{00000000-0005-0000-0000-0000441E0000}"/>
    <cellStyle name="Normal 2 55 3 14" xfId="5669" xr:uid="{00000000-0005-0000-0000-0000451E0000}"/>
    <cellStyle name="Normal 2 55 3 14 2" xfId="23440" xr:uid="{00000000-0005-0000-0000-0000461E0000}"/>
    <cellStyle name="Normal 2 55 3 15" xfId="5670" xr:uid="{00000000-0005-0000-0000-0000471E0000}"/>
    <cellStyle name="Normal 2 55 3 15 2" xfId="23441" xr:uid="{00000000-0005-0000-0000-0000481E0000}"/>
    <cellStyle name="Normal 2 55 3 16" xfId="23435" xr:uid="{00000000-0005-0000-0000-0000491E0000}"/>
    <cellStyle name="Normal 2 55 3 2" xfId="5671" xr:uid="{00000000-0005-0000-0000-00004A1E0000}"/>
    <cellStyle name="Normal 2 55 3 2 10" xfId="5672" xr:uid="{00000000-0005-0000-0000-00004B1E0000}"/>
    <cellStyle name="Normal 2 55 3 2 10 2" xfId="23443" xr:uid="{00000000-0005-0000-0000-00004C1E0000}"/>
    <cellStyle name="Normal 2 55 3 2 11" xfId="5673" xr:uid="{00000000-0005-0000-0000-00004D1E0000}"/>
    <cellStyle name="Normal 2 55 3 2 11 2" xfId="23444" xr:uid="{00000000-0005-0000-0000-00004E1E0000}"/>
    <cellStyle name="Normal 2 55 3 2 12" xfId="5674" xr:uid="{00000000-0005-0000-0000-00004F1E0000}"/>
    <cellStyle name="Normal 2 55 3 2 12 2" xfId="23445" xr:uid="{00000000-0005-0000-0000-0000501E0000}"/>
    <cellStyle name="Normal 2 55 3 2 13" xfId="5675" xr:uid="{00000000-0005-0000-0000-0000511E0000}"/>
    <cellStyle name="Normal 2 55 3 2 13 2" xfId="23446" xr:uid="{00000000-0005-0000-0000-0000521E0000}"/>
    <cellStyle name="Normal 2 55 3 2 14" xfId="5676" xr:uid="{00000000-0005-0000-0000-0000531E0000}"/>
    <cellStyle name="Normal 2 55 3 2 14 2" xfId="23447" xr:uid="{00000000-0005-0000-0000-0000541E0000}"/>
    <cellStyle name="Normal 2 55 3 2 15" xfId="23442" xr:uid="{00000000-0005-0000-0000-0000551E0000}"/>
    <cellStyle name="Normal 2 55 3 2 2" xfId="5677" xr:uid="{00000000-0005-0000-0000-0000561E0000}"/>
    <cellStyle name="Normal 2 55 3 2 2 2" xfId="23448" xr:uid="{00000000-0005-0000-0000-0000571E0000}"/>
    <cellStyle name="Normal 2 55 3 2 3" xfId="5678" xr:uid="{00000000-0005-0000-0000-0000581E0000}"/>
    <cellStyle name="Normal 2 55 3 2 3 2" xfId="23449" xr:uid="{00000000-0005-0000-0000-0000591E0000}"/>
    <cellStyle name="Normal 2 55 3 2 4" xfId="5679" xr:uid="{00000000-0005-0000-0000-00005A1E0000}"/>
    <cellStyle name="Normal 2 55 3 2 4 2" xfId="23450" xr:uid="{00000000-0005-0000-0000-00005B1E0000}"/>
    <cellStyle name="Normal 2 55 3 2 5" xfId="5680" xr:uid="{00000000-0005-0000-0000-00005C1E0000}"/>
    <cellStyle name="Normal 2 55 3 2 5 2" xfId="23451" xr:uid="{00000000-0005-0000-0000-00005D1E0000}"/>
    <cellStyle name="Normal 2 55 3 2 6" xfId="5681" xr:uid="{00000000-0005-0000-0000-00005E1E0000}"/>
    <cellStyle name="Normal 2 55 3 2 6 2" xfId="23452" xr:uid="{00000000-0005-0000-0000-00005F1E0000}"/>
    <cellStyle name="Normal 2 55 3 2 7" xfId="5682" xr:uid="{00000000-0005-0000-0000-0000601E0000}"/>
    <cellStyle name="Normal 2 55 3 2 7 2" xfId="23453" xr:uid="{00000000-0005-0000-0000-0000611E0000}"/>
    <cellStyle name="Normal 2 55 3 2 8" xfId="5683" xr:uid="{00000000-0005-0000-0000-0000621E0000}"/>
    <cellStyle name="Normal 2 55 3 2 8 2" xfId="23454" xr:uid="{00000000-0005-0000-0000-0000631E0000}"/>
    <cellStyle name="Normal 2 55 3 2 9" xfId="5684" xr:uid="{00000000-0005-0000-0000-0000641E0000}"/>
    <cellStyle name="Normal 2 55 3 2 9 2" xfId="23455" xr:uid="{00000000-0005-0000-0000-0000651E0000}"/>
    <cellStyle name="Normal 2 55 3 3" xfId="5685" xr:uid="{00000000-0005-0000-0000-0000661E0000}"/>
    <cellStyle name="Normal 2 55 3 3 2" xfId="23456" xr:uid="{00000000-0005-0000-0000-0000671E0000}"/>
    <cellStyle name="Normal 2 55 3 4" xfId="5686" xr:uid="{00000000-0005-0000-0000-0000681E0000}"/>
    <cellStyle name="Normal 2 55 3 4 2" xfId="23457" xr:uid="{00000000-0005-0000-0000-0000691E0000}"/>
    <cellStyle name="Normal 2 55 3 5" xfId="5687" xr:uid="{00000000-0005-0000-0000-00006A1E0000}"/>
    <cellStyle name="Normal 2 55 3 5 2" xfId="23458" xr:uid="{00000000-0005-0000-0000-00006B1E0000}"/>
    <cellStyle name="Normal 2 55 3 6" xfId="5688" xr:uid="{00000000-0005-0000-0000-00006C1E0000}"/>
    <cellStyle name="Normal 2 55 3 6 2" xfId="23459" xr:uid="{00000000-0005-0000-0000-00006D1E0000}"/>
    <cellStyle name="Normal 2 55 3 7" xfId="5689" xr:uid="{00000000-0005-0000-0000-00006E1E0000}"/>
    <cellStyle name="Normal 2 55 3 7 2" xfId="23460" xr:uid="{00000000-0005-0000-0000-00006F1E0000}"/>
    <cellStyle name="Normal 2 55 3 8" xfId="5690" xr:uid="{00000000-0005-0000-0000-0000701E0000}"/>
    <cellStyle name="Normal 2 55 3 8 2" xfId="23461" xr:uid="{00000000-0005-0000-0000-0000711E0000}"/>
    <cellStyle name="Normal 2 55 3 9" xfId="5691" xr:uid="{00000000-0005-0000-0000-0000721E0000}"/>
    <cellStyle name="Normal 2 55 3 9 2" xfId="23462" xr:uid="{00000000-0005-0000-0000-0000731E0000}"/>
    <cellStyle name="Normal 2 55 4" xfId="5692" xr:uid="{00000000-0005-0000-0000-0000741E0000}"/>
    <cellStyle name="Normal 2 55 4 10" xfId="5693" xr:uid="{00000000-0005-0000-0000-0000751E0000}"/>
    <cellStyle name="Normal 2 55 4 10 2" xfId="23464" xr:uid="{00000000-0005-0000-0000-0000761E0000}"/>
    <cellStyle name="Normal 2 55 4 11" xfId="5694" xr:uid="{00000000-0005-0000-0000-0000771E0000}"/>
    <cellStyle name="Normal 2 55 4 11 2" xfId="23465" xr:uid="{00000000-0005-0000-0000-0000781E0000}"/>
    <cellStyle name="Normal 2 55 4 12" xfId="5695" xr:uid="{00000000-0005-0000-0000-0000791E0000}"/>
    <cellStyle name="Normal 2 55 4 12 2" xfId="23466" xr:uid="{00000000-0005-0000-0000-00007A1E0000}"/>
    <cellStyle name="Normal 2 55 4 13" xfId="5696" xr:uid="{00000000-0005-0000-0000-00007B1E0000}"/>
    <cellStyle name="Normal 2 55 4 13 2" xfId="23467" xr:uid="{00000000-0005-0000-0000-00007C1E0000}"/>
    <cellStyle name="Normal 2 55 4 14" xfId="5697" xr:uid="{00000000-0005-0000-0000-00007D1E0000}"/>
    <cellStyle name="Normal 2 55 4 14 2" xfId="23468" xr:uid="{00000000-0005-0000-0000-00007E1E0000}"/>
    <cellStyle name="Normal 2 55 4 15" xfId="5698" xr:uid="{00000000-0005-0000-0000-00007F1E0000}"/>
    <cellStyle name="Normal 2 55 4 15 2" xfId="23469" xr:uid="{00000000-0005-0000-0000-0000801E0000}"/>
    <cellStyle name="Normal 2 55 4 16" xfId="23463" xr:uid="{00000000-0005-0000-0000-0000811E0000}"/>
    <cellStyle name="Normal 2 55 4 2" xfId="5699" xr:uid="{00000000-0005-0000-0000-0000821E0000}"/>
    <cellStyle name="Normal 2 55 4 2 10" xfId="5700" xr:uid="{00000000-0005-0000-0000-0000831E0000}"/>
    <cellStyle name="Normal 2 55 4 2 10 2" xfId="23471" xr:uid="{00000000-0005-0000-0000-0000841E0000}"/>
    <cellStyle name="Normal 2 55 4 2 11" xfId="5701" xr:uid="{00000000-0005-0000-0000-0000851E0000}"/>
    <cellStyle name="Normal 2 55 4 2 11 2" xfId="23472" xr:uid="{00000000-0005-0000-0000-0000861E0000}"/>
    <cellStyle name="Normal 2 55 4 2 12" xfId="5702" xr:uid="{00000000-0005-0000-0000-0000871E0000}"/>
    <cellStyle name="Normal 2 55 4 2 12 2" xfId="23473" xr:uid="{00000000-0005-0000-0000-0000881E0000}"/>
    <cellStyle name="Normal 2 55 4 2 13" xfId="5703" xr:uid="{00000000-0005-0000-0000-0000891E0000}"/>
    <cellStyle name="Normal 2 55 4 2 13 2" xfId="23474" xr:uid="{00000000-0005-0000-0000-00008A1E0000}"/>
    <cellStyle name="Normal 2 55 4 2 14" xfId="5704" xr:uid="{00000000-0005-0000-0000-00008B1E0000}"/>
    <cellStyle name="Normal 2 55 4 2 14 2" xfId="23475" xr:uid="{00000000-0005-0000-0000-00008C1E0000}"/>
    <cellStyle name="Normal 2 55 4 2 15" xfId="23470" xr:uid="{00000000-0005-0000-0000-00008D1E0000}"/>
    <cellStyle name="Normal 2 55 4 2 2" xfId="5705" xr:uid="{00000000-0005-0000-0000-00008E1E0000}"/>
    <cellStyle name="Normal 2 55 4 2 2 2" xfId="23476" xr:uid="{00000000-0005-0000-0000-00008F1E0000}"/>
    <cellStyle name="Normal 2 55 4 2 3" xfId="5706" xr:uid="{00000000-0005-0000-0000-0000901E0000}"/>
    <cellStyle name="Normal 2 55 4 2 3 2" xfId="23477" xr:uid="{00000000-0005-0000-0000-0000911E0000}"/>
    <cellStyle name="Normal 2 55 4 2 4" xfId="5707" xr:uid="{00000000-0005-0000-0000-0000921E0000}"/>
    <cellStyle name="Normal 2 55 4 2 4 2" xfId="23478" xr:uid="{00000000-0005-0000-0000-0000931E0000}"/>
    <cellStyle name="Normal 2 55 4 2 5" xfId="5708" xr:uid="{00000000-0005-0000-0000-0000941E0000}"/>
    <cellStyle name="Normal 2 55 4 2 5 2" xfId="23479" xr:uid="{00000000-0005-0000-0000-0000951E0000}"/>
    <cellStyle name="Normal 2 55 4 2 6" xfId="5709" xr:uid="{00000000-0005-0000-0000-0000961E0000}"/>
    <cellStyle name="Normal 2 55 4 2 6 2" xfId="23480" xr:uid="{00000000-0005-0000-0000-0000971E0000}"/>
    <cellStyle name="Normal 2 55 4 2 7" xfId="5710" xr:uid="{00000000-0005-0000-0000-0000981E0000}"/>
    <cellStyle name="Normal 2 55 4 2 7 2" xfId="23481" xr:uid="{00000000-0005-0000-0000-0000991E0000}"/>
    <cellStyle name="Normal 2 55 4 2 8" xfId="5711" xr:uid="{00000000-0005-0000-0000-00009A1E0000}"/>
    <cellStyle name="Normal 2 55 4 2 8 2" xfId="23482" xr:uid="{00000000-0005-0000-0000-00009B1E0000}"/>
    <cellStyle name="Normal 2 55 4 2 9" xfId="5712" xr:uid="{00000000-0005-0000-0000-00009C1E0000}"/>
    <cellStyle name="Normal 2 55 4 2 9 2" xfId="23483" xr:uid="{00000000-0005-0000-0000-00009D1E0000}"/>
    <cellStyle name="Normal 2 55 4 3" xfId="5713" xr:uid="{00000000-0005-0000-0000-00009E1E0000}"/>
    <cellStyle name="Normal 2 55 4 3 2" xfId="23484" xr:uid="{00000000-0005-0000-0000-00009F1E0000}"/>
    <cellStyle name="Normal 2 55 4 4" xfId="5714" xr:uid="{00000000-0005-0000-0000-0000A01E0000}"/>
    <cellStyle name="Normal 2 55 4 4 2" xfId="23485" xr:uid="{00000000-0005-0000-0000-0000A11E0000}"/>
    <cellStyle name="Normal 2 55 4 5" xfId="5715" xr:uid="{00000000-0005-0000-0000-0000A21E0000}"/>
    <cellStyle name="Normal 2 55 4 5 2" xfId="23486" xr:uid="{00000000-0005-0000-0000-0000A31E0000}"/>
    <cellStyle name="Normal 2 55 4 6" xfId="5716" xr:uid="{00000000-0005-0000-0000-0000A41E0000}"/>
    <cellStyle name="Normal 2 55 4 6 2" xfId="23487" xr:uid="{00000000-0005-0000-0000-0000A51E0000}"/>
    <cellStyle name="Normal 2 55 4 7" xfId="5717" xr:uid="{00000000-0005-0000-0000-0000A61E0000}"/>
    <cellStyle name="Normal 2 55 4 7 2" xfId="23488" xr:uid="{00000000-0005-0000-0000-0000A71E0000}"/>
    <cellStyle name="Normal 2 55 4 8" xfId="5718" xr:uid="{00000000-0005-0000-0000-0000A81E0000}"/>
    <cellStyle name="Normal 2 55 4 8 2" xfId="23489" xr:uid="{00000000-0005-0000-0000-0000A91E0000}"/>
    <cellStyle name="Normal 2 55 4 9" xfId="5719" xr:uid="{00000000-0005-0000-0000-0000AA1E0000}"/>
    <cellStyle name="Normal 2 55 4 9 2" xfId="23490" xr:uid="{00000000-0005-0000-0000-0000AB1E0000}"/>
    <cellStyle name="Normal 2 55 5" xfId="5720" xr:uid="{00000000-0005-0000-0000-0000AC1E0000}"/>
    <cellStyle name="Normal 2 55 5 10" xfId="5721" xr:uid="{00000000-0005-0000-0000-0000AD1E0000}"/>
    <cellStyle name="Normal 2 55 5 10 2" xfId="23492" xr:uid="{00000000-0005-0000-0000-0000AE1E0000}"/>
    <cellStyle name="Normal 2 55 5 11" xfId="5722" xr:uid="{00000000-0005-0000-0000-0000AF1E0000}"/>
    <cellStyle name="Normal 2 55 5 11 2" xfId="23493" xr:uid="{00000000-0005-0000-0000-0000B01E0000}"/>
    <cellStyle name="Normal 2 55 5 12" xfId="5723" xr:uid="{00000000-0005-0000-0000-0000B11E0000}"/>
    <cellStyle name="Normal 2 55 5 12 2" xfId="23494" xr:uid="{00000000-0005-0000-0000-0000B21E0000}"/>
    <cellStyle name="Normal 2 55 5 13" xfId="5724" xr:uid="{00000000-0005-0000-0000-0000B31E0000}"/>
    <cellStyle name="Normal 2 55 5 13 2" xfId="23495" xr:uid="{00000000-0005-0000-0000-0000B41E0000}"/>
    <cellStyle name="Normal 2 55 5 14" xfId="5725" xr:uid="{00000000-0005-0000-0000-0000B51E0000}"/>
    <cellStyle name="Normal 2 55 5 14 2" xfId="23496" xr:uid="{00000000-0005-0000-0000-0000B61E0000}"/>
    <cellStyle name="Normal 2 55 5 15" xfId="23491" xr:uid="{00000000-0005-0000-0000-0000B71E0000}"/>
    <cellStyle name="Normal 2 55 5 2" xfId="5726" xr:uid="{00000000-0005-0000-0000-0000B81E0000}"/>
    <cellStyle name="Normal 2 55 5 2 2" xfId="23497" xr:uid="{00000000-0005-0000-0000-0000B91E0000}"/>
    <cellStyle name="Normal 2 55 5 3" xfId="5727" xr:uid="{00000000-0005-0000-0000-0000BA1E0000}"/>
    <cellStyle name="Normal 2 55 5 3 2" xfId="23498" xr:uid="{00000000-0005-0000-0000-0000BB1E0000}"/>
    <cellStyle name="Normal 2 55 5 4" xfId="5728" xr:uid="{00000000-0005-0000-0000-0000BC1E0000}"/>
    <cellStyle name="Normal 2 55 5 4 2" xfId="23499" xr:uid="{00000000-0005-0000-0000-0000BD1E0000}"/>
    <cellStyle name="Normal 2 55 5 5" xfId="5729" xr:uid="{00000000-0005-0000-0000-0000BE1E0000}"/>
    <cellStyle name="Normal 2 55 5 5 2" xfId="23500" xr:uid="{00000000-0005-0000-0000-0000BF1E0000}"/>
    <cellStyle name="Normal 2 55 5 6" xfId="5730" xr:uid="{00000000-0005-0000-0000-0000C01E0000}"/>
    <cellStyle name="Normal 2 55 5 6 2" xfId="23501" xr:uid="{00000000-0005-0000-0000-0000C11E0000}"/>
    <cellStyle name="Normal 2 55 5 7" xfId="5731" xr:uid="{00000000-0005-0000-0000-0000C21E0000}"/>
    <cellStyle name="Normal 2 55 5 7 2" xfId="23502" xr:uid="{00000000-0005-0000-0000-0000C31E0000}"/>
    <cellStyle name="Normal 2 55 5 8" xfId="5732" xr:uid="{00000000-0005-0000-0000-0000C41E0000}"/>
    <cellStyle name="Normal 2 55 5 8 2" xfId="23503" xr:uid="{00000000-0005-0000-0000-0000C51E0000}"/>
    <cellStyle name="Normal 2 55 5 9" xfId="5733" xr:uid="{00000000-0005-0000-0000-0000C61E0000}"/>
    <cellStyle name="Normal 2 55 5 9 2" xfId="23504" xr:uid="{00000000-0005-0000-0000-0000C71E0000}"/>
    <cellStyle name="Normal 2 55 6" xfId="5734" xr:uid="{00000000-0005-0000-0000-0000C81E0000}"/>
    <cellStyle name="Normal 2 55 6 10" xfId="5735" xr:uid="{00000000-0005-0000-0000-0000C91E0000}"/>
    <cellStyle name="Normal 2 55 6 10 2" xfId="23506" xr:uid="{00000000-0005-0000-0000-0000CA1E0000}"/>
    <cellStyle name="Normal 2 55 6 11" xfId="5736" xr:uid="{00000000-0005-0000-0000-0000CB1E0000}"/>
    <cellStyle name="Normal 2 55 6 11 2" xfId="23507" xr:uid="{00000000-0005-0000-0000-0000CC1E0000}"/>
    <cellStyle name="Normal 2 55 6 12" xfId="5737" xr:uid="{00000000-0005-0000-0000-0000CD1E0000}"/>
    <cellStyle name="Normal 2 55 6 12 2" xfId="23508" xr:uid="{00000000-0005-0000-0000-0000CE1E0000}"/>
    <cellStyle name="Normal 2 55 6 13" xfId="5738" xr:uid="{00000000-0005-0000-0000-0000CF1E0000}"/>
    <cellStyle name="Normal 2 55 6 13 2" xfId="23509" xr:uid="{00000000-0005-0000-0000-0000D01E0000}"/>
    <cellStyle name="Normal 2 55 6 14" xfId="5739" xr:uid="{00000000-0005-0000-0000-0000D11E0000}"/>
    <cellStyle name="Normal 2 55 6 14 2" xfId="23510" xr:uid="{00000000-0005-0000-0000-0000D21E0000}"/>
    <cellStyle name="Normal 2 55 6 15" xfId="23505" xr:uid="{00000000-0005-0000-0000-0000D31E0000}"/>
    <cellStyle name="Normal 2 55 6 2" xfId="5740" xr:uid="{00000000-0005-0000-0000-0000D41E0000}"/>
    <cellStyle name="Normal 2 55 6 2 2" xfId="23511" xr:uid="{00000000-0005-0000-0000-0000D51E0000}"/>
    <cellStyle name="Normal 2 55 6 3" xfId="5741" xr:uid="{00000000-0005-0000-0000-0000D61E0000}"/>
    <cellStyle name="Normal 2 55 6 3 2" xfId="23512" xr:uid="{00000000-0005-0000-0000-0000D71E0000}"/>
    <cellStyle name="Normal 2 55 6 4" xfId="5742" xr:uid="{00000000-0005-0000-0000-0000D81E0000}"/>
    <cellStyle name="Normal 2 55 6 4 2" xfId="23513" xr:uid="{00000000-0005-0000-0000-0000D91E0000}"/>
    <cellStyle name="Normal 2 55 6 5" xfId="5743" xr:uid="{00000000-0005-0000-0000-0000DA1E0000}"/>
    <cellStyle name="Normal 2 55 6 5 2" xfId="23514" xr:uid="{00000000-0005-0000-0000-0000DB1E0000}"/>
    <cellStyle name="Normal 2 55 6 6" xfId="5744" xr:uid="{00000000-0005-0000-0000-0000DC1E0000}"/>
    <cellStyle name="Normal 2 55 6 6 2" xfId="23515" xr:uid="{00000000-0005-0000-0000-0000DD1E0000}"/>
    <cellStyle name="Normal 2 55 6 7" xfId="5745" xr:uid="{00000000-0005-0000-0000-0000DE1E0000}"/>
    <cellStyle name="Normal 2 55 6 7 2" xfId="23516" xr:uid="{00000000-0005-0000-0000-0000DF1E0000}"/>
    <cellStyle name="Normal 2 55 6 8" xfId="5746" xr:uid="{00000000-0005-0000-0000-0000E01E0000}"/>
    <cellStyle name="Normal 2 55 6 8 2" xfId="23517" xr:uid="{00000000-0005-0000-0000-0000E11E0000}"/>
    <cellStyle name="Normal 2 55 6 9" xfId="5747" xr:uid="{00000000-0005-0000-0000-0000E21E0000}"/>
    <cellStyle name="Normal 2 55 6 9 2" xfId="23518" xr:uid="{00000000-0005-0000-0000-0000E31E0000}"/>
    <cellStyle name="Normal 2 55 7" xfId="5748" xr:uid="{00000000-0005-0000-0000-0000E41E0000}"/>
    <cellStyle name="Normal 2 55 7 10" xfId="5749" xr:uid="{00000000-0005-0000-0000-0000E51E0000}"/>
    <cellStyle name="Normal 2 55 7 10 2" xfId="23520" xr:uid="{00000000-0005-0000-0000-0000E61E0000}"/>
    <cellStyle name="Normal 2 55 7 11" xfId="5750" xr:uid="{00000000-0005-0000-0000-0000E71E0000}"/>
    <cellStyle name="Normal 2 55 7 11 2" xfId="23521" xr:uid="{00000000-0005-0000-0000-0000E81E0000}"/>
    <cellStyle name="Normal 2 55 7 12" xfId="5751" xr:uid="{00000000-0005-0000-0000-0000E91E0000}"/>
    <cellStyle name="Normal 2 55 7 12 2" xfId="23522" xr:uid="{00000000-0005-0000-0000-0000EA1E0000}"/>
    <cellStyle name="Normal 2 55 7 13" xfId="5752" xr:uid="{00000000-0005-0000-0000-0000EB1E0000}"/>
    <cellStyle name="Normal 2 55 7 13 2" xfId="23523" xr:uid="{00000000-0005-0000-0000-0000EC1E0000}"/>
    <cellStyle name="Normal 2 55 7 14" xfId="5753" xr:uid="{00000000-0005-0000-0000-0000ED1E0000}"/>
    <cellStyle name="Normal 2 55 7 14 2" xfId="23524" xr:uid="{00000000-0005-0000-0000-0000EE1E0000}"/>
    <cellStyle name="Normal 2 55 7 15" xfId="23519" xr:uid="{00000000-0005-0000-0000-0000EF1E0000}"/>
    <cellStyle name="Normal 2 55 7 2" xfId="5754" xr:uid="{00000000-0005-0000-0000-0000F01E0000}"/>
    <cellStyle name="Normal 2 55 7 2 2" xfId="23525" xr:uid="{00000000-0005-0000-0000-0000F11E0000}"/>
    <cellStyle name="Normal 2 55 7 3" xfId="5755" xr:uid="{00000000-0005-0000-0000-0000F21E0000}"/>
    <cellStyle name="Normal 2 55 7 3 2" xfId="23526" xr:uid="{00000000-0005-0000-0000-0000F31E0000}"/>
    <cellStyle name="Normal 2 55 7 4" xfId="5756" xr:uid="{00000000-0005-0000-0000-0000F41E0000}"/>
    <cellStyle name="Normal 2 55 7 4 2" xfId="23527" xr:uid="{00000000-0005-0000-0000-0000F51E0000}"/>
    <cellStyle name="Normal 2 55 7 5" xfId="5757" xr:uid="{00000000-0005-0000-0000-0000F61E0000}"/>
    <cellStyle name="Normal 2 55 7 5 2" xfId="23528" xr:uid="{00000000-0005-0000-0000-0000F71E0000}"/>
    <cellStyle name="Normal 2 55 7 6" xfId="5758" xr:uid="{00000000-0005-0000-0000-0000F81E0000}"/>
    <cellStyle name="Normal 2 55 7 6 2" xfId="23529" xr:uid="{00000000-0005-0000-0000-0000F91E0000}"/>
    <cellStyle name="Normal 2 55 7 7" xfId="5759" xr:uid="{00000000-0005-0000-0000-0000FA1E0000}"/>
    <cellStyle name="Normal 2 55 7 7 2" xfId="23530" xr:uid="{00000000-0005-0000-0000-0000FB1E0000}"/>
    <cellStyle name="Normal 2 55 7 8" xfId="5760" xr:uid="{00000000-0005-0000-0000-0000FC1E0000}"/>
    <cellStyle name="Normal 2 55 7 8 2" xfId="23531" xr:uid="{00000000-0005-0000-0000-0000FD1E0000}"/>
    <cellStyle name="Normal 2 55 7 9" xfId="5761" xr:uid="{00000000-0005-0000-0000-0000FE1E0000}"/>
    <cellStyle name="Normal 2 55 7 9 2" xfId="23532" xr:uid="{00000000-0005-0000-0000-0000FF1E0000}"/>
    <cellStyle name="Normal 2 55 8" xfId="5762" xr:uid="{00000000-0005-0000-0000-0000001F0000}"/>
    <cellStyle name="Normal 2 55 8 10" xfId="5763" xr:uid="{00000000-0005-0000-0000-0000011F0000}"/>
    <cellStyle name="Normal 2 55 8 10 2" xfId="23534" xr:uid="{00000000-0005-0000-0000-0000021F0000}"/>
    <cellStyle name="Normal 2 55 8 11" xfId="5764" xr:uid="{00000000-0005-0000-0000-0000031F0000}"/>
    <cellStyle name="Normal 2 55 8 11 2" xfId="23535" xr:uid="{00000000-0005-0000-0000-0000041F0000}"/>
    <cellStyle name="Normal 2 55 8 12" xfId="5765" xr:uid="{00000000-0005-0000-0000-0000051F0000}"/>
    <cellStyle name="Normal 2 55 8 12 2" xfId="23536" xr:uid="{00000000-0005-0000-0000-0000061F0000}"/>
    <cellStyle name="Normal 2 55 8 13" xfId="5766" xr:uid="{00000000-0005-0000-0000-0000071F0000}"/>
    <cellStyle name="Normal 2 55 8 13 2" xfId="23537" xr:uid="{00000000-0005-0000-0000-0000081F0000}"/>
    <cellStyle name="Normal 2 55 8 14" xfId="5767" xr:uid="{00000000-0005-0000-0000-0000091F0000}"/>
    <cellStyle name="Normal 2 55 8 14 2" xfId="23538" xr:uid="{00000000-0005-0000-0000-00000A1F0000}"/>
    <cellStyle name="Normal 2 55 8 15" xfId="23533" xr:uid="{00000000-0005-0000-0000-00000B1F0000}"/>
    <cellStyle name="Normal 2 55 8 2" xfId="5768" xr:uid="{00000000-0005-0000-0000-00000C1F0000}"/>
    <cellStyle name="Normal 2 55 8 2 2" xfId="23539" xr:uid="{00000000-0005-0000-0000-00000D1F0000}"/>
    <cellStyle name="Normal 2 55 8 3" xfId="5769" xr:uid="{00000000-0005-0000-0000-00000E1F0000}"/>
    <cellStyle name="Normal 2 55 8 3 2" xfId="23540" xr:uid="{00000000-0005-0000-0000-00000F1F0000}"/>
    <cellStyle name="Normal 2 55 8 4" xfId="5770" xr:uid="{00000000-0005-0000-0000-0000101F0000}"/>
    <cellStyle name="Normal 2 55 8 4 2" xfId="23541" xr:uid="{00000000-0005-0000-0000-0000111F0000}"/>
    <cellStyle name="Normal 2 55 8 5" xfId="5771" xr:uid="{00000000-0005-0000-0000-0000121F0000}"/>
    <cellStyle name="Normal 2 55 8 5 2" xfId="23542" xr:uid="{00000000-0005-0000-0000-0000131F0000}"/>
    <cellStyle name="Normal 2 55 8 6" xfId="5772" xr:uid="{00000000-0005-0000-0000-0000141F0000}"/>
    <cellStyle name="Normal 2 55 8 6 2" xfId="23543" xr:uid="{00000000-0005-0000-0000-0000151F0000}"/>
    <cellStyle name="Normal 2 55 8 7" xfId="5773" xr:uid="{00000000-0005-0000-0000-0000161F0000}"/>
    <cellStyle name="Normal 2 55 8 7 2" xfId="23544" xr:uid="{00000000-0005-0000-0000-0000171F0000}"/>
    <cellStyle name="Normal 2 55 8 8" xfId="5774" xr:uid="{00000000-0005-0000-0000-0000181F0000}"/>
    <cellStyle name="Normal 2 55 8 8 2" xfId="23545" xr:uid="{00000000-0005-0000-0000-0000191F0000}"/>
    <cellStyle name="Normal 2 55 8 9" xfId="5775" xr:uid="{00000000-0005-0000-0000-00001A1F0000}"/>
    <cellStyle name="Normal 2 55 8 9 2" xfId="23546" xr:uid="{00000000-0005-0000-0000-00001B1F0000}"/>
    <cellStyle name="Normal 2 55 9" xfId="5776" xr:uid="{00000000-0005-0000-0000-00001C1F0000}"/>
    <cellStyle name="Normal 2 55 9 10" xfId="5777" xr:uid="{00000000-0005-0000-0000-00001D1F0000}"/>
    <cellStyle name="Normal 2 55 9 10 2" xfId="23548" xr:uid="{00000000-0005-0000-0000-00001E1F0000}"/>
    <cellStyle name="Normal 2 55 9 11" xfId="5778" xr:uid="{00000000-0005-0000-0000-00001F1F0000}"/>
    <cellStyle name="Normal 2 55 9 11 2" xfId="23549" xr:uid="{00000000-0005-0000-0000-0000201F0000}"/>
    <cellStyle name="Normal 2 55 9 12" xfId="5779" xr:uid="{00000000-0005-0000-0000-0000211F0000}"/>
    <cellStyle name="Normal 2 55 9 12 2" xfId="23550" xr:uid="{00000000-0005-0000-0000-0000221F0000}"/>
    <cellStyle name="Normal 2 55 9 13" xfId="5780" xr:uid="{00000000-0005-0000-0000-0000231F0000}"/>
    <cellStyle name="Normal 2 55 9 13 2" xfId="23551" xr:uid="{00000000-0005-0000-0000-0000241F0000}"/>
    <cellStyle name="Normal 2 55 9 14" xfId="5781" xr:uid="{00000000-0005-0000-0000-0000251F0000}"/>
    <cellStyle name="Normal 2 55 9 14 2" xfId="23552" xr:uid="{00000000-0005-0000-0000-0000261F0000}"/>
    <cellStyle name="Normal 2 55 9 15" xfId="23547" xr:uid="{00000000-0005-0000-0000-0000271F0000}"/>
    <cellStyle name="Normal 2 55 9 2" xfId="5782" xr:uid="{00000000-0005-0000-0000-0000281F0000}"/>
    <cellStyle name="Normal 2 55 9 2 2" xfId="23553" xr:uid="{00000000-0005-0000-0000-0000291F0000}"/>
    <cellStyle name="Normal 2 55 9 3" xfId="5783" xr:uid="{00000000-0005-0000-0000-00002A1F0000}"/>
    <cellStyle name="Normal 2 55 9 3 2" xfId="23554" xr:uid="{00000000-0005-0000-0000-00002B1F0000}"/>
    <cellStyle name="Normal 2 55 9 4" xfId="5784" xr:uid="{00000000-0005-0000-0000-00002C1F0000}"/>
    <cellStyle name="Normal 2 55 9 4 2" xfId="23555" xr:uid="{00000000-0005-0000-0000-00002D1F0000}"/>
    <cellStyle name="Normal 2 55 9 5" xfId="5785" xr:uid="{00000000-0005-0000-0000-00002E1F0000}"/>
    <cellStyle name="Normal 2 55 9 5 2" xfId="23556" xr:uid="{00000000-0005-0000-0000-00002F1F0000}"/>
    <cellStyle name="Normal 2 55 9 6" xfId="5786" xr:uid="{00000000-0005-0000-0000-0000301F0000}"/>
    <cellStyle name="Normal 2 55 9 6 2" xfId="23557" xr:uid="{00000000-0005-0000-0000-0000311F0000}"/>
    <cellStyle name="Normal 2 55 9 7" xfId="5787" xr:uid="{00000000-0005-0000-0000-0000321F0000}"/>
    <cellStyle name="Normal 2 55 9 7 2" xfId="23558" xr:uid="{00000000-0005-0000-0000-0000331F0000}"/>
    <cellStyle name="Normal 2 55 9 8" xfId="5788" xr:uid="{00000000-0005-0000-0000-0000341F0000}"/>
    <cellStyle name="Normal 2 55 9 8 2" xfId="23559" xr:uid="{00000000-0005-0000-0000-0000351F0000}"/>
    <cellStyle name="Normal 2 55 9 9" xfId="5789" xr:uid="{00000000-0005-0000-0000-0000361F0000}"/>
    <cellStyle name="Normal 2 55 9 9 2" xfId="23560" xr:uid="{00000000-0005-0000-0000-0000371F0000}"/>
    <cellStyle name="Normal 2 56" xfId="5790" xr:uid="{00000000-0005-0000-0000-0000381F0000}"/>
    <cellStyle name="Normal 2 56 10" xfId="5791" xr:uid="{00000000-0005-0000-0000-0000391F0000}"/>
    <cellStyle name="Normal 2 56 10 10" xfId="5792" xr:uid="{00000000-0005-0000-0000-00003A1F0000}"/>
    <cellStyle name="Normal 2 56 10 10 2" xfId="23563" xr:uid="{00000000-0005-0000-0000-00003B1F0000}"/>
    <cellStyle name="Normal 2 56 10 11" xfId="5793" xr:uid="{00000000-0005-0000-0000-00003C1F0000}"/>
    <cellStyle name="Normal 2 56 10 11 2" xfId="23564" xr:uid="{00000000-0005-0000-0000-00003D1F0000}"/>
    <cellStyle name="Normal 2 56 10 12" xfId="5794" xr:uid="{00000000-0005-0000-0000-00003E1F0000}"/>
    <cellStyle name="Normal 2 56 10 12 2" xfId="23565" xr:uid="{00000000-0005-0000-0000-00003F1F0000}"/>
    <cellStyle name="Normal 2 56 10 13" xfId="5795" xr:uid="{00000000-0005-0000-0000-0000401F0000}"/>
    <cellStyle name="Normal 2 56 10 13 2" xfId="23566" xr:uid="{00000000-0005-0000-0000-0000411F0000}"/>
    <cellStyle name="Normal 2 56 10 14" xfId="5796" xr:uid="{00000000-0005-0000-0000-0000421F0000}"/>
    <cellStyle name="Normal 2 56 10 14 2" xfId="23567" xr:uid="{00000000-0005-0000-0000-0000431F0000}"/>
    <cellStyle name="Normal 2 56 10 15" xfId="23562" xr:uid="{00000000-0005-0000-0000-0000441F0000}"/>
    <cellStyle name="Normal 2 56 10 2" xfId="5797" xr:uid="{00000000-0005-0000-0000-0000451F0000}"/>
    <cellStyle name="Normal 2 56 10 2 2" xfId="23568" xr:uid="{00000000-0005-0000-0000-0000461F0000}"/>
    <cellStyle name="Normal 2 56 10 3" xfId="5798" xr:uid="{00000000-0005-0000-0000-0000471F0000}"/>
    <cellStyle name="Normal 2 56 10 3 2" xfId="23569" xr:uid="{00000000-0005-0000-0000-0000481F0000}"/>
    <cellStyle name="Normal 2 56 10 4" xfId="5799" xr:uid="{00000000-0005-0000-0000-0000491F0000}"/>
    <cellStyle name="Normal 2 56 10 4 2" xfId="23570" xr:uid="{00000000-0005-0000-0000-00004A1F0000}"/>
    <cellStyle name="Normal 2 56 10 5" xfId="5800" xr:uid="{00000000-0005-0000-0000-00004B1F0000}"/>
    <cellStyle name="Normal 2 56 10 5 2" xfId="23571" xr:uid="{00000000-0005-0000-0000-00004C1F0000}"/>
    <cellStyle name="Normal 2 56 10 6" xfId="5801" xr:uid="{00000000-0005-0000-0000-00004D1F0000}"/>
    <cellStyle name="Normal 2 56 10 6 2" xfId="23572" xr:uid="{00000000-0005-0000-0000-00004E1F0000}"/>
    <cellStyle name="Normal 2 56 10 7" xfId="5802" xr:uid="{00000000-0005-0000-0000-00004F1F0000}"/>
    <cellStyle name="Normal 2 56 10 7 2" xfId="23573" xr:uid="{00000000-0005-0000-0000-0000501F0000}"/>
    <cellStyle name="Normal 2 56 10 8" xfId="5803" xr:uid="{00000000-0005-0000-0000-0000511F0000}"/>
    <cellStyle name="Normal 2 56 10 8 2" xfId="23574" xr:uid="{00000000-0005-0000-0000-0000521F0000}"/>
    <cellStyle name="Normal 2 56 10 9" xfId="5804" xr:uid="{00000000-0005-0000-0000-0000531F0000}"/>
    <cellStyle name="Normal 2 56 10 9 2" xfId="23575" xr:uid="{00000000-0005-0000-0000-0000541F0000}"/>
    <cellStyle name="Normal 2 56 11" xfId="5805" xr:uid="{00000000-0005-0000-0000-0000551F0000}"/>
    <cellStyle name="Normal 2 56 11 2" xfId="23576" xr:uid="{00000000-0005-0000-0000-0000561F0000}"/>
    <cellStyle name="Normal 2 56 12" xfId="5806" xr:uid="{00000000-0005-0000-0000-0000571F0000}"/>
    <cellStyle name="Normal 2 56 12 2" xfId="23577" xr:uid="{00000000-0005-0000-0000-0000581F0000}"/>
    <cellStyle name="Normal 2 56 13" xfId="5807" xr:uid="{00000000-0005-0000-0000-0000591F0000}"/>
    <cellStyle name="Normal 2 56 13 2" xfId="23578" xr:uid="{00000000-0005-0000-0000-00005A1F0000}"/>
    <cellStyle name="Normal 2 56 14" xfId="5808" xr:uid="{00000000-0005-0000-0000-00005B1F0000}"/>
    <cellStyle name="Normal 2 56 14 2" xfId="23579" xr:uid="{00000000-0005-0000-0000-00005C1F0000}"/>
    <cellStyle name="Normal 2 56 15" xfId="5809" xr:uid="{00000000-0005-0000-0000-00005D1F0000}"/>
    <cellStyle name="Normal 2 56 15 2" xfId="23580" xr:uid="{00000000-0005-0000-0000-00005E1F0000}"/>
    <cellStyle name="Normal 2 56 16" xfId="5810" xr:uid="{00000000-0005-0000-0000-00005F1F0000}"/>
    <cellStyle name="Normal 2 56 16 2" xfId="23581" xr:uid="{00000000-0005-0000-0000-0000601F0000}"/>
    <cellStyle name="Normal 2 56 17" xfId="5811" xr:uid="{00000000-0005-0000-0000-0000611F0000}"/>
    <cellStyle name="Normal 2 56 17 2" xfId="23582" xr:uid="{00000000-0005-0000-0000-0000621F0000}"/>
    <cellStyle name="Normal 2 56 18" xfId="5812" xr:uid="{00000000-0005-0000-0000-0000631F0000}"/>
    <cellStyle name="Normal 2 56 18 2" xfId="23583" xr:uid="{00000000-0005-0000-0000-0000641F0000}"/>
    <cellStyle name="Normal 2 56 19" xfId="5813" xr:uid="{00000000-0005-0000-0000-0000651F0000}"/>
    <cellStyle name="Normal 2 56 19 2" xfId="23584" xr:uid="{00000000-0005-0000-0000-0000661F0000}"/>
    <cellStyle name="Normal 2 56 2" xfId="5814" xr:uid="{00000000-0005-0000-0000-0000671F0000}"/>
    <cellStyle name="Normal 2 56 2 10" xfId="5815" xr:uid="{00000000-0005-0000-0000-0000681F0000}"/>
    <cellStyle name="Normal 2 56 2 10 2" xfId="23586" xr:uid="{00000000-0005-0000-0000-0000691F0000}"/>
    <cellStyle name="Normal 2 56 2 11" xfId="5816" xr:uid="{00000000-0005-0000-0000-00006A1F0000}"/>
    <cellStyle name="Normal 2 56 2 11 2" xfId="23587" xr:uid="{00000000-0005-0000-0000-00006B1F0000}"/>
    <cellStyle name="Normal 2 56 2 12" xfId="5817" xr:uid="{00000000-0005-0000-0000-00006C1F0000}"/>
    <cellStyle name="Normal 2 56 2 12 2" xfId="23588" xr:uid="{00000000-0005-0000-0000-00006D1F0000}"/>
    <cellStyle name="Normal 2 56 2 13" xfId="5818" xr:uid="{00000000-0005-0000-0000-00006E1F0000}"/>
    <cellStyle name="Normal 2 56 2 13 2" xfId="23589" xr:uid="{00000000-0005-0000-0000-00006F1F0000}"/>
    <cellStyle name="Normal 2 56 2 14" xfId="5819" xr:uid="{00000000-0005-0000-0000-0000701F0000}"/>
    <cellStyle name="Normal 2 56 2 14 2" xfId="23590" xr:uid="{00000000-0005-0000-0000-0000711F0000}"/>
    <cellStyle name="Normal 2 56 2 15" xfId="5820" xr:uid="{00000000-0005-0000-0000-0000721F0000}"/>
    <cellStyle name="Normal 2 56 2 15 2" xfId="23591" xr:uid="{00000000-0005-0000-0000-0000731F0000}"/>
    <cellStyle name="Normal 2 56 2 16" xfId="23585" xr:uid="{00000000-0005-0000-0000-0000741F0000}"/>
    <cellStyle name="Normal 2 56 2 2" xfId="5821" xr:uid="{00000000-0005-0000-0000-0000751F0000}"/>
    <cellStyle name="Normal 2 56 2 2 10" xfId="5822" xr:uid="{00000000-0005-0000-0000-0000761F0000}"/>
    <cellStyle name="Normal 2 56 2 2 10 2" xfId="23593" xr:uid="{00000000-0005-0000-0000-0000771F0000}"/>
    <cellStyle name="Normal 2 56 2 2 11" xfId="5823" xr:uid="{00000000-0005-0000-0000-0000781F0000}"/>
    <cellStyle name="Normal 2 56 2 2 11 2" xfId="23594" xr:uid="{00000000-0005-0000-0000-0000791F0000}"/>
    <cellStyle name="Normal 2 56 2 2 12" xfId="5824" xr:uid="{00000000-0005-0000-0000-00007A1F0000}"/>
    <cellStyle name="Normal 2 56 2 2 12 2" xfId="23595" xr:uid="{00000000-0005-0000-0000-00007B1F0000}"/>
    <cellStyle name="Normal 2 56 2 2 13" xfId="5825" xr:uid="{00000000-0005-0000-0000-00007C1F0000}"/>
    <cellStyle name="Normal 2 56 2 2 13 2" xfId="23596" xr:uid="{00000000-0005-0000-0000-00007D1F0000}"/>
    <cellStyle name="Normal 2 56 2 2 14" xfId="5826" xr:uid="{00000000-0005-0000-0000-00007E1F0000}"/>
    <cellStyle name="Normal 2 56 2 2 14 2" xfId="23597" xr:uid="{00000000-0005-0000-0000-00007F1F0000}"/>
    <cellStyle name="Normal 2 56 2 2 15" xfId="23592" xr:uid="{00000000-0005-0000-0000-0000801F0000}"/>
    <cellStyle name="Normal 2 56 2 2 2" xfId="5827" xr:uid="{00000000-0005-0000-0000-0000811F0000}"/>
    <cellStyle name="Normal 2 56 2 2 2 2" xfId="23598" xr:uid="{00000000-0005-0000-0000-0000821F0000}"/>
    <cellStyle name="Normal 2 56 2 2 3" xfId="5828" xr:uid="{00000000-0005-0000-0000-0000831F0000}"/>
    <cellStyle name="Normal 2 56 2 2 3 2" xfId="23599" xr:uid="{00000000-0005-0000-0000-0000841F0000}"/>
    <cellStyle name="Normal 2 56 2 2 4" xfId="5829" xr:uid="{00000000-0005-0000-0000-0000851F0000}"/>
    <cellStyle name="Normal 2 56 2 2 4 2" xfId="23600" xr:uid="{00000000-0005-0000-0000-0000861F0000}"/>
    <cellStyle name="Normal 2 56 2 2 5" xfId="5830" xr:uid="{00000000-0005-0000-0000-0000871F0000}"/>
    <cellStyle name="Normal 2 56 2 2 5 2" xfId="23601" xr:uid="{00000000-0005-0000-0000-0000881F0000}"/>
    <cellStyle name="Normal 2 56 2 2 6" xfId="5831" xr:uid="{00000000-0005-0000-0000-0000891F0000}"/>
    <cellStyle name="Normal 2 56 2 2 6 2" xfId="23602" xr:uid="{00000000-0005-0000-0000-00008A1F0000}"/>
    <cellStyle name="Normal 2 56 2 2 7" xfId="5832" xr:uid="{00000000-0005-0000-0000-00008B1F0000}"/>
    <cellStyle name="Normal 2 56 2 2 7 2" xfId="23603" xr:uid="{00000000-0005-0000-0000-00008C1F0000}"/>
    <cellStyle name="Normal 2 56 2 2 8" xfId="5833" xr:uid="{00000000-0005-0000-0000-00008D1F0000}"/>
    <cellStyle name="Normal 2 56 2 2 8 2" xfId="23604" xr:uid="{00000000-0005-0000-0000-00008E1F0000}"/>
    <cellStyle name="Normal 2 56 2 2 9" xfId="5834" xr:uid="{00000000-0005-0000-0000-00008F1F0000}"/>
    <cellStyle name="Normal 2 56 2 2 9 2" xfId="23605" xr:uid="{00000000-0005-0000-0000-0000901F0000}"/>
    <cellStyle name="Normal 2 56 2 3" xfId="5835" xr:uid="{00000000-0005-0000-0000-0000911F0000}"/>
    <cellStyle name="Normal 2 56 2 3 2" xfId="23606" xr:uid="{00000000-0005-0000-0000-0000921F0000}"/>
    <cellStyle name="Normal 2 56 2 4" xfId="5836" xr:uid="{00000000-0005-0000-0000-0000931F0000}"/>
    <cellStyle name="Normal 2 56 2 4 2" xfId="23607" xr:uid="{00000000-0005-0000-0000-0000941F0000}"/>
    <cellStyle name="Normal 2 56 2 5" xfId="5837" xr:uid="{00000000-0005-0000-0000-0000951F0000}"/>
    <cellStyle name="Normal 2 56 2 5 2" xfId="23608" xr:uid="{00000000-0005-0000-0000-0000961F0000}"/>
    <cellStyle name="Normal 2 56 2 6" xfId="5838" xr:uid="{00000000-0005-0000-0000-0000971F0000}"/>
    <cellStyle name="Normal 2 56 2 6 2" xfId="23609" xr:uid="{00000000-0005-0000-0000-0000981F0000}"/>
    <cellStyle name="Normal 2 56 2 7" xfId="5839" xr:uid="{00000000-0005-0000-0000-0000991F0000}"/>
    <cellStyle name="Normal 2 56 2 7 2" xfId="23610" xr:uid="{00000000-0005-0000-0000-00009A1F0000}"/>
    <cellStyle name="Normal 2 56 2 8" xfId="5840" xr:uid="{00000000-0005-0000-0000-00009B1F0000}"/>
    <cellStyle name="Normal 2 56 2 8 2" xfId="23611" xr:uid="{00000000-0005-0000-0000-00009C1F0000}"/>
    <cellStyle name="Normal 2 56 2 9" xfId="5841" xr:uid="{00000000-0005-0000-0000-00009D1F0000}"/>
    <cellStyle name="Normal 2 56 2 9 2" xfId="23612" xr:uid="{00000000-0005-0000-0000-00009E1F0000}"/>
    <cellStyle name="Normal 2 56 20" xfId="5842" xr:uid="{00000000-0005-0000-0000-00009F1F0000}"/>
    <cellStyle name="Normal 2 56 20 2" xfId="23613" xr:uid="{00000000-0005-0000-0000-0000A01F0000}"/>
    <cellStyle name="Normal 2 56 21" xfId="5843" xr:uid="{00000000-0005-0000-0000-0000A11F0000}"/>
    <cellStyle name="Normal 2 56 21 2" xfId="23614" xr:uid="{00000000-0005-0000-0000-0000A21F0000}"/>
    <cellStyle name="Normal 2 56 22" xfId="5844" xr:uid="{00000000-0005-0000-0000-0000A31F0000}"/>
    <cellStyle name="Normal 2 56 22 2" xfId="23615" xr:uid="{00000000-0005-0000-0000-0000A41F0000}"/>
    <cellStyle name="Normal 2 56 23" xfId="5845" xr:uid="{00000000-0005-0000-0000-0000A51F0000}"/>
    <cellStyle name="Normal 2 56 23 2" xfId="23616" xr:uid="{00000000-0005-0000-0000-0000A61F0000}"/>
    <cellStyle name="Normal 2 56 24" xfId="23561" xr:uid="{00000000-0005-0000-0000-0000A71F0000}"/>
    <cellStyle name="Normal 2 56 3" xfId="5846" xr:uid="{00000000-0005-0000-0000-0000A81F0000}"/>
    <cellStyle name="Normal 2 56 3 10" xfId="5847" xr:uid="{00000000-0005-0000-0000-0000A91F0000}"/>
    <cellStyle name="Normal 2 56 3 10 2" xfId="23618" xr:uid="{00000000-0005-0000-0000-0000AA1F0000}"/>
    <cellStyle name="Normal 2 56 3 11" xfId="5848" xr:uid="{00000000-0005-0000-0000-0000AB1F0000}"/>
    <cellStyle name="Normal 2 56 3 11 2" xfId="23619" xr:uid="{00000000-0005-0000-0000-0000AC1F0000}"/>
    <cellStyle name="Normal 2 56 3 12" xfId="5849" xr:uid="{00000000-0005-0000-0000-0000AD1F0000}"/>
    <cellStyle name="Normal 2 56 3 12 2" xfId="23620" xr:uid="{00000000-0005-0000-0000-0000AE1F0000}"/>
    <cellStyle name="Normal 2 56 3 13" xfId="5850" xr:uid="{00000000-0005-0000-0000-0000AF1F0000}"/>
    <cellStyle name="Normal 2 56 3 13 2" xfId="23621" xr:uid="{00000000-0005-0000-0000-0000B01F0000}"/>
    <cellStyle name="Normal 2 56 3 14" xfId="5851" xr:uid="{00000000-0005-0000-0000-0000B11F0000}"/>
    <cellStyle name="Normal 2 56 3 14 2" xfId="23622" xr:uid="{00000000-0005-0000-0000-0000B21F0000}"/>
    <cellStyle name="Normal 2 56 3 15" xfId="5852" xr:uid="{00000000-0005-0000-0000-0000B31F0000}"/>
    <cellStyle name="Normal 2 56 3 15 2" xfId="23623" xr:uid="{00000000-0005-0000-0000-0000B41F0000}"/>
    <cellStyle name="Normal 2 56 3 16" xfId="23617" xr:uid="{00000000-0005-0000-0000-0000B51F0000}"/>
    <cellStyle name="Normal 2 56 3 2" xfId="5853" xr:uid="{00000000-0005-0000-0000-0000B61F0000}"/>
    <cellStyle name="Normal 2 56 3 2 10" xfId="5854" xr:uid="{00000000-0005-0000-0000-0000B71F0000}"/>
    <cellStyle name="Normal 2 56 3 2 10 2" xfId="23625" xr:uid="{00000000-0005-0000-0000-0000B81F0000}"/>
    <cellStyle name="Normal 2 56 3 2 11" xfId="5855" xr:uid="{00000000-0005-0000-0000-0000B91F0000}"/>
    <cellStyle name="Normal 2 56 3 2 11 2" xfId="23626" xr:uid="{00000000-0005-0000-0000-0000BA1F0000}"/>
    <cellStyle name="Normal 2 56 3 2 12" xfId="5856" xr:uid="{00000000-0005-0000-0000-0000BB1F0000}"/>
    <cellStyle name="Normal 2 56 3 2 12 2" xfId="23627" xr:uid="{00000000-0005-0000-0000-0000BC1F0000}"/>
    <cellStyle name="Normal 2 56 3 2 13" xfId="5857" xr:uid="{00000000-0005-0000-0000-0000BD1F0000}"/>
    <cellStyle name="Normal 2 56 3 2 13 2" xfId="23628" xr:uid="{00000000-0005-0000-0000-0000BE1F0000}"/>
    <cellStyle name="Normal 2 56 3 2 14" xfId="5858" xr:uid="{00000000-0005-0000-0000-0000BF1F0000}"/>
    <cellStyle name="Normal 2 56 3 2 14 2" xfId="23629" xr:uid="{00000000-0005-0000-0000-0000C01F0000}"/>
    <cellStyle name="Normal 2 56 3 2 15" xfId="23624" xr:uid="{00000000-0005-0000-0000-0000C11F0000}"/>
    <cellStyle name="Normal 2 56 3 2 2" xfId="5859" xr:uid="{00000000-0005-0000-0000-0000C21F0000}"/>
    <cellStyle name="Normal 2 56 3 2 2 2" xfId="23630" xr:uid="{00000000-0005-0000-0000-0000C31F0000}"/>
    <cellStyle name="Normal 2 56 3 2 3" xfId="5860" xr:uid="{00000000-0005-0000-0000-0000C41F0000}"/>
    <cellStyle name="Normal 2 56 3 2 3 2" xfId="23631" xr:uid="{00000000-0005-0000-0000-0000C51F0000}"/>
    <cellStyle name="Normal 2 56 3 2 4" xfId="5861" xr:uid="{00000000-0005-0000-0000-0000C61F0000}"/>
    <cellStyle name="Normal 2 56 3 2 4 2" xfId="23632" xr:uid="{00000000-0005-0000-0000-0000C71F0000}"/>
    <cellStyle name="Normal 2 56 3 2 5" xfId="5862" xr:uid="{00000000-0005-0000-0000-0000C81F0000}"/>
    <cellStyle name="Normal 2 56 3 2 5 2" xfId="23633" xr:uid="{00000000-0005-0000-0000-0000C91F0000}"/>
    <cellStyle name="Normal 2 56 3 2 6" xfId="5863" xr:uid="{00000000-0005-0000-0000-0000CA1F0000}"/>
    <cellStyle name="Normal 2 56 3 2 6 2" xfId="23634" xr:uid="{00000000-0005-0000-0000-0000CB1F0000}"/>
    <cellStyle name="Normal 2 56 3 2 7" xfId="5864" xr:uid="{00000000-0005-0000-0000-0000CC1F0000}"/>
    <cellStyle name="Normal 2 56 3 2 7 2" xfId="23635" xr:uid="{00000000-0005-0000-0000-0000CD1F0000}"/>
    <cellStyle name="Normal 2 56 3 2 8" xfId="5865" xr:uid="{00000000-0005-0000-0000-0000CE1F0000}"/>
    <cellStyle name="Normal 2 56 3 2 8 2" xfId="23636" xr:uid="{00000000-0005-0000-0000-0000CF1F0000}"/>
    <cellStyle name="Normal 2 56 3 2 9" xfId="5866" xr:uid="{00000000-0005-0000-0000-0000D01F0000}"/>
    <cellStyle name="Normal 2 56 3 2 9 2" xfId="23637" xr:uid="{00000000-0005-0000-0000-0000D11F0000}"/>
    <cellStyle name="Normal 2 56 3 3" xfId="5867" xr:uid="{00000000-0005-0000-0000-0000D21F0000}"/>
    <cellStyle name="Normal 2 56 3 3 2" xfId="23638" xr:uid="{00000000-0005-0000-0000-0000D31F0000}"/>
    <cellStyle name="Normal 2 56 3 4" xfId="5868" xr:uid="{00000000-0005-0000-0000-0000D41F0000}"/>
    <cellStyle name="Normal 2 56 3 4 2" xfId="23639" xr:uid="{00000000-0005-0000-0000-0000D51F0000}"/>
    <cellStyle name="Normal 2 56 3 5" xfId="5869" xr:uid="{00000000-0005-0000-0000-0000D61F0000}"/>
    <cellStyle name="Normal 2 56 3 5 2" xfId="23640" xr:uid="{00000000-0005-0000-0000-0000D71F0000}"/>
    <cellStyle name="Normal 2 56 3 6" xfId="5870" xr:uid="{00000000-0005-0000-0000-0000D81F0000}"/>
    <cellStyle name="Normal 2 56 3 6 2" xfId="23641" xr:uid="{00000000-0005-0000-0000-0000D91F0000}"/>
    <cellStyle name="Normal 2 56 3 7" xfId="5871" xr:uid="{00000000-0005-0000-0000-0000DA1F0000}"/>
    <cellStyle name="Normal 2 56 3 7 2" xfId="23642" xr:uid="{00000000-0005-0000-0000-0000DB1F0000}"/>
    <cellStyle name="Normal 2 56 3 8" xfId="5872" xr:uid="{00000000-0005-0000-0000-0000DC1F0000}"/>
    <cellStyle name="Normal 2 56 3 8 2" xfId="23643" xr:uid="{00000000-0005-0000-0000-0000DD1F0000}"/>
    <cellStyle name="Normal 2 56 3 9" xfId="5873" xr:uid="{00000000-0005-0000-0000-0000DE1F0000}"/>
    <cellStyle name="Normal 2 56 3 9 2" xfId="23644" xr:uid="{00000000-0005-0000-0000-0000DF1F0000}"/>
    <cellStyle name="Normal 2 56 4" xfId="5874" xr:uid="{00000000-0005-0000-0000-0000E01F0000}"/>
    <cellStyle name="Normal 2 56 4 10" xfId="5875" xr:uid="{00000000-0005-0000-0000-0000E11F0000}"/>
    <cellStyle name="Normal 2 56 4 10 2" xfId="23646" xr:uid="{00000000-0005-0000-0000-0000E21F0000}"/>
    <cellStyle name="Normal 2 56 4 11" xfId="5876" xr:uid="{00000000-0005-0000-0000-0000E31F0000}"/>
    <cellStyle name="Normal 2 56 4 11 2" xfId="23647" xr:uid="{00000000-0005-0000-0000-0000E41F0000}"/>
    <cellStyle name="Normal 2 56 4 12" xfId="5877" xr:uid="{00000000-0005-0000-0000-0000E51F0000}"/>
    <cellStyle name="Normal 2 56 4 12 2" xfId="23648" xr:uid="{00000000-0005-0000-0000-0000E61F0000}"/>
    <cellStyle name="Normal 2 56 4 13" xfId="5878" xr:uid="{00000000-0005-0000-0000-0000E71F0000}"/>
    <cellStyle name="Normal 2 56 4 13 2" xfId="23649" xr:uid="{00000000-0005-0000-0000-0000E81F0000}"/>
    <cellStyle name="Normal 2 56 4 14" xfId="5879" xr:uid="{00000000-0005-0000-0000-0000E91F0000}"/>
    <cellStyle name="Normal 2 56 4 14 2" xfId="23650" xr:uid="{00000000-0005-0000-0000-0000EA1F0000}"/>
    <cellStyle name="Normal 2 56 4 15" xfId="5880" xr:uid="{00000000-0005-0000-0000-0000EB1F0000}"/>
    <cellStyle name="Normal 2 56 4 15 2" xfId="23651" xr:uid="{00000000-0005-0000-0000-0000EC1F0000}"/>
    <cellStyle name="Normal 2 56 4 16" xfId="23645" xr:uid="{00000000-0005-0000-0000-0000ED1F0000}"/>
    <cellStyle name="Normal 2 56 4 2" xfId="5881" xr:uid="{00000000-0005-0000-0000-0000EE1F0000}"/>
    <cellStyle name="Normal 2 56 4 2 10" xfId="5882" xr:uid="{00000000-0005-0000-0000-0000EF1F0000}"/>
    <cellStyle name="Normal 2 56 4 2 10 2" xfId="23653" xr:uid="{00000000-0005-0000-0000-0000F01F0000}"/>
    <cellStyle name="Normal 2 56 4 2 11" xfId="5883" xr:uid="{00000000-0005-0000-0000-0000F11F0000}"/>
    <cellStyle name="Normal 2 56 4 2 11 2" xfId="23654" xr:uid="{00000000-0005-0000-0000-0000F21F0000}"/>
    <cellStyle name="Normal 2 56 4 2 12" xfId="5884" xr:uid="{00000000-0005-0000-0000-0000F31F0000}"/>
    <cellStyle name="Normal 2 56 4 2 12 2" xfId="23655" xr:uid="{00000000-0005-0000-0000-0000F41F0000}"/>
    <cellStyle name="Normal 2 56 4 2 13" xfId="5885" xr:uid="{00000000-0005-0000-0000-0000F51F0000}"/>
    <cellStyle name="Normal 2 56 4 2 13 2" xfId="23656" xr:uid="{00000000-0005-0000-0000-0000F61F0000}"/>
    <cellStyle name="Normal 2 56 4 2 14" xfId="5886" xr:uid="{00000000-0005-0000-0000-0000F71F0000}"/>
    <cellStyle name="Normal 2 56 4 2 14 2" xfId="23657" xr:uid="{00000000-0005-0000-0000-0000F81F0000}"/>
    <cellStyle name="Normal 2 56 4 2 15" xfId="23652" xr:uid="{00000000-0005-0000-0000-0000F91F0000}"/>
    <cellStyle name="Normal 2 56 4 2 2" xfId="5887" xr:uid="{00000000-0005-0000-0000-0000FA1F0000}"/>
    <cellStyle name="Normal 2 56 4 2 2 2" xfId="23658" xr:uid="{00000000-0005-0000-0000-0000FB1F0000}"/>
    <cellStyle name="Normal 2 56 4 2 3" xfId="5888" xr:uid="{00000000-0005-0000-0000-0000FC1F0000}"/>
    <cellStyle name="Normal 2 56 4 2 3 2" xfId="23659" xr:uid="{00000000-0005-0000-0000-0000FD1F0000}"/>
    <cellStyle name="Normal 2 56 4 2 4" xfId="5889" xr:uid="{00000000-0005-0000-0000-0000FE1F0000}"/>
    <cellStyle name="Normal 2 56 4 2 4 2" xfId="23660" xr:uid="{00000000-0005-0000-0000-0000FF1F0000}"/>
    <cellStyle name="Normal 2 56 4 2 5" xfId="5890" xr:uid="{00000000-0005-0000-0000-000000200000}"/>
    <cellStyle name="Normal 2 56 4 2 5 2" xfId="23661" xr:uid="{00000000-0005-0000-0000-000001200000}"/>
    <cellStyle name="Normal 2 56 4 2 6" xfId="5891" xr:uid="{00000000-0005-0000-0000-000002200000}"/>
    <cellStyle name="Normal 2 56 4 2 6 2" xfId="23662" xr:uid="{00000000-0005-0000-0000-000003200000}"/>
    <cellStyle name="Normal 2 56 4 2 7" xfId="5892" xr:uid="{00000000-0005-0000-0000-000004200000}"/>
    <cellStyle name="Normal 2 56 4 2 7 2" xfId="23663" xr:uid="{00000000-0005-0000-0000-000005200000}"/>
    <cellStyle name="Normal 2 56 4 2 8" xfId="5893" xr:uid="{00000000-0005-0000-0000-000006200000}"/>
    <cellStyle name="Normal 2 56 4 2 8 2" xfId="23664" xr:uid="{00000000-0005-0000-0000-000007200000}"/>
    <cellStyle name="Normal 2 56 4 2 9" xfId="5894" xr:uid="{00000000-0005-0000-0000-000008200000}"/>
    <cellStyle name="Normal 2 56 4 2 9 2" xfId="23665" xr:uid="{00000000-0005-0000-0000-000009200000}"/>
    <cellStyle name="Normal 2 56 4 3" xfId="5895" xr:uid="{00000000-0005-0000-0000-00000A200000}"/>
    <cellStyle name="Normal 2 56 4 3 2" xfId="23666" xr:uid="{00000000-0005-0000-0000-00000B200000}"/>
    <cellStyle name="Normal 2 56 4 4" xfId="5896" xr:uid="{00000000-0005-0000-0000-00000C200000}"/>
    <cellStyle name="Normal 2 56 4 4 2" xfId="23667" xr:uid="{00000000-0005-0000-0000-00000D200000}"/>
    <cellStyle name="Normal 2 56 4 5" xfId="5897" xr:uid="{00000000-0005-0000-0000-00000E200000}"/>
    <cellStyle name="Normal 2 56 4 5 2" xfId="23668" xr:uid="{00000000-0005-0000-0000-00000F200000}"/>
    <cellStyle name="Normal 2 56 4 6" xfId="5898" xr:uid="{00000000-0005-0000-0000-000010200000}"/>
    <cellStyle name="Normal 2 56 4 6 2" xfId="23669" xr:uid="{00000000-0005-0000-0000-000011200000}"/>
    <cellStyle name="Normal 2 56 4 7" xfId="5899" xr:uid="{00000000-0005-0000-0000-000012200000}"/>
    <cellStyle name="Normal 2 56 4 7 2" xfId="23670" xr:uid="{00000000-0005-0000-0000-000013200000}"/>
    <cellStyle name="Normal 2 56 4 8" xfId="5900" xr:uid="{00000000-0005-0000-0000-000014200000}"/>
    <cellStyle name="Normal 2 56 4 8 2" xfId="23671" xr:uid="{00000000-0005-0000-0000-000015200000}"/>
    <cellStyle name="Normal 2 56 4 9" xfId="5901" xr:uid="{00000000-0005-0000-0000-000016200000}"/>
    <cellStyle name="Normal 2 56 4 9 2" xfId="23672" xr:uid="{00000000-0005-0000-0000-000017200000}"/>
    <cellStyle name="Normal 2 56 5" xfId="5902" xr:uid="{00000000-0005-0000-0000-000018200000}"/>
    <cellStyle name="Normal 2 56 5 10" xfId="5903" xr:uid="{00000000-0005-0000-0000-000019200000}"/>
    <cellStyle name="Normal 2 56 5 10 2" xfId="23674" xr:uid="{00000000-0005-0000-0000-00001A200000}"/>
    <cellStyle name="Normal 2 56 5 11" xfId="5904" xr:uid="{00000000-0005-0000-0000-00001B200000}"/>
    <cellStyle name="Normal 2 56 5 11 2" xfId="23675" xr:uid="{00000000-0005-0000-0000-00001C200000}"/>
    <cellStyle name="Normal 2 56 5 12" xfId="5905" xr:uid="{00000000-0005-0000-0000-00001D200000}"/>
    <cellStyle name="Normal 2 56 5 12 2" xfId="23676" xr:uid="{00000000-0005-0000-0000-00001E200000}"/>
    <cellStyle name="Normal 2 56 5 13" xfId="5906" xr:uid="{00000000-0005-0000-0000-00001F200000}"/>
    <cellStyle name="Normal 2 56 5 13 2" xfId="23677" xr:uid="{00000000-0005-0000-0000-000020200000}"/>
    <cellStyle name="Normal 2 56 5 14" xfId="5907" xr:uid="{00000000-0005-0000-0000-000021200000}"/>
    <cellStyle name="Normal 2 56 5 14 2" xfId="23678" xr:uid="{00000000-0005-0000-0000-000022200000}"/>
    <cellStyle name="Normal 2 56 5 15" xfId="23673" xr:uid="{00000000-0005-0000-0000-000023200000}"/>
    <cellStyle name="Normal 2 56 5 2" xfId="5908" xr:uid="{00000000-0005-0000-0000-000024200000}"/>
    <cellStyle name="Normal 2 56 5 2 2" xfId="23679" xr:uid="{00000000-0005-0000-0000-000025200000}"/>
    <cellStyle name="Normal 2 56 5 3" xfId="5909" xr:uid="{00000000-0005-0000-0000-000026200000}"/>
    <cellStyle name="Normal 2 56 5 3 2" xfId="23680" xr:uid="{00000000-0005-0000-0000-000027200000}"/>
    <cellStyle name="Normal 2 56 5 4" xfId="5910" xr:uid="{00000000-0005-0000-0000-000028200000}"/>
    <cellStyle name="Normal 2 56 5 4 2" xfId="23681" xr:uid="{00000000-0005-0000-0000-000029200000}"/>
    <cellStyle name="Normal 2 56 5 5" xfId="5911" xr:uid="{00000000-0005-0000-0000-00002A200000}"/>
    <cellStyle name="Normal 2 56 5 5 2" xfId="23682" xr:uid="{00000000-0005-0000-0000-00002B200000}"/>
    <cellStyle name="Normal 2 56 5 6" xfId="5912" xr:uid="{00000000-0005-0000-0000-00002C200000}"/>
    <cellStyle name="Normal 2 56 5 6 2" xfId="23683" xr:uid="{00000000-0005-0000-0000-00002D200000}"/>
    <cellStyle name="Normal 2 56 5 7" xfId="5913" xr:uid="{00000000-0005-0000-0000-00002E200000}"/>
    <cellStyle name="Normal 2 56 5 7 2" xfId="23684" xr:uid="{00000000-0005-0000-0000-00002F200000}"/>
    <cellStyle name="Normal 2 56 5 8" xfId="5914" xr:uid="{00000000-0005-0000-0000-000030200000}"/>
    <cellStyle name="Normal 2 56 5 8 2" xfId="23685" xr:uid="{00000000-0005-0000-0000-000031200000}"/>
    <cellStyle name="Normal 2 56 5 9" xfId="5915" xr:uid="{00000000-0005-0000-0000-000032200000}"/>
    <cellStyle name="Normal 2 56 5 9 2" xfId="23686" xr:uid="{00000000-0005-0000-0000-000033200000}"/>
    <cellStyle name="Normal 2 56 6" xfId="5916" xr:uid="{00000000-0005-0000-0000-000034200000}"/>
    <cellStyle name="Normal 2 56 6 10" xfId="5917" xr:uid="{00000000-0005-0000-0000-000035200000}"/>
    <cellStyle name="Normal 2 56 6 10 2" xfId="23688" xr:uid="{00000000-0005-0000-0000-000036200000}"/>
    <cellStyle name="Normal 2 56 6 11" xfId="5918" xr:uid="{00000000-0005-0000-0000-000037200000}"/>
    <cellStyle name="Normal 2 56 6 11 2" xfId="23689" xr:uid="{00000000-0005-0000-0000-000038200000}"/>
    <cellStyle name="Normal 2 56 6 12" xfId="5919" xr:uid="{00000000-0005-0000-0000-000039200000}"/>
    <cellStyle name="Normal 2 56 6 12 2" xfId="23690" xr:uid="{00000000-0005-0000-0000-00003A200000}"/>
    <cellStyle name="Normal 2 56 6 13" xfId="5920" xr:uid="{00000000-0005-0000-0000-00003B200000}"/>
    <cellStyle name="Normal 2 56 6 13 2" xfId="23691" xr:uid="{00000000-0005-0000-0000-00003C200000}"/>
    <cellStyle name="Normal 2 56 6 14" xfId="5921" xr:uid="{00000000-0005-0000-0000-00003D200000}"/>
    <cellStyle name="Normal 2 56 6 14 2" xfId="23692" xr:uid="{00000000-0005-0000-0000-00003E200000}"/>
    <cellStyle name="Normal 2 56 6 15" xfId="23687" xr:uid="{00000000-0005-0000-0000-00003F200000}"/>
    <cellStyle name="Normal 2 56 6 2" xfId="5922" xr:uid="{00000000-0005-0000-0000-000040200000}"/>
    <cellStyle name="Normal 2 56 6 2 2" xfId="23693" xr:uid="{00000000-0005-0000-0000-000041200000}"/>
    <cellStyle name="Normal 2 56 6 3" xfId="5923" xr:uid="{00000000-0005-0000-0000-000042200000}"/>
    <cellStyle name="Normal 2 56 6 3 2" xfId="23694" xr:uid="{00000000-0005-0000-0000-000043200000}"/>
    <cellStyle name="Normal 2 56 6 4" xfId="5924" xr:uid="{00000000-0005-0000-0000-000044200000}"/>
    <cellStyle name="Normal 2 56 6 4 2" xfId="23695" xr:uid="{00000000-0005-0000-0000-000045200000}"/>
    <cellStyle name="Normal 2 56 6 5" xfId="5925" xr:uid="{00000000-0005-0000-0000-000046200000}"/>
    <cellStyle name="Normal 2 56 6 5 2" xfId="23696" xr:uid="{00000000-0005-0000-0000-000047200000}"/>
    <cellStyle name="Normal 2 56 6 6" xfId="5926" xr:uid="{00000000-0005-0000-0000-000048200000}"/>
    <cellStyle name="Normal 2 56 6 6 2" xfId="23697" xr:uid="{00000000-0005-0000-0000-000049200000}"/>
    <cellStyle name="Normal 2 56 6 7" xfId="5927" xr:uid="{00000000-0005-0000-0000-00004A200000}"/>
    <cellStyle name="Normal 2 56 6 7 2" xfId="23698" xr:uid="{00000000-0005-0000-0000-00004B200000}"/>
    <cellStyle name="Normal 2 56 6 8" xfId="5928" xr:uid="{00000000-0005-0000-0000-00004C200000}"/>
    <cellStyle name="Normal 2 56 6 8 2" xfId="23699" xr:uid="{00000000-0005-0000-0000-00004D200000}"/>
    <cellStyle name="Normal 2 56 6 9" xfId="5929" xr:uid="{00000000-0005-0000-0000-00004E200000}"/>
    <cellStyle name="Normal 2 56 6 9 2" xfId="23700" xr:uid="{00000000-0005-0000-0000-00004F200000}"/>
    <cellStyle name="Normal 2 56 7" xfId="5930" xr:uid="{00000000-0005-0000-0000-000050200000}"/>
    <cellStyle name="Normal 2 56 7 10" xfId="5931" xr:uid="{00000000-0005-0000-0000-000051200000}"/>
    <cellStyle name="Normal 2 56 7 10 2" xfId="23702" xr:uid="{00000000-0005-0000-0000-000052200000}"/>
    <cellStyle name="Normal 2 56 7 11" xfId="5932" xr:uid="{00000000-0005-0000-0000-000053200000}"/>
    <cellStyle name="Normal 2 56 7 11 2" xfId="23703" xr:uid="{00000000-0005-0000-0000-000054200000}"/>
    <cellStyle name="Normal 2 56 7 12" xfId="5933" xr:uid="{00000000-0005-0000-0000-000055200000}"/>
    <cellStyle name="Normal 2 56 7 12 2" xfId="23704" xr:uid="{00000000-0005-0000-0000-000056200000}"/>
    <cellStyle name="Normal 2 56 7 13" xfId="5934" xr:uid="{00000000-0005-0000-0000-000057200000}"/>
    <cellStyle name="Normal 2 56 7 13 2" xfId="23705" xr:uid="{00000000-0005-0000-0000-000058200000}"/>
    <cellStyle name="Normal 2 56 7 14" xfId="5935" xr:uid="{00000000-0005-0000-0000-000059200000}"/>
    <cellStyle name="Normal 2 56 7 14 2" xfId="23706" xr:uid="{00000000-0005-0000-0000-00005A200000}"/>
    <cellStyle name="Normal 2 56 7 15" xfId="23701" xr:uid="{00000000-0005-0000-0000-00005B200000}"/>
    <cellStyle name="Normal 2 56 7 2" xfId="5936" xr:uid="{00000000-0005-0000-0000-00005C200000}"/>
    <cellStyle name="Normal 2 56 7 2 2" xfId="23707" xr:uid="{00000000-0005-0000-0000-00005D200000}"/>
    <cellStyle name="Normal 2 56 7 3" xfId="5937" xr:uid="{00000000-0005-0000-0000-00005E200000}"/>
    <cellStyle name="Normal 2 56 7 3 2" xfId="23708" xr:uid="{00000000-0005-0000-0000-00005F200000}"/>
    <cellStyle name="Normal 2 56 7 4" xfId="5938" xr:uid="{00000000-0005-0000-0000-000060200000}"/>
    <cellStyle name="Normal 2 56 7 4 2" xfId="23709" xr:uid="{00000000-0005-0000-0000-000061200000}"/>
    <cellStyle name="Normal 2 56 7 5" xfId="5939" xr:uid="{00000000-0005-0000-0000-000062200000}"/>
    <cellStyle name="Normal 2 56 7 5 2" xfId="23710" xr:uid="{00000000-0005-0000-0000-000063200000}"/>
    <cellStyle name="Normal 2 56 7 6" xfId="5940" xr:uid="{00000000-0005-0000-0000-000064200000}"/>
    <cellStyle name="Normal 2 56 7 6 2" xfId="23711" xr:uid="{00000000-0005-0000-0000-000065200000}"/>
    <cellStyle name="Normal 2 56 7 7" xfId="5941" xr:uid="{00000000-0005-0000-0000-000066200000}"/>
    <cellStyle name="Normal 2 56 7 7 2" xfId="23712" xr:uid="{00000000-0005-0000-0000-000067200000}"/>
    <cellStyle name="Normal 2 56 7 8" xfId="5942" xr:uid="{00000000-0005-0000-0000-000068200000}"/>
    <cellStyle name="Normal 2 56 7 8 2" xfId="23713" xr:uid="{00000000-0005-0000-0000-000069200000}"/>
    <cellStyle name="Normal 2 56 7 9" xfId="5943" xr:uid="{00000000-0005-0000-0000-00006A200000}"/>
    <cellStyle name="Normal 2 56 7 9 2" xfId="23714" xr:uid="{00000000-0005-0000-0000-00006B200000}"/>
    <cellStyle name="Normal 2 56 8" xfId="5944" xr:uid="{00000000-0005-0000-0000-00006C200000}"/>
    <cellStyle name="Normal 2 56 8 10" xfId="5945" xr:uid="{00000000-0005-0000-0000-00006D200000}"/>
    <cellStyle name="Normal 2 56 8 10 2" xfId="23716" xr:uid="{00000000-0005-0000-0000-00006E200000}"/>
    <cellStyle name="Normal 2 56 8 11" xfId="5946" xr:uid="{00000000-0005-0000-0000-00006F200000}"/>
    <cellStyle name="Normal 2 56 8 11 2" xfId="23717" xr:uid="{00000000-0005-0000-0000-000070200000}"/>
    <cellStyle name="Normal 2 56 8 12" xfId="5947" xr:uid="{00000000-0005-0000-0000-000071200000}"/>
    <cellStyle name="Normal 2 56 8 12 2" xfId="23718" xr:uid="{00000000-0005-0000-0000-000072200000}"/>
    <cellStyle name="Normal 2 56 8 13" xfId="5948" xr:uid="{00000000-0005-0000-0000-000073200000}"/>
    <cellStyle name="Normal 2 56 8 13 2" xfId="23719" xr:uid="{00000000-0005-0000-0000-000074200000}"/>
    <cellStyle name="Normal 2 56 8 14" xfId="5949" xr:uid="{00000000-0005-0000-0000-000075200000}"/>
    <cellStyle name="Normal 2 56 8 14 2" xfId="23720" xr:uid="{00000000-0005-0000-0000-000076200000}"/>
    <cellStyle name="Normal 2 56 8 15" xfId="23715" xr:uid="{00000000-0005-0000-0000-000077200000}"/>
    <cellStyle name="Normal 2 56 8 2" xfId="5950" xr:uid="{00000000-0005-0000-0000-000078200000}"/>
    <cellStyle name="Normal 2 56 8 2 2" xfId="23721" xr:uid="{00000000-0005-0000-0000-000079200000}"/>
    <cellStyle name="Normal 2 56 8 3" xfId="5951" xr:uid="{00000000-0005-0000-0000-00007A200000}"/>
    <cellStyle name="Normal 2 56 8 3 2" xfId="23722" xr:uid="{00000000-0005-0000-0000-00007B200000}"/>
    <cellStyle name="Normal 2 56 8 4" xfId="5952" xr:uid="{00000000-0005-0000-0000-00007C200000}"/>
    <cellStyle name="Normal 2 56 8 4 2" xfId="23723" xr:uid="{00000000-0005-0000-0000-00007D200000}"/>
    <cellStyle name="Normal 2 56 8 5" xfId="5953" xr:uid="{00000000-0005-0000-0000-00007E200000}"/>
    <cellStyle name="Normal 2 56 8 5 2" xfId="23724" xr:uid="{00000000-0005-0000-0000-00007F200000}"/>
    <cellStyle name="Normal 2 56 8 6" xfId="5954" xr:uid="{00000000-0005-0000-0000-000080200000}"/>
    <cellStyle name="Normal 2 56 8 6 2" xfId="23725" xr:uid="{00000000-0005-0000-0000-000081200000}"/>
    <cellStyle name="Normal 2 56 8 7" xfId="5955" xr:uid="{00000000-0005-0000-0000-000082200000}"/>
    <cellStyle name="Normal 2 56 8 7 2" xfId="23726" xr:uid="{00000000-0005-0000-0000-000083200000}"/>
    <cellStyle name="Normal 2 56 8 8" xfId="5956" xr:uid="{00000000-0005-0000-0000-000084200000}"/>
    <cellStyle name="Normal 2 56 8 8 2" xfId="23727" xr:uid="{00000000-0005-0000-0000-000085200000}"/>
    <cellStyle name="Normal 2 56 8 9" xfId="5957" xr:uid="{00000000-0005-0000-0000-000086200000}"/>
    <cellStyle name="Normal 2 56 8 9 2" xfId="23728" xr:uid="{00000000-0005-0000-0000-000087200000}"/>
    <cellStyle name="Normal 2 56 9" xfId="5958" xr:uid="{00000000-0005-0000-0000-000088200000}"/>
    <cellStyle name="Normal 2 56 9 10" xfId="5959" xr:uid="{00000000-0005-0000-0000-000089200000}"/>
    <cellStyle name="Normal 2 56 9 10 2" xfId="23730" xr:uid="{00000000-0005-0000-0000-00008A200000}"/>
    <cellStyle name="Normal 2 56 9 11" xfId="5960" xr:uid="{00000000-0005-0000-0000-00008B200000}"/>
    <cellStyle name="Normal 2 56 9 11 2" xfId="23731" xr:uid="{00000000-0005-0000-0000-00008C200000}"/>
    <cellStyle name="Normal 2 56 9 12" xfId="5961" xr:uid="{00000000-0005-0000-0000-00008D200000}"/>
    <cellStyle name="Normal 2 56 9 12 2" xfId="23732" xr:uid="{00000000-0005-0000-0000-00008E200000}"/>
    <cellStyle name="Normal 2 56 9 13" xfId="5962" xr:uid="{00000000-0005-0000-0000-00008F200000}"/>
    <cellStyle name="Normal 2 56 9 13 2" xfId="23733" xr:uid="{00000000-0005-0000-0000-000090200000}"/>
    <cellStyle name="Normal 2 56 9 14" xfId="5963" xr:uid="{00000000-0005-0000-0000-000091200000}"/>
    <cellStyle name="Normal 2 56 9 14 2" xfId="23734" xr:uid="{00000000-0005-0000-0000-000092200000}"/>
    <cellStyle name="Normal 2 56 9 15" xfId="23729" xr:uid="{00000000-0005-0000-0000-000093200000}"/>
    <cellStyle name="Normal 2 56 9 2" xfId="5964" xr:uid="{00000000-0005-0000-0000-000094200000}"/>
    <cellStyle name="Normal 2 56 9 2 2" xfId="23735" xr:uid="{00000000-0005-0000-0000-000095200000}"/>
    <cellStyle name="Normal 2 56 9 3" xfId="5965" xr:uid="{00000000-0005-0000-0000-000096200000}"/>
    <cellStyle name="Normal 2 56 9 3 2" xfId="23736" xr:uid="{00000000-0005-0000-0000-000097200000}"/>
    <cellStyle name="Normal 2 56 9 4" xfId="5966" xr:uid="{00000000-0005-0000-0000-000098200000}"/>
    <cellStyle name="Normal 2 56 9 4 2" xfId="23737" xr:uid="{00000000-0005-0000-0000-000099200000}"/>
    <cellStyle name="Normal 2 56 9 5" xfId="5967" xr:uid="{00000000-0005-0000-0000-00009A200000}"/>
    <cellStyle name="Normal 2 56 9 5 2" xfId="23738" xr:uid="{00000000-0005-0000-0000-00009B200000}"/>
    <cellStyle name="Normal 2 56 9 6" xfId="5968" xr:uid="{00000000-0005-0000-0000-00009C200000}"/>
    <cellStyle name="Normal 2 56 9 6 2" xfId="23739" xr:uid="{00000000-0005-0000-0000-00009D200000}"/>
    <cellStyle name="Normal 2 56 9 7" xfId="5969" xr:uid="{00000000-0005-0000-0000-00009E200000}"/>
    <cellStyle name="Normal 2 56 9 7 2" xfId="23740" xr:uid="{00000000-0005-0000-0000-00009F200000}"/>
    <cellStyle name="Normal 2 56 9 8" xfId="5970" xr:uid="{00000000-0005-0000-0000-0000A0200000}"/>
    <cellStyle name="Normal 2 56 9 8 2" xfId="23741" xr:uid="{00000000-0005-0000-0000-0000A1200000}"/>
    <cellStyle name="Normal 2 56 9 9" xfId="5971" xr:uid="{00000000-0005-0000-0000-0000A2200000}"/>
    <cellStyle name="Normal 2 56 9 9 2" xfId="23742" xr:uid="{00000000-0005-0000-0000-0000A3200000}"/>
    <cellStyle name="Normal 2 57" xfId="5972" xr:uid="{00000000-0005-0000-0000-0000A4200000}"/>
    <cellStyle name="Normal 2 57 10" xfId="5973" xr:uid="{00000000-0005-0000-0000-0000A5200000}"/>
    <cellStyle name="Normal 2 57 10 10" xfId="5974" xr:uid="{00000000-0005-0000-0000-0000A6200000}"/>
    <cellStyle name="Normal 2 57 10 10 2" xfId="23745" xr:uid="{00000000-0005-0000-0000-0000A7200000}"/>
    <cellStyle name="Normal 2 57 10 11" xfId="5975" xr:uid="{00000000-0005-0000-0000-0000A8200000}"/>
    <cellStyle name="Normal 2 57 10 11 2" xfId="23746" xr:uid="{00000000-0005-0000-0000-0000A9200000}"/>
    <cellStyle name="Normal 2 57 10 12" xfId="5976" xr:uid="{00000000-0005-0000-0000-0000AA200000}"/>
    <cellStyle name="Normal 2 57 10 12 2" xfId="23747" xr:uid="{00000000-0005-0000-0000-0000AB200000}"/>
    <cellStyle name="Normal 2 57 10 13" xfId="5977" xr:uid="{00000000-0005-0000-0000-0000AC200000}"/>
    <cellStyle name="Normal 2 57 10 13 2" xfId="23748" xr:uid="{00000000-0005-0000-0000-0000AD200000}"/>
    <cellStyle name="Normal 2 57 10 14" xfId="5978" xr:uid="{00000000-0005-0000-0000-0000AE200000}"/>
    <cellStyle name="Normal 2 57 10 14 2" xfId="23749" xr:uid="{00000000-0005-0000-0000-0000AF200000}"/>
    <cellStyle name="Normal 2 57 10 15" xfId="23744" xr:uid="{00000000-0005-0000-0000-0000B0200000}"/>
    <cellStyle name="Normal 2 57 10 2" xfId="5979" xr:uid="{00000000-0005-0000-0000-0000B1200000}"/>
    <cellStyle name="Normal 2 57 10 2 2" xfId="23750" xr:uid="{00000000-0005-0000-0000-0000B2200000}"/>
    <cellStyle name="Normal 2 57 10 3" xfId="5980" xr:uid="{00000000-0005-0000-0000-0000B3200000}"/>
    <cellStyle name="Normal 2 57 10 3 2" xfId="23751" xr:uid="{00000000-0005-0000-0000-0000B4200000}"/>
    <cellStyle name="Normal 2 57 10 4" xfId="5981" xr:uid="{00000000-0005-0000-0000-0000B5200000}"/>
    <cellStyle name="Normal 2 57 10 4 2" xfId="23752" xr:uid="{00000000-0005-0000-0000-0000B6200000}"/>
    <cellStyle name="Normal 2 57 10 5" xfId="5982" xr:uid="{00000000-0005-0000-0000-0000B7200000}"/>
    <cellStyle name="Normal 2 57 10 5 2" xfId="23753" xr:uid="{00000000-0005-0000-0000-0000B8200000}"/>
    <cellStyle name="Normal 2 57 10 6" xfId="5983" xr:uid="{00000000-0005-0000-0000-0000B9200000}"/>
    <cellStyle name="Normal 2 57 10 6 2" xfId="23754" xr:uid="{00000000-0005-0000-0000-0000BA200000}"/>
    <cellStyle name="Normal 2 57 10 7" xfId="5984" xr:uid="{00000000-0005-0000-0000-0000BB200000}"/>
    <cellStyle name="Normal 2 57 10 7 2" xfId="23755" xr:uid="{00000000-0005-0000-0000-0000BC200000}"/>
    <cellStyle name="Normal 2 57 10 8" xfId="5985" xr:uid="{00000000-0005-0000-0000-0000BD200000}"/>
    <cellStyle name="Normal 2 57 10 8 2" xfId="23756" xr:uid="{00000000-0005-0000-0000-0000BE200000}"/>
    <cellStyle name="Normal 2 57 10 9" xfId="5986" xr:uid="{00000000-0005-0000-0000-0000BF200000}"/>
    <cellStyle name="Normal 2 57 10 9 2" xfId="23757" xr:uid="{00000000-0005-0000-0000-0000C0200000}"/>
    <cellStyle name="Normal 2 57 11" xfId="5987" xr:uid="{00000000-0005-0000-0000-0000C1200000}"/>
    <cellStyle name="Normal 2 57 11 2" xfId="23758" xr:uid="{00000000-0005-0000-0000-0000C2200000}"/>
    <cellStyle name="Normal 2 57 12" xfId="5988" xr:uid="{00000000-0005-0000-0000-0000C3200000}"/>
    <cellStyle name="Normal 2 57 12 2" xfId="23759" xr:uid="{00000000-0005-0000-0000-0000C4200000}"/>
    <cellStyle name="Normal 2 57 13" xfId="5989" xr:uid="{00000000-0005-0000-0000-0000C5200000}"/>
    <cellStyle name="Normal 2 57 13 2" xfId="23760" xr:uid="{00000000-0005-0000-0000-0000C6200000}"/>
    <cellStyle name="Normal 2 57 14" xfId="5990" xr:uid="{00000000-0005-0000-0000-0000C7200000}"/>
    <cellStyle name="Normal 2 57 14 2" xfId="23761" xr:uid="{00000000-0005-0000-0000-0000C8200000}"/>
    <cellStyle name="Normal 2 57 15" xfId="5991" xr:uid="{00000000-0005-0000-0000-0000C9200000}"/>
    <cellStyle name="Normal 2 57 15 2" xfId="23762" xr:uid="{00000000-0005-0000-0000-0000CA200000}"/>
    <cellStyle name="Normal 2 57 16" xfId="5992" xr:uid="{00000000-0005-0000-0000-0000CB200000}"/>
    <cellStyle name="Normal 2 57 16 2" xfId="23763" xr:uid="{00000000-0005-0000-0000-0000CC200000}"/>
    <cellStyle name="Normal 2 57 17" xfId="5993" xr:uid="{00000000-0005-0000-0000-0000CD200000}"/>
    <cellStyle name="Normal 2 57 17 2" xfId="23764" xr:uid="{00000000-0005-0000-0000-0000CE200000}"/>
    <cellStyle name="Normal 2 57 18" xfId="5994" xr:uid="{00000000-0005-0000-0000-0000CF200000}"/>
    <cellStyle name="Normal 2 57 18 2" xfId="23765" xr:uid="{00000000-0005-0000-0000-0000D0200000}"/>
    <cellStyle name="Normal 2 57 19" xfId="5995" xr:uid="{00000000-0005-0000-0000-0000D1200000}"/>
    <cellStyle name="Normal 2 57 19 2" xfId="23766" xr:uid="{00000000-0005-0000-0000-0000D2200000}"/>
    <cellStyle name="Normal 2 57 2" xfId="5996" xr:uid="{00000000-0005-0000-0000-0000D3200000}"/>
    <cellStyle name="Normal 2 57 2 10" xfId="5997" xr:uid="{00000000-0005-0000-0000-0000D4200000}"/>
    <cellStyle name="Normal 2 57 2 10 2" xfId="23768" xr:uid="{00000000-0005-0000-0000-0000D5200000}"/>
    <cellStyle name="Normal 2 57 2 11" xfId="5998" xr:uid="{00000000-0005-0000-0000-0000D6200000}"/>
    <cellStyle name="Normal 2 57 2 11 2" xfId="23769" xr:uid="{00000000-0005-0000-0000-0000D7200000}"/>
    <cellStyle name="Normal 2 57 2 12" xfId="5999" xr:uid="{00000000-0005-0000-0000-0000D8200000}"/>
    <cellStyle name="Normal 2 57 2 12 2" xfId="23770" xr:uid="{00000000-0005-0000-0000-0000D9200000}"/>
    <cellStyle name="Normal 2 57 2 13" xfId="6000" xr:uid="{00000000-0005-0000-0000-0000DA200000}"/>
    <cellStyle name="Normal 2 57 2 13 2" xfId="23771" xr:uid="{00000000-0005-0000-0000-0000DB200000}"/>
    <cellStyle name="Normal 2 57 2 14" xfId="6001" xr:uid="{00000000-0005-0000-0000-0000DC200000}"/>
    <cellStyle name="Normal 2 57 2 14 2" xfId="23772" xr:uid="{00000000-0005-0000-0000-0000DD200000}"/>
    <cellStyle name="Normal 2 57 2 15" xfId="6002" xr:uid="{00000000-0005-0000-0000-0000DE200000}"/>
    <cellStyle name="Normal 2 57 2 15 2" xfId="23773" xr:uid="{00000000-0005-0000-0000-0000DF200000}"/>
    <cellStyle name="Normal 2 57 2 16" xfId="23767" xr:uid="{00000000-0005-0000-0000-0000E0200000}"/>
    <cellStyle name="Normal 2 57 2 2" xfId="6003" xr:uid="{00000000-0005-0000-0000-0000E1200000}"/>
    <cellStyle name="Normal 2 57 2 2 10" xfId="6004" xr:uid="{00000000-0005-0000-0000-0000E2200000}"/>
    <cellStyle name="Normal 2 57 2 2 10 2" xfId="23775" xr:uid="{00000000-0005-0000-0000-0000E3200000}"/>
    <cellStyle name="Normal 2 57 2 2 11" xfId="6005" xr:uid="{00000000-0005-0000-0000-0000E4200000}"/>
    <cellStyle name="Normal 2 57 2 2 11 2" xfId="23776" xr:uid="{00000000-0005-0000-0000-0000E5200000}"/>
    <cellStyle name="Normal 2 57 2 2 12" xfId="6006" xr:uid="{00000000-0005-0000-0000-0000E6200000}"/>
    <cellStyle name="Normal 2 57 2 2 12 2" xfId="23777" xr:uid="{00000000-0005-0000-0000-0000E7200000}"/>
    <cellStyle name="Normal 2 57 2 2 13" xfId="6007" xr:uid="{00000000-0005-0000-0000-0000E8200000}"/>
    <cellStyle name="Normal 2 57 2 2 13 2" xfId="23778" xr:uid="{00000000-0005-0000-0000-0000E9200000}"/>
    <cellStyle name="Normal 2 57 2 2 14" xfId="6008" xr:uid="{00000000-0005-0000-0000-0000EA200000}"/>
    <cellStyle name="Normal 2 57 2 2 14 2" xfId="23779" xr:uid="{00000000-0005-0000-0000-0000EB200000}"/>
    <cellStyle name="Normal 2 57 2 2 15" xfId="23774" xr:uid="{00000000-0005-0000-0000-0000EC200000}"/>
    <cellStyle name="Normal 2 57 2 2 2" xfId="6009" xr:uid="{00000000-0005-0000-0000-0000ED200000}"/>
    <cellStyle name="Normal 2 57 2 2 2 2" xfId="23780" xr:uid="{00000000-0005-0000-0000-0000EE200000}"/>
    <cellStyle name="Normal 2 57 2 2 3" xfId="6010" xr:uid="{00000000-0005-0000-0000-0000EF200000}"/>
    <cellStyle name="Normal 2 57 2 2 3 2" xfId="23781" xr:uid="{00000000-0005-0000-0000-0000F0200000}"/>
    <cellStyle name="Normal 2 57 2 2 4" xfId="6011" xr:uid="{00000000-0005-0000-0000-0000F1200000}"/>
    <cellStyle name="Normal 2 57 2 2 4 2" xfId="23782" xr:uid="{00000000-0005-0000-0000-0000F2200000}"/>
    <cellStyle name="Normal 2 57 2 2 5" xfId="6012" xr:uid="{00000000-0005-0000-0000-0000F3200000}"/>
    <cellStyle name="Normal 2 57 2 2 5 2" xfId="23783" xr:uid="{00000000-0005-0000-0000-0000F4200000}"/>
    <cellStyle name="Normal 2 57 2 2 6" xfId="6013" xr:uid="{00000000-0005-0000-0000-0000F5200000}"/>
    <cellStyle name="Normal 2 57 2 2 6 2" xfId="23784" xr:uid="{00000000-0005-0000-0000-0000F6200000}"/>
    <cellStyle name="Normal 2 57 2 2 7" xfId="6014" xr:uid="{00000000-0005-0000-0000-0000F7200000}"/>
    <cellStyle name="Normal 2 57 2 2 7 2" xfId="23785" xr:uid="{00000000-0005-0000-0000-0000F8200000}"/>
    <cellStyle name="Normal 2 57 2 2 8" xfId="6015" xr:uid="{00000000-0005-0000-0000-0000F9200000}"/>
    <cellStyle name="Normal 2 57 2 2 8 2" xfId="23786" xr:uid="{00000000-0005-0000-0000-0000FA200000}"/>
    <cellStyle name="Normal 2 57 2 2 9" xfId="6016" xr:uid="{00000000-0005-0000-0000-0000FB200000}"/>
    <cellStyle name="Normal 2 57 2 2 9 2" xfId="23787" xr:uid="{00000000-0005-0000-0000-0000FC200000}"/>
    <cellStyle name="Normal 2 57 2 3" xfId="6017" xr:uid="{00000000-0005-0000-0000-0000FD200000}"/>
    <cellStyle name="Normal 2 57 2 3 2" xfId="23788" xr:uid="{00000000-0005-0000-0000-0000FE200000}"/>
    <cellStyle name="Normal 2 57 2 4" xfId="6018" xr:uid="{00000000-0005-0000-0000-0000FF200000}"/>
    <cellStyle name="Normal 2 57 2 4 2" xfId="23789" xr:uid="{00000000-0005-0000-0000-000000210000}"/>
    <cellStyle name="Normal 2 57 2 5" xfId="6019" xr:uid="{00000000-0005-0000-0000-000001210000}"/>
    <cellStyle name="Normal 2 57 2 5 2" xfId="23790" xr:uid="{00000000-0005-0000-0000-000002210000}"/>
    <cellStyle name="Normal 2 57 2 6" xfId="6020" xr:uid="{00000000-0005-0000-0000-000003210000}"/>
    <cellStyle name="Normal 2 57 2 6 2" xfId="23791" xr:uid="{00000000-0005-0000-0000-000004210000}"/>
    <cellStyle name="Normal 2 57 2 7" xfId="6021" xr:uid="{00000000-0005-0000-0000-000005210000}"/>
    <cellStyle name="Normal 2 57 2 7 2" xfId="23792" xr:uid="{00000000-0005-0000-0000-000006210000}"/>
    <cellStyle name="Normal 2 57 2 8" xfId="6022" xr:uid="{00000000-0005-0000-0000-000007210000}"/>
    <cellStyle name="Normal 2 57 2 8 2" xfId="23793" xr:uid="{00000000-0005-0000-0000-000008210000}"/>
    <cellStyle name="Normal 2 57 2 9" xfId="6023" xr:uid="{00000000-0005-0000-0000-000009210000}"/>
    <cellStyle name="Normal 2 57 2 9 2" xfId="23794" xr:uid="{00000000-0005-0000-0000-00000A210000}"/>
    <cellStyle name="Normal 2 57 20" xfId="6024" xr:uid="{00000000-0005-0000-0000-00000B210000}"/>
    <cellStyle name="Normal 2 57 20 2" xfId="23795" xr:uid="{00000000-0005-0000-0000-00000C210000}"/>
    <cellStyle name="Normal 2 57 21" xfId="6025" xr:uid="{00000000-0005-0000-0000-00000D210000}"/>
    <cellStyle name="Normal 2 57 21 2" xfId="23796" xr:uid="{00000000-0005-0000-0000-00000E210000}"/>
    <cellStyle name="Normal 2 57 22" xfId="6026" xr:uid="{00000000-0005-0000-0000-00000F210000}"/>
    <cellStyle name="Normal 2 57 22 2" xfId="23797" xr:uid="{00000000-0005-0000-0000-000010210000}"/>
    <cellStyle name="Normal 2 57 23" xfId="6027" xr:uid="{00000000-0005-0000-0000-000011210000}"/>
    <cellStyle name="Normal 2 57 23 2" xfId="23798" xr:uid="{00000000-0005-0000-0000-000012210000}"/>
    <cellStyle name="Normal 2 57 24" xfId="23743" xr:uid="{00000000-0005-0000-0000-000013210000}"/>
    <cellStyle name="Normal 2 57 3" xfId="6028" xr:uid="{00000000-0005-0000-0000-000014210000}"/>
    <cellStyle name="Normal 2 57 3 10" xfId="6029" xr:uid="{00000000-0005-0000-0000-000015210000}"/>
    <cellStyle name="Normal 2 57 3 10 2" xfId="23800" xr:uid="{00000000-0005-0000-0000-000016210000}"/>
    <cellStyle name="Normal 2 57 3 11" xfId="6030" xr:uid="{00000000-0005-0000-0000-000017210000}"/>
    <cellStyle name="Normal 2 57 3 11 2" xfId="23801" xr:uid="{00000000-0005-0000-0000-000018210000}"/>
    <cellStyle name="Normal 2 57 3 12" xfId="6031" xr:uid="{00000000-0005-0000-0000-000019210000}"/>
    <cellStyle name="Normal 2 57 3 12 2" xfId="23802" xr:uid="{00000000-0005-0000-0000-00001A210000}"/>
    <cellStyle name="Normal 2 57 3 13" xfId="6032" xr:uid="{00000000-0005-0000-0000-00001B210000}"/>
    <cellStyle name="Normal 2 57 3 13 2" xfId="23803" xr:uid="{00000000-0005-0000-0000-00001C210000}"/>
    <cellStyle name="Normal 2 57 3 14" xfId="6033" xr:uid="{00000000-0005-0000-0000-00001D210000}"/>
    <cellStyle name="Normal 2 57 3 14 2" xfId="23804" xr:uid="{00000000-0005-0000-0000-00001E210000}"/>
    <cellStyle name="Normal 2 57 3 15" xfId="6034" xr:uid="{00000000-0005-0000-0000-00001F210000}"/>
    <cellStyle name="Normal 2 57 3 15 2" xfId="23805" xr:uid="{00000000-0005-0000-0000-000020210000}"/>
    <cellStyle name="Normal 2 57 3 16" xfId="23799" xr:uid="{00000000-0005-0000-0000-000021210000}"/>
    <cellStyle name="Normal 2 57 3 2" xfId="6035" xr:uid="{00000000-0005-0000-0000-000022210000}"/>
    <cellStyle name="Normal 2 57 3 2 10" xfId="6036" xr:uid="{00000000-0005-0000-0000-000023210000}"/>
    <cellStyle name="Normal 2 57 3 2 10 2" xfId="23807" xr:uid="{00000000-0005-0000-0000-000024210000}"/>
    <cellStyle name="Normal 2 57 3 2 11" xfId="6037" xr:uid="{00000000-0005-0000-0000-000025210000}"/>
    <cellStyle name="Normal 2 57 3 2 11 2" xfId="23808" xr:uid="{00000000-0005-0000-0000-000026210000}"/>
    <cellStyle name="Normal 2 57 3 2 12" xfId="6038" xr:uid="{00000000-0005-0000-0000-000027210000}"/>
    <cellStyle name="Normal 2 57 3 2 12 2" xfId="23809" xr:uid="{00000000-0005-0000-0000-000028210000}"/>
    <cellStyle name="Normal 2 57 3 2 13" xfId="6039" xr:uid="{00000000-0005-0000-0000-000029210000}"/>
    <cellStyle name="Normal 2 57 3 2 13 2" xfId="23810" xr:uid="{00000000-0005-0000-0000-00002A210000}"/>
    <cellStyle name="Normal 2 57 3 2 14" xfId="6040" xr:uid="{00000000-0005-0000-0000-00002B210000}"/>
    <cellStyle name="Normal 2 57 3 2 14 2" xfId="23811" xr:uid="{00000000-0005-0000-0000-00002C210000}"/>
    <cellStyle name="Normal 2 57 3 2 15" xfId="23806" xr:uid="{00000000-0005-0000-0000-00002D210000}"/>
    <cellStyle name="Normal 2 57 3 2 2" xfId="6041" xr:uid="{00000000-0005-0000-0000-00002E210000}"/>
    <cellStyle name="Normal 2 57 3 2 2 2" xfId="23812" xr:uid="{00000000-0005-0000-0000-00002F210000}"/>
    <cellStyle name="Normal 2 57 3 2 3" xfId="6042" xr:uid="{00000000-0005-0000-0000-000030210000}"/>
    <cellStyle name="Normal 2 57 3 2 3 2" xfId="23813" xr:uid="{00000000-0005-0000-0000-000031210000}"/>
    <cellStyle name="Normal 2 57 3 2 4" xfId="6043" xr:uid="{00000000-0005-0000-0000-000032210000}"/>
    <cellStyle name="Normal 2 57 3 2 4 2" xfId="23814" xr:uid="{00000000-0005-0000-0000-000033210000}"/>
    <cellStyle name="Normal 2 57 3 2 5" xfId="6044" xr:uid="{00000000-0005-0000-0000-000034210000}"/>
    <cellStyle name="Normal 2 57 3 2 5 2" xfId="23815" xr:uid="{00000000-0005-0000-0000-000035210000}"/>
    <cellStyle name="Normal 2 57 3 2 6" xfId="6045" xr:uid="{00000000-0005-0000-0000-000036210000}"/>
    <cellStyle name="Normal 2 57 3 2 6 2" xfId="23816" xr:uid="{00000000-0005-0000-0000-000037210000}"/>
    <cellStyle name="Normal 2 57 3 2 7" xfId="6046" xr:uid="{00000000-0005-0000-0000-000038210000}"/>
    <cellStyle name="Normal 2 57 3 2 7 2" xfId="23817" xr:uid="{00000000-0005-0000-0000-000039210000}"/>
    <cellStyle name="Normal 2 57 3 2 8" xfId="6047" xr:uid="{00000000-0005-0000-0000-00003A210000}"/>
    <cellStyle name="Normal 2 57 3 2 8 2" xfId="23818" xr:uid="{00000000-0005-0000-0000-00003B210000}"/>
    <cellStyle name="Normal 2 57 3 2 9" xfId="6048" xr:uid="{00000000-0005-0000-0000-00003C210000}"/>
    <cellStyle name="Normal 2 57 3 2 9 2" xfId="23819" xr:uid="{00000000-0005-0000-0000-00003D210000}"/>
    <cellStyle name="Normal 2 57 3 3" xfId="6049" xr:uid="{00000000-0005-0000-0000-00003E210000}"/>
    <cellStyle name="Normal 2 57 3 3 2" xfId="23820" xr:uid="{00000000-0005-0000-0000-00003F210000}"/>
    <cellStyle name="Normal 2 57 3 4" xfId="6050" xr:uid="{00000000-0005-0000-0000-000040210000}"/>
    <cellStyle name="Normal 2 57 3 4 2" xfId="23821" xr:uid="{00000000-0005-0000-0000-000041210000}"/>
    <cellStyle name="Normal 2 57 3 5" xfId="6051" xr:uid="{00000000-0005-0000-0000-000042210000}"/>
    <cellStyle name="Normal 2 57 3 5 2" xfId="23822" xr:uid="{00000000-0005-0000-0000-000043210000}"/>
    <cellStyle name="Normal 2 57 3 6" xfId="6052" xr:uid="{00000000-0005-0000-0000-000044210000}"/>
    <cellStyle name="Normal 2 57 3 6 2" xfId="23823" xr:uid="{00000000-0005-0000-0000-000045210000}"/>
    <cellStyle name="Normal 2 57 3 7" xfId="6053" xr:uid="{00000000-0005-0000-0000-000046210000}"/>
    <cellStyle name="Normal 2 57 3 7 2" xfId="23824" xr:uid="{00000000-0005-0000-0000-000047210000}"/>
    <cellStyle name="Normal 2 57 3 8" xfId="6054" xr:uid="{00000000-0005-0000-0000-000048210000}"/>
    <cellStyle name="Normal 2 57 3 8 2" xfId="23825" xr:uid="{00000000-0005-0000-0000-000049210000}"/>
    <cellStyle name="Normal 2 57 3 9" xfId="6055" xr:uid="{00000000-0005-0000-0000-00004A210000}"/>
    <cellStyle name="Normal 2 57 3 9 2" xfId="23826" xr:uid="{00000000-0005-0000-0000-00004B210000}"/>
    <cellStyle name="Normal 2 57 4" xfId="6056" xr:uid="{00000000-0005-0000-0000-00004C210000}"/>
    <cellStyle name="Normal 2 57 4 10" xfId="6057" xr:uid="{00000000-0005-0000-0000-00004D210000}"/>
    <cellStyle name="Normal 2 57 4 10 2" xfId="23828" xr:uid="{00000000-0005-0000-0000-00004E210000}"/>
    <cellStyle name="Normal 2 57 4 11" xfId="6058" xr:uid="{00000000-0005-0000-0000-00004F210000}"/>
    <cellStyle name="Normal 2 57 4 11 2" xfId="23829" xr:uid="{00000000-0005-0000-0000-000050210000}"/>
    <cellStyle name="Normal 2 57 4 12" xfId="6059" xr:uid="{00000000-0005-0000-0000-000051210000}"/>
    <cellStyle name="Normal 2 57 4 12 2" xfId="23830" xr:uid="{00000000-0005-0000-0000-000052210000}"/>
    <cellStyle name="Normal 2 57 4 13" xfId="6060" xr:uid="{00000000-0005-0000-0000-000053210000}"/>
    <cellStyle name="Normal 2 57 4 13 2" xfId="23831" xr:uid="{00000000-0005-0000-0000-000054210000}"/>
    <cellStyle name="Normal 2 57 4 14" xfId="6061" xr:uid="{00000000-0005-0000-0000-000055210000}"/>
    <cellStyle name="Normal 2 57 4 14 2" xfId="23832" xr:uid="{00000000-0005-0000-0000-000056210000}"/>
    <cellStyle name="Normal 2 57 4 15" xfId="6062" xr:uid="{00000000-0005-0000-0000-000057210000}"/>
    <cellStyle name="Normal 2 57 4 15 2" xfId="23833" xr:uid="{00000000-0005-0000-0000-000058210000}"/>
    <cellStyle name="Normal 2 57 4 16" xfId="23827" xr:uid="{00000000-0005-0000-0000-000059210000}"/>
    <cellStyle name="Normal 2 57 4 2" xfId="6063" xr:uid="{00000000-0005-0000-0000-00005A210000}"/>
    <cellStyle name="Normal 2 57 4 2 10" xfId="6064" xr:uid="{00000000-0005-0000-0000-00005B210000}"/>
    <cellStyle name="Normal 2 57 4 2 10 2" xfId="23835" xr:uid="{00000000-0005-0000-0000-00005C210000}"/>
    <cellStyle name="Normal 2 57 4 2 11" xfId="6065" xr:uid="{00000000-0005-0000-0000-00005D210000}"/>
    <cellStyle name="Normal 2 57 4 2 11 2" xfId="23836" xr:uid="{00000000-0005-0000-0000-00005E210000}"/>
    <cellStyle name="Normal 2 57 4 2 12" xfId="6066" xr:uid="{00000000-0005-0000-0000-00005F210000}"/>
    <cellStyle name="Normal 2 57 4 2 12 2" xfId="23837" xr:uid="{00000000-0005-0000-0000-000060210000}"/>
    <cellStyle name="Normal 2 57 4 2 13" xfId="6067" xr:uid="{00000000-0005-0000-0000-000061210000}"/>
    <cellStyle name="Normal 2 57 4 2 13 2" xfId="23838" xr:uid="{00000000-0005-0000-0000-000062210000}"/>
    <cellStyle name="Normal 2 57 4 2 14" xfId="6068" xr:uid="{00000000-0005-0000-0000-000063210000}"/>
    <cellStyle name="Normal 2 57 4 2 14 2" xfId="23839" xr:uid="{00000000-0005-0000-0000-000064210000}"/>
    <cellStyle name="Normal 2 57 4 2 15" xfId="23834" xr:uid="{00000000-0005-0000-0000-000065210000}"/>
    <cellStyle name="Normal 2 57 4 2 2" xfId="6069" xr:uid="{00000000-0005-0000-0000-000066210000}"/>
    <cellStyle name="Normal 2 57 4 2 2 2" xfId="23840" xr:uid="{00000000-0005-0000-0000-000067210000}"/>
    <cellStyle name="Normal 2 57 4 2 3" xfId="6070" xr:uid="{00000000-0005-0000-0000-000068210000}"/>
    <cellStyle name="Normal 2 57 4 2 3 2" xfId="23841" xr:uid="{00000000-0005-0000-0000-000069210000}"/>
    <cellStyle name="Normal 2 57 4 2 4" xfId="6071" xr:uid="{00000000-0005-0000-0000-00006A210000}"/>
    <cellStyle name="Normal 2 57 4 2 4 2" xfId="23842" xr:uid="{00000000-0005-0000-0000-00006B210000}"/>
    <cellStyle name="Normal 2 57 4 2 5" xfId="6072" xr:uid="{00000000-0005-0000-0000-00006C210000}"/>
    <cellStyle name="Normal 2 57 4 2 5 2" xfId="23843" xr:uid="{00000000-0005-0000-0000-00006D210000}"/>
    <cellStyle name="Normal 2 57 4 2 6" xfId="6073" xr:uid="{00000000-0005-0000-0000-00006E210000}"/>
    <cellStyle name="Normal 2 57 4 2 6 2" xfId="23844" xr:uid="{00000000-0005-0000-0000-00006F210000}"/>
    <cellStyle name="Normal 2 57 4 2 7" xfId="6074" xr:uid="{00000000-0005-0000-0000-000070210000}"/>
    <cellStyle name="Normal 2 57 4 2 7 2" xfId="23845" xr:uid="{00000000-0005-0000-0000-000071210000}"/>
    <cellStyle name="Normal 2 57 4 2 8" xfId="6075" xr:uid="{00000000-0005-0000-0000-000072210000}"/>
    <cellStyle name="Normal 2 57 4 2 8 2" xfId="23846" xr:uid="{00000000-0005-0000-0000-000073210000}"/>
    <cellStyle name="Normal 2 57 4 2 9" xfId="6076" xr:uid="{00000000-0005-0000-0000-000074210000}"/>
    <cellStyle name="Normal 2 57 4 2 9 2" xfId="23847" xr:uid="{00000000-0005-0000-0000-000075210000}"/>
    <cellStyle name="Normal 2 57 4 3" xfId="6077" xr:uid="{00000000-0005-0000-0000-000076210000}"/>
    <cellStyle name="Normal 2 57 4 3 2" xfId="23848" xr:uid="{00000000-0005-0000-0000-000077210000}"/>
    <cellStyle name="Normal 2 57 4 4" xfId="6078" xr:uid="{00000000-0005-0000-0000-000078210000}"/>
    <cellStyle name="Normal 2 57 4 4 2" xfId="23849" xr:uid="{00000000-0005-0000-0000-000079210000}"/>
    <cellStyle name="Normal 2 57 4 5" xfId="6079" xr:uid="{00000000-0005-0000-0000-00007A210000}"/>
    <cellStyle name="Normal 2 57 4 5 2" xfId="23850" xr:uid="{00000000-0005-0000-0000-00007B210000}"/>
    <cellStyle name="Normal 2 57 4 6" xfId="6080" xr:uid="{00000000-0005-0000-0000-00007C210000}"/>
    <cellStyle name="Normal 2 57 4 6 2" xfId="23851" xr:uid="{00000000-0005-0000-0000-00007D210000}"/>
    <cellStyle name="Normal 2 57 4 7" xfId="6081" xr:uid="{00000000-0005-0000-0000-00007E210000}"/>
    <cellStyle name="Normal 2 57 4 7 2" xfId="23852" xr:uid="{00000000-0005-0000-0000-00007F210000}"/>
    <cellStyle name="Normal 2 57 4 8" xfId="6082" xr:uid="{00000000-0005-0000-0000-000080210000}"/>
    <cellStyle name="Normal 2 57 4 8 2" xfId="23853" xr:uid="{00000000-0005-0000-0000-000081210000}"/>
    <cellStyle name="Normal 2 57 4 9" xfId="6083" xr:uid="{00000000-0005-0000-0000-000082210000}"/>
    <cellStyle name="Normal 2 57 4 9 2" xfId="23854" xr:uid="{00000000-0005-0000-0000-000083210000}"/>
    <cellStyle name="Normal 2 57 5" xfId="6084" xr:uid="{00000000-0005-0000-0000-000084210000}"/>
    <cellStyle name="Normal 2 57 5 10" xfId="6085" xr:uid="{00000000-0005-0000-0000-000085210000}"/>
    <cellStyle name="Normal 2 57 5 10 2" xfId="23856" xr:uid="{00000000-0005-0000-0000-000086210000}"/>
    <cellStyle name="Normal 2 57 5 11" xfId="6086" xr:uid="{00000000-0005-0000-0000-000087210000}"/>
    <cellStyle name="Normal 2 57 5 11 2" xfId="23857" xr:uid="{00000000-0005-0000-0000-000088210000}"/>
    <cellStyle name="Normal 2 57 5 12" xfId="6087" xr:uid="{00000000-0005-0000-0000-000089210000}"/>
    <cellStyle name="Normal 2 57 5 12 2" xfId="23858" xr:uid="{00000000-0005-0000-0000-00008A210000}"/>
    <cellStyle name="Normal 2 57 5 13" xfId="6088" xr:uid="{00000000-0005-0000-0000-00008B210000}"/>
    <cellStyle name="Normal 2 57 5 13 2" xfId="23859" xr:uid="{00000000-0005-0000-0000-00008C210000}"/>
    <cellStyle name="Normal 2 57 5 14" xfId="6089" xr:uid="{00000000-0005-0000-0000-00008D210000}"/>
    <cellStyle name="Normal 2 57 5 14 2" xfId="23860" xr:uid="{00000000-0005-0000-0000-00008E210000}"/>
    <cellStyle name="Normal 2 57 5 15" xfId="23855" xr:uid="{00000000-0005-0000-0000-00008F210000}"/>
    <cellStyle name="Normal 2 57 5 2" xfId="6090" xr:uid="{00000000-0005-0000-0000-000090210000}"/>
    <cellStyle name="Normal 2 57 5 2 2" xfId="23861" xr:uid="{00000000-0005-0000-0000-000091210000}"/>
    <cellStyle name="Normal 2 57 5 3" xfId="6091" xr:uid="{00000000-0005-0000-0000-000092210000}"/>
    <cellStyle name="Normal 2 57 5 3 2" xfId="23862" xr:uid="{00000000-0005-0000-0000-000093210000}"/>
    <cellStyle name="Normal 2 57 5 4" xfId="6092" xr:uid="{00000000-0005-0000-0000-000094210000}"/>
    <cellStyle name="Normal 2 57 5 4 2" xfId="23863" xr:uid="{00000000-0005-0000-0000-000095210000}"/>
    <cellStyle name="Normal 2 57 5 5" xfId="6093" xr:uid="{00000000-0005-0000-0000-000096210000}"/>
    <cellStyle name="Normal 2 57 5 5 2" xfId="23864" xr:uid="{00000000-0005-0000-0000-000097210000}"/>
    <cellStyle name="Normal 2 57 5 6" xfId="6094" xr:uid="{00000000-0005-0000-0000-000098210000}"/>
    <cellStyle name="Normal 2 57 5 6 2" xfId="23865" xr:uid="{00000000-0005-0000-0000-000099210000}"/>
    <cellStyle name="Normal 2 57 5 7" xfId="6095" xr:uid="{00000000-0005-0000-0000-00009A210000}"/>
    <cellStyle name="Normal 2 57 5 7 2" xfId="23866" xr:uid="{00000000-0005-0000-0000-00009B210000}"/>
    <cellStyle name="Normal 2 57 5 8" xfId="6096" xr:uid="{00000000-0005-0000-0000-00009C210000}"/>
    <cellStyle name="Normal 2 57 5 8 2" xfId="23867" xr:uid="{00000000-0005-0000-0000-00009D210000}"/>
    <cellStyle name="Normal 2 57 5 9" xfId="6097" xr:uid="{00000000-0005-0000-0000-00009E210000}"/>
    <cellStyle name="Normal 2 57 5 9 2" xfId="23868" xr:uid="{00000000-0005-0000-0000-00009F210000}"/>
    <cellStyle name="Normal 2 57 6" xfId="6098" xr:uid="{00000000-0005-0000-0000-0000A0210000}"/>
    <cellStyle name="Normal 2 57 6 10" xfId="6099" xr:uid="{00000000-0005-0000-0000-0000A1210000}"/>
    <cellStyle name="Normal 2 57 6 10 2" xfId="23870" xr:uid="{00000000-0005-0000-0000-0000A2210000}"/>
    <cellStyle name="Normal 2 57 6 11" xfId="6100" xr:uid="{00000000-0005-0000-0000-0000A3210000}"/>
    <cellStyle name="Normal 2 57 6 11 2" xfId="23871" xr:uid="{00000000-0005-0000-0000-0000A4210000}"/>
    <cellStyle name="Normal 2 57 6 12" xfId="6101" xr:uid="{00000000-0005-0000-0000-0000A5210000}"/>
    <cellStyle name="Normal 2 57 6 12 2" xfId="23872" xr:uid="{00000000-0005-0000-0000-0000A6210000}"/>
    <cellStyle name="Normal 2 57 6 13" xfId="6102" xr:uid="{00000000-0005-0000-0000-0000A7210000}"/>
    <cellStyle name="Normal 2 57 6 13 2" xfId="23873" xr:uid="{00000000-0005-0000-0000-0000A8210000}"/>
    <cellStyle name="Normal 2 57 6 14" xfId="6103" xr:uid="{00000000-0005-0000-0000-0000A9210000}"/>
    <cellStyle name="Normal 2 57 6 14 2" xfId="23874" xr:uid="{00000000-0005-0000-0000-0000AA210000}"/>
    <cellStyle name="Normal 2 57 6 15" xfId="23869" xr:uid="{00000000-0005-0000-0000-0000AB210000}"/>
    <cellStyle name="Normal 2 57 6 2" xfId="6104" xr:uid="{00000000-0005-0000-0000-0000AC210000}"/>
    <cellStyle name="Normal 2 57 6 2 2" xfId="23875" xr:uid="{00000000-0005-0000-0000-0000AD210000}"/>
    <cellStyle name="Normal 2 57 6 3" xfId="6105" xr:uid="{00000000-0005-0000-0000-0000AE210000}"/>
    <cellStyle name="Normal 2 57 6 3 2" xfId="23876" xr:uid="{00000000-0005-0000-0000-0000AF210000}"/>
    <cellStyle name="Normal 2 57 6 4" xfId="6106" xr:uid="{00000000-0005-0000-0000-0000B0210000}"/>
    <cellStyle name="Normal 2 57 6 4 2" xfId="23877" xr:uid="{00000000-0005-0000-0000-0000B1210000}"/>
    <cellStyle name="Normal 2 57 6 5" xfId="6107" xr:uid="{00000000-0005-0000-0000-0000B2210000}"/>
    <cellStyle name="Normal 2 57 6 5 2" xfId="23878" xr:uid="{00000000-0005-0000-0000-0000B3210000}"/>
    <cellStyle name="Normal 2 57 6 6" xfId="6108" xr:uid="{00000000-0005-0000-0000-0000B4210000}"/>
    <cellStyle name="Normal 2 57 6 6 2" xfId="23879" xr:uid="{00000000-0005-0000-0000-0000B5210000}"/>
    <cellStyle name="Normal 2 57 6 7" xfId="6109" xr:uid="{00000000-0005-0000-0000-0000B6210000}"/>
    <cellStyle name="Normal 2 57 6 7 2" xfId="23880" xr:uid="{00000000-0005-0000-0000-0000B7210000}"/>
    <cellStyle name="Normal 2 57 6 8" xfId="6110" xr:uid="{00000000-0005-0000-0000-0000B8210000}"/>
    <cellStyle name="Normal 2 57 6 8 2" xfId="23881" xr:uid="{00000000-0005-0000-0000-0000B9210000}"/>
    <cellStyle name="Normal 2 57 6 9" xfId="6111" xr:uid="{00000000-0005-0000-0000-0000BA210000}"/>
    <cellStyle name="Normal 2 57 6 9 2" xfId="23882" xr:uid="{00000000-0005-0000-0000-0000BB210000}"/>
    <cellStyle name="Normal 2 57 7" xfId="6112" xr:uid="{00000000-0005-0000-0000-0000BC210000}"/>
    <cellStyle name="Normal 2 57 7 10" xfId="6113" xr:uid="{00000000-0005-0000-0000-0000BD210000}"/>
    <cellStyle name="Normal 2 57 7 10 2" xfId="23884" xr:uid="{00000000-0005-0000-0000-0000BE210000}"/>
    <cellStyle name="Normal 2 57 7 11" xfId="6114" xr:uid="{00000000-0005-0000-0000-0000BF210000}"/>
    <cellStyle name="Normal 2 57 7 11 2" xfId="23885" xr:uid="{00000000-0005-0000-0000-0000C0210000}"/>
    <cellStyle name="Normal 2 57 7 12" xfId="6115" xr:uid="{00000000-0005-0000-0000-0000C1210000}"/>
    <cellStyle name="Normal 2 57 7 12 2" xfId="23886" xr:uid="{00000000-0005-0000-0000-0000C2210000}"/>
    <cellStyle name="Normal 2 57 7 13" xfId="6116" xr:uid="{00000000-0005-0000-0000-0000C3210000}"/>
    <cellStyle name="Normal 2 57 7 13 2" xfId="23887" xr:uid="{00000000-0005-0000-0000-0000C4210000}"/>
    <cellStyle name="Normal 2 57 7 14" xfId="6117" xr:uid="{00000000-0005-0000-0000-0000C5210000}"/>
    <cellStyle name="Normal 2 57 7 14 2" xfId="23888" xr:uid="{00000000-0005-0000-0000-0000C6210000}"/>
    <cellStyle name="Normal 2 57 7 15" xfId="23883" xr:uid="{00000000-0005-0000-0000-0000C7210000}"/>
    <cellStyle name="Normal 2 57 7 2" xfId="6118" xr:uid="{00000000-0005-0000-0000-0000C8210000}"/>
    <cellStyle name="Normal 2 57 7 2 2" xfId="23889" xr:uid="{00000000-0005-0000-0000-0000C9210000}"/>
    <cellStyle name="Normal 2 57 7 3" xfId="6119" xr:uid="{00000000-0005-0000-0000-0000CA210000}"/>
    <cellStyle name="Normal 2 57 7 3 2" xfId="23890" xr:uid="{00000000-0005-0000-0000-0000CB210000}"/>
    <cellStyle name="Normal 2 57 7 4" xfId="6120" xr:uid="{00000000-0005-0000-0000-0000CC210000}"/>
    <cellStyle name="Normal 2 57 7 4 2" xfId="23891" xr:uid="{00000000-0005-0000-0000-0000CD210000}"/>
    <cellStyle name="Normal 2 57 7 5" xfId="6121" xr:uid="{00000000-0005-0000-0000-0000CE210000}"/>
    <cellStyle name="Normal 2 57 7 5 2" xfId="23892" xr:uid="{00000000-0005-0000-0000-0000CF210000}"/>
    <cellStyle name="Normal 2 57 7 6" xfId="6122" xr:uid="{00000000-0005-0000-0000-0000D0210000}"/>
    <cellStyle name="Normal 2 57 7 6 2" xfId="23893" xr:uid="{00000000-0005-0000-0000-0000D1210000}"/>
    <cellStyle name="Normal 2 57 7 7" xfId="6123" xr:uid="{00000000-0005-0000-0000-0000D2210000}"/>
    <cellStyle name="Normal 2 57 7 7 2" xfId="23894" xr:uid="{00000000-0005-0000-0000-0000D3210000}"/>
    <cellStyle name="Normal 2 57 7 8" xfId="6124" xr:uid="{00000000-0005-0000-0000-0000D4210000}"/>
    <cellStyle name="Normal 2 57 7 8 2" xfId="23895" xr:uid="{00000000-0005-0000-0000-0000D5210000}"/>
    <cellStyle name="Normal 2 57 7 9" xfId="6125" xr:uid="{00000000-0005-0000-0000-0000D6210000}"/>
    <cellStyle name="Normal 2 57 7 9 2" xfId="23896" xr:uid="{00000000-0005-0000-0000-0000D7210000}"/>
    <cellStyle name="Normal 2 57 8" xfId="6126" xr:uid="{00000000-0005-0000-0000-0000D8210000}"/>
    <cellStyle name="Normal 2 57 8 10" xfId="6127" xr:uid="{00000000-0005-0000-0000-0000D9210000}"/>
    <cellStyle name="Normal 2 57 8 10 2" xfId="23898" xr:uid="{00000000-0005-0000-0000-0000DA210000}"/>
    <cellStyle name="Normal 2 57 8 11" xfId="6128" xr:uid="{00000000-0005-0000-0000-0000DB210000}"/>
    <cellStyle name="Normal 2 57 8 11 2" xfId="23899" xr:uid="{00000000-0005-0000-0000-0000DC210000}"/>
    <cellStyle name="Normal 2 57 8 12" xfId="6129" xr:uid="{00000000-0005-0000-0000-0000DD210000}"/>
    <cellStyle name="Normal 2 57 8 12 2" xfId="23900" xr:uid="{00000000-0005-0000-0000-0000DE210000}"/>
    <cellStyle name="Normal 2 57 8 13" xfId="6130" xr:uid="{00000000-0005-0000-0000-0000DF210000}"/>
    <cellStyle name="Normal 2 57 8 13 2" xfId="23901" xr:uid="{00000000-0005-0000-0000-0000E0210000}"/>
    <cellStyle name="Normal 2 57 8 14" xfId="6131" xr:uid="{00000000-0005-0000-0000-0000E1210000}"/>
    <cellStyle name="Normal 2 57 8 14 2" xfId="23902" xr:uid="{00000000-0005-0000-0000-0000E2210000}"/>
    <cellStyle name="Normal 2 57 8 15" xfId="23897" xr:uid="{00000000-0005-0000-0000-0000E3210000}"/>
    <cellStyle name="Normal 2 57 8 2" xfId="6132" xr:uid="{00000000-0005-0000-0000-0000E4210000}"/>
    <cellStyle name="Normal 2 57 8 2 2" xfId="23903" xr:uid="{00000000-0005-0000-0000-0000E5210000}"/>
    <cellStyle name="Normal 2 57 8 3" xfId="6133" xr:uid="{00000000-0005-0000-0000-0000E6210000}"/>
    <cellStyle name="Normal 2 57 8 3 2" xfId="23904" xr:uid="{00000000-0005-0000-0000-0000E7210000}"/>
    <cellStyle name="Normal 2 57 8 4" xfId="6134" xr:uid="{00000000-0005-0000-0000-0000E8210000}"/>
    <cellStyle name="Normal 2 57 8 4 2" xfId="23905" xr:uid="{00000000-0005-0000-0000-0000E9210000}"/>
    <cellStyle name="Normal 2 57 8 5" xfId="6135" xr:uid="{00000000-0005-0000-0000-0000EA210000}"/>
    <cellStyle name="Normal 2 57 8 5 2" xfId="23906" xr:uid="{00000000-0005-0000-0000-0000EB210000}"/>
    <cellStyle name="Normal 2 57 8 6" xfId="6136" xr:uid="{00000000-0005-0000-0000-0000EC210000}"/>
    <cellStyle name="Normal 2 57 8 6 2" xfId="23907" xr:uid="{00000000-0005-0000-0000-0000ED210000}"/>
    <cellStyle name="Normal 2 57 8 7" xfId="6137" xr:uid="{00000000-0005-0000-0000-0000EE210000}"/>
    <cellStyle name="Normal 2 57 8 7 2" xfId="23908" xr:uid="{00000000-0005-0000-0000-0000EF210000}"/>
    <cellStyle name="Normal 2 57 8 8" xfId="6138" xr:uid="{00000000-0005-0000-0000-0000F0210000}"/>
    <cellStyle name="Normal 2 57 8 8 2" xfId="23909" xr:uid="{00000000-0005-0000-0000-0000F1210000}"/>
    <cellStyle name="Normal 2 57 8 9" xfId="6139" xr:uid="{00000000-0005-0000-0000-0000F2210000}"/>
    <cellStyle name="Normal 2 57 8 9 2" xfId="23910" xr:uid="{00000000-0005-0000-0000-0000F3210000}"/>
    <cellStyle name="Normal 2 57 9" xfId="6140" xr:uid="{00000000-0005-0000-0000-0000F4210000}"/>
    <cellStyle name="Normal 2 57 9 10" xfId="6141" xr:uid="{00000000-0005-0000-0000-0000F5210000}"/>
    <cellStyle name="Normal 2 57 9 10 2" xfId="23912" xr:uid="{00000000-0005-0000-0000-0000F6210000}"/>
    <cellStyle name="Normal 2 57 9 11" xfId="6142" xr:uid="{00000000-0005-0000-0000-0000F7210000}"/>
    <cellStyle name="Normal 2 57 9 11 2" xfId="23913" xr:uid="{00000000-0005-0000-0000-0000F8210000}"/>
    <cellStyle name="Normal 2 57 9 12" xfId="6143" xr:uid="{00000000-0005-0000-0000-0000F9210000}"/>
    <cellStyle name="Normal 2 57 9 12 2" xfId="23914" xr:uid="{00000000-0005-0000-0000-0000FA210000}"/>
    <cellStyle name="Normal 2 57 9 13" xfId="6144" xr:uid="{00000000-0005-0000-0000-0000FB210000}"/>
    <cellStyle name="Normal 2 57 9 13 2" xfId="23915" xr:uid="{00000000-0005-0000-0000-0000FC210000}"/>
    <cellStyle name="Normal 2 57 9 14" xfId="6145" xr:uid="{00000000-0005-0000-0000-0000FD210000}"/>
    <cellStyle name="Normal 2 57 9 14 2" xfId="23916" xr:uid="{00000000-0005-0000-0000-0000FE210000}"/>
    <cellStyle name="Normal 2 57 9 15" xfId="23911" xr:uid="{00000000-0005-0000-0000-0000FF210000}"/>
    <cellStyle name="Normal 2 57 9 2" xfId="6146" xr:uid="{00000000-0005-0000-0000-000000220000}"/>
    <cellStyle name="Normal 2 57 9 2 2" xfId="23917" xr:uid="{00000000-0005-0000-0000-000001220000}"/>
    <cellStyle name="Normal 2 57 9 3" xfId="6147" xr:uid="{00000000-0005-0000-0000-000002220000}"/>
    <cellStyle name="Normal 2 57 9 3 2" xfId="23918" xr:uid="{00000000-0005-0000-0000-000003220000}"/>
    <cellStyle name="Normal 2 57 9 4" xfId="6148" xr:uid="{00000000-0005-0000-0000-000004220000}"/>
    <cellStyle name="Normal 2 57 9 4 2" xfId="23919" xr:uid="{00000000-0005-0000-0000-000005220000}"/>
    <cellStyle name="Normal 2 57 9 5" xfId="6149" xr:uid="{00000000-0005-0000-0000-000006220000}"/>
    <cellStyle name="Normal 2 57 9 5 2" xfId="23920" xr:uid="{00000000-0005-0000-0000-000007220000}"/>
    <cellStyle name="Normal 2 57 9 6" xfId="6150" xr:uid="{00000000-0005-0000-0000-000008220000}"/>
    <cellStyle name="Normal 2 57 9 6 2" xfId="23921" xr:uid="{00000000-0005-0000-0000-000009220000}"/>
    <cellStyle name="Normal 2 57 9 7" xfId="6151" xr:uid="{00000000-0005-0000-0000-00000A220000}"/>
    <cellStyle name="Normal 2 57 9 7 2" xfId="23922" xr:uid="{00000000-0005-0000-0000-00000B220000}"/>
    <cellStyle name="Normal 2 57 9 8" xfId="6152" xr:uid="{00000000-0005-0000-0000-00000C220000}"/>
    <cellStyle name="Normal 2 57 9 8 2" xfId="23923" xr:uid="{00000000-0005-0000-0000-00000D220000}"/>
    <cellStyle name="Normal 2 57 9 9" xfId="6153" xr:uid="{00000000-0005-0000-0000-00000E220000}"/>
    <cellStyle name="Normal 2 57 9 9 2" xfId="23924" xr:uid="{00000000-0005-0000-0000-00000F220000}"/>
    <cellStyle name="Normal 2 58" xfId="6154" xr:uid="{00000000-0005-0000-0000-000010220000}"/>
    <cellStyle name="Normal 2 58 10" xfId="6155" xr:uid="{00000000-0005-0000-0000-000011220000}"/>
    <cellStyle name="Normal 2 58 10 10" xfId="6156" xr:uid="{00000000-0005-0000-0000-000012220000}"/>
    <cellStyle name="Normal 2 58 10 10 2" xfId="23927" xr:uid="{00000000-0005-0000-0000-000013220000}"/>
    <cellStyle name="Normal 2 58 10 11" xfId="6157" xr:uid="{00000000-0005-0000-0000-000014220000}"/>
    <cellStyle name="Normal 2 58 10 11 2" xfId="23928" xr:uid="{00000000-0005-0000-0000-000015220000}"/>
    <cellStyle name="Normal 2 58 10 12" xfId="6158" xr:uid="{00000000-0005-0000-0000-000016220000}"/>
    <cellStyle name="Normal 2 58 10 12 2" xfId="23929" xr:uid="{00000000-0005-0000-0000-000017220000}"/>
    <cellStyle name="Normal 2 58 10 13" xfId="6159" xr:uid="{00000000-0005-0000-0000-000018220000}"/>
    <cellStyle name="Normal 2 58 10 13 2" xfId="23930" xr:uid="{00000000-0005-0000-0000-000019220000}"/>
    <cellStyle name="Normal 2 58 10 14" xfId="6160" xr:uid="{00000000-0005-0000-0000-00001A220000}"/>
    <cellStyle name="Normal 2 58 10 14 2" xfId="23931" xr:uid="{00000000-0005-0000-0000-00001B220000}"/>
    <cellStyle name="Normal 2 58 10 15" xfId="23926" xr:uid="{00000000-0005-0000-0000-00001C220000}"/>
    <cellStyle name="Normal 2 58 10 2" xfId="6161" xr:uid="{00000000-0005-0000-0000-00001D220000}"/>
    <cellStyle name="Normal 2 58 10 2 2" xfId="23932" xr:uid="{00000000-0005-0000-0000-00001E220000}"/>
    <cellStyle name="Normal 2 58 10 3" xfId="6162" xr:uid="{00000000-0005-0000-0000-00001F220000}"/>
    <cellStyle name="Normal 2 58 10 3 2" xfId="23933" xr:uid="{00000000-0005-0000-0000-000020220000}"/>
    <cellStyle name="Normal 2 58 10 4" xfId="6163" xr:uid="{00000000-0005-0000-0000-000021220000}"/>
    <cellStyle name="Normal 2 58 10 4 2" xfId="23934" xr:uid="{00000000-0005-0000-0000-000022220000}"/>
    <cellStyle name="Normal 2 58 10 5" xfId="6164" xr:uid="{00000000-0005-0000-0000-000023220000}"/>
    <cellStyle name="Normal 2 58 10 5 2" xfId="23935" xr:uid="{00000000-0005-0000-0000-000024220000}"/>
    <cellStyle name="Normal 2 58 10 6" xfId="6165" xr:uid="{00000000-0005-0000-0000-000025220000}"/>
    <cellStyle name="Normal 2 58 10 6 2" xfId="23936" xr:uid="{00000000-0005-0000-0000-000026220000}"/>
    <cellStyle name="Normal 2 58 10 7" xfId="6166" xr:uid="{00000000-0005-0000-0000-000027220000}"/>
    <cellStyle name="Normal 2 58 10 7 2" xfId="23937" xr:uid="{00000000-0005-0000-0000-000028220000}"/>
    <cellStyle name="Normal 2 58 10 8" xfId="6167" xr:uid="{00000000-0005-0000-0000-000029220000}"/>
    <cellStyle name="Normal 2 58 10 8 2" xfId="23938" xr:uid="{00000000-0005-0000-0000-00002A220000}"/>
    <cellStyle name="Normal 2 58 10 9" xfId="6168" xr:uid="{00000000-0005-0000-0000-00002B220000}"/>
    <cellStyle name="Normal 2 58 10 9 2" xfId="23939" xr:uid="{00000000-0005-0000-0000-00002C220000}"/>
    <cellStyle name="Normal 2 58 11" xfId="6169" xr:uid="{00000000-0005-0000-0000-00002D220000}"/>
    <cellStyle name="Normal 2 58 11 2" xfId="23940" xr:uid="{00000000-0005-0000-0000-00002E220000}"/>
    <cellStyle name="Normal 2 58 12" xfId="6170" xr:uid="{00000000-0005-0000-0000-00002F220000}"/>
    <cellStyle name="Normal 2 58 12 2" xfId="23941" xr:uid="{00000000-0005-0000-0000-000030220000}"/>
    <cellStyle name="Normal 2 58 13" xfId="6171" xr:uid="{00000000-0005-0000-0000-000031220000}"/>
    <cellStyle name="Normal 2 58 13 2" xfId="23942" xr:uid="{00000000-0005-0000-0000-000032220000}"/>
    <cellStyle name="Normal 2 58 14" xfId="6172" xr:uid="{00000000-0005-0000-0000-000033220000}"/>
    <cellStyle name="Normal 2 58 14 2" xfId="23943" xr:uid="{00000000-0005-0000-0000-000034220000}"/>
    <cellStyle name="Normal 2 58 15" xfId="6173" xr:uid="{00000000-0005-0000-0000-000035220000}"/>
    <cellStyle name="Normal 2 58 15 2" xfId="23944" xr:uid="{00000000-0005-0000-0000-000036220000}"/>
    <cellStyle name="Normal 2 58 16" xfId="6174" xr:uid="{00000000-0005-0000-0000-000037220000}"/>
    <cellStyle name="Normal 2 58 16 2" xfId="23945" xr:uid="{00000000-0005-0000-0000-000038220000}"/>
    <cellStyle name="Normal 2 58 17" xfId="6175" xr:uid="{00000000-0005-0000-0000-000039220000}"/>
    <cellStyle name="Normal 2 58 17 2" xfId="23946" xr:uid="{00000000-0005-0000-0000-00003A220000}"/>
    <cellStyle name="Normal 2 58 18" xfId="6176" xr:uid="{00000000-0005-0000-0000-00003B220000}"/>
    <cellStyle name="Normal 2 58 18 2" xfId="23947" xr:uid="{00000000-0005-0000-0000-00003C220000}"/>
    <cellStyle name="Normal 2 58 19" xfId="6177" xr:uid="{00000000-0005-0000-0000-00003D220000}"/>
    <cellStyle name="Normal 2 58 19 2" xfId="23948" xr:uid="{00000000-0005-0000-0000-00003E220000}"/>
    <cellStyle name="Normal 2 58 2" xfId="6178" xr:uid="{00000000-0005-0000-0000-00003F220000}"/>
    <cellStyle name="Normal 2 58 2 10" xfId="6179" xr:uid="{00000000-0005-0000-0000-000040220000}"/>
    <cellStyle name="Normal 2 58 2 10 2" xfId="23950" xr:uid="{00000000-0005-0000-0000-000041220000}"/>
    <cellStyle name="Normal 2 58 2 11" xfId="6180" xr:uid="{00000000-0005-0000-0000-000042220000}"/>
    <cellStyle name="Normal 2 58 2 11 2" xfId="23951" xr:uid="{00000000-0005-0000-0000-000043220000}"/>
    <cellStyle name="Normal 2 58 2 12" xfId="6181" xr:uid="{00000000-0005-0000-0000-000044220000}"/>
    <cellStyle name="Normal 2 58 2 12 2" xfId="23952" xr:uid="{00000000-0005-0000-0000-000045220000}"/>
    <cellStyle name="Normal 2 58 2 13" xfId="6182" xr:uid="{00000000-0005-0000-0000-000046220000}"/>
    <cellStyle name="Normal 2 58 2 13 2" xfId="23953" xr:uid="{00000000-0005-0000-0000-000047220000}"/>
    <cellStyle name="Normal 2 58 2 14" xfId="6183" xr:uid="{00000000-0005-0000-0000-000048220000}"/>
    <cellStyle name="Normal 2 58 2 14 2" xfId="23954" xr:uid="{00000000-0005-0000-0000-000049220000}"/>
    <cellStyle name="Normal 2 58 2 15" xfId="6184" xr:uid="{00000000-0005-0000-0000-00004A220000}"/>
    <cellStyle name="Normal 2 58 2 15 2" xfId="23955" xr:uid="{00000000-0005-0000-0000-00004B220000}"/>
    <cellStyle name="Normal 2 58 2 16" xfId="23949" xr:uid="{00000000-0005-0000-0000-00004C220000}"/>
    <cellStyle name="Normal 2 58 2 2" xfId="6185" xr:uid="{00000000-0005-0000-0000-00004D220000}"/>
    <cellStyle name="Normal 2 58 2 2 10" xfId="6186" xr:uid="{00000000-0005-0000-0000-00004E220000}"/>
    <cellStyle name="Normal 2 58 2 2 10 2" xfId="23957" xr:uid="{00000000-0005-0000-0000-00004F220000}"/>
    <cellStyle name="Normal 2 58 2 2 11" xfId="6187" xr:uid="{00000000-0005-0000-0000-000050220000}"/>
    <cellStyle name="Normal 2 58 2 2 11 2" xfId="23958" xr:uid="{00000000-0005-0000-0000-000051220000}"/>
    <cellStyle name="Normal 2 58 2 2 12" xfId="6188" xr:uid="{00000000-0005-0000-0000-000052220000}"/>
    <cellStyle name="Normal 2 58 2 2 12 2" xfId="23959" xr:uid="{00000000-0005-0000-0000-000053220000}"/>
    <cellStyle name="Normal 2 58 2 2 13" xfId="6189" xr:uid="{00000000-0005-0000-0000-000054220000}"/>
    <cellStyle name="Normal 2 58 2 2 13 2" xfId="23960" xr:uid="{00000000-0005-0000-0000-000055220000}"/>
    <cellStyle name="Normal 2 58 2 2 14" xfId="6190" xr:uid="{00000000-0005-0000-0000-000056220000}"/>
    <cellStyle name="Normal 2 58 2 2 14 2" xfId="23961" xr:uid="{00000000-0005-0000-0000-000057220000}"/>
    <cellStyle name="Normal 2 58 2 2 15" xfId="23956" xr:uid="{00000000-0005-0000-0000-000058220000}"/>
    <cellStyle name="Normal 2 58 2 2 2" xfId="6191" xr:uid="{00000000-0005-0000-0000-000059220000}"/>
    <cellStyle name="Normal 2 58 2 2 2 2" xfId="23962" xr:uid="{00000000-0005-0000-0000-00005A220000}"/>
    <cellStyle name="Normal 2 58 2 2 3" xfId="6192" xr:uid="{00000000-0005-0000-0000-00005B220000}"/>
    <cellStyle name="Normal 2 58 2 2 3 2" xfId="23963" xr:uid="{00000000-0005-0000-0000-00005C220000}"/>
    <cellStyle name="Normal 2 58 2 2 4" xfId="6193" xr:uid="{00000000-0005-0000-0000-00005D220000}"/>
    <cellStyle name="Normal 2 58 2 2 4 2" xfId="23964" xr:uid="{00000000-0005-0000-0000-00005E220000}"/>
    <cellStyle name="Normal 2 58 2 2 5" xfId="6194" xr:uid="{00000000-0005-0000-0000-00005F220000}"/>
    <cellStyle name="Normal 2 58 2 2 5 2" xfId="23965" xr:uid="{00000000-0005-0000-0000-000060220000}"/>
    <cellStyle name="Normal 2 58 2 2 6" xfId="6195" xr:uid="{00000000-0005-0000-0000-000061220000}"/>
    <cellStyle name="Normal 2 58 2 2 6 2" xfId="23966" xr:uid="{00000000-0005-0000-0000-000062220000}"/>
    <cellStyle name="Normal 2 58 2 2 7" xfId="6196" xr:uid="{00000000-0005-0000-0000-000063220000}"/>
    <cellStyle name="Normal 2 58 2 2 7 2" xfId="23967" xr:uid="{00000000-0005-0000-0000-000064220000}"/>
    <cellStyle name="Normal 2 58 2 2 8" xfId="6197" xr:uid="{00000000-0005-0000-0000-000065220000}"/>
    <cellStyle name="Normal 2 58 2 2 8 2" xfId="23968" xr:uid="{00000000-0005-0000-0000-000066220000}"/>
    <cellStyle name="Normal 2 58 2 2 9" xfId="6198" xr:uid="{00000000-0005-0000-0000-000067220000}"/>
    <cellStyle name="Normal 2 58 2 2 9 2" xfId="23969" xr:uid="{00000000-0005-0000-0000-000068220000}"/>
    <cellStyle name="Normal 2 58 2 3" xfId="6199" xr:uid="{00000000-0005-0000-0000-000069220000}"/>
    <cellStyle name="Normal 2 58 2 3 2" xfId="23970" xr:uid="{00000000-0005-0000-0000-00006A220000}"/>
    <cellStyle name="Normal 2 58 2 4" xfId="6200" xr:uid="{00000000-0005-0000-0000-00006B220000}"/>
    <cellStyle name="Normal 2 58 2 4 2" xfId="23971" xr:uid="{00000000-0005-0000-0000-00006C220000}"/>
    <cellStyle name="Normal 2 58 2 5" xfId="6201" xr:uid="{00000000-0005-0000-0000-00006D220000}"/>
    <cellStyle name="Normal 2 58 2 5 2" xfId="23972" xr:uid="{00000000-0005-0000-0000-00006E220000}"/>
    <cellStyle name="Normal 2 58 2 6" xfId="6202" xr:uid="{00000000-0005-0000-0000-00006F220000}"/>
    <cellStyle name="Normal 2 58 2 6 2" xfId="23973" xr:uid="{00000000-0005-0000-0000-000070220000}"/>
    <cellStyle name="Normal 2 58 2 7" xfId="6203" xr:uid="{00000000-0005-0000-0000-000071220000}"/>
    <cellStyle name="Normal 2 58 2 7 2" xfId="23974" xr:uid="{00000000-0005-0000-0000-000072220000}"/>
    <cellStyle name="Normal 2 58 2 8" xfId="6204" xr:uid="{00000000-0005-0000-0000-000073220000}"/>
    <cellStyle name="Normal 2 58 2 8 2" xfId="23975" xr:uid="{00000000-0005-0000-0000-000074220000}"/>
    <cellStyle name="Normal 2 58 2 9" xfId="6205" xr:uid="{00000000-0005-0000-0000-000075220000}"/>
    <cellStyle name="Normal 2 58 2 9 2" xfId="23976" xr:uid="{00000000-0005-0000-0000-000076220000}"/>
    <cellStyle name="Normal 2 58 20" xfId="6206" xr:uid="{00000000-0005-0000-0000-000077220000}"/>
    <cellStyle name="Normal 2 58 20 2" xfId="23977" xr:uid="{00000000-0005-0000-0000-000078220000}"/>
    <cellStyle name="Normal 2 58 21" xfId="6207" xr:uid="{00000000-0005-0000-0000-000079220000}"/>
    <cellStyle name="Normal 2 58 21 2" xfId="23978" xr:uid="{00000000-0005-0000-0000-00007A220000}"/>
    <cellStyle name="Normal 2 58 22" xfId="6208" xr:uid="{00000000-0005-0000-0000-00007B220000}"/>
    <cellStyle name="Normal 2 58 22 2" xfId="23979" xr:uid="{00000000-0005-0000-0000-00007C220000}"/>
    <cellStyle name="Normal 2 58 23" xfId="6209" xr:uid="{00000000-0005-0000-0000-00007D220000}"/>
    <cellStyle name="Normal 2 58 23 2" xfId="23980" xr:uid="{00000000-0005-0000-0000-00007E220000}"/>
    <cellStyle name="Normal 2 58 24" xfId="23925" xr:uid="{00000000-0005-0000-0000-00007F220000}"/>
    <cellStyle name="Normal 2 58 3" xfId="6210" xr:uid="{00000000-0005-0000-0000-000080220000}"/>
    <cellStyle name="Normal 2 58 3 10" xfId="6211" xr:uid="{00000000-0005-0000-0000-000081220000}"/>
    <cellStyle name="Normal 2 58 3 10 2" xfId="23982" xr:uid="{00000000-0005-0000-0000-000082220000}"/>
    <cellStyle name="Normal 2 58 3 11" xfId="6212" xr:uid="{00000000-0005-0000-0000-000083220000}"/>
    <cellStyle name="Normal 2 58 3 11 2" xfId="23983" xr:uid="{00000000-0005-0000-0000-000084220000}"/>
    <cellStyle name="Normal 2 58 3 12" xfId="6213" xr:uid="{00000000-0005-0000-0000-000085220000}"/>
    <cellStyle name="Normal 2 58 3 12 2" xfId="23984" xr:uid="{00000000-0005-0000-0000-000086220000}"/>
    <cellStyle name="Normal 2 58 3 13" xfId="6214" xr:uid="{00000000-0005-0000-0000-000087220000}"/>
    <cellStyle name="Normal 2 58 3 13 2" xfId="23985" xr:uid="{00000000-0005-0000-0000-000088220000}"/>
    <cellStyle name="Normal 2 58 3 14" xfId="6215" xr:uid="{00000000-0005-0000-0000-000089220000}"/>
    <cellStyle name="Normal 2 58 3 14 2" xfId="23986" xr:uid="{00000000-0005-0000-0000-00008A220000}"/>
    <cellStyle name="Normal 2 58 3 15" xfId="6216" xr:uid="{00000000-0005-0000-0000-00008B220000}"/>
    <cellStyle name="Normal 2 58 3 15 2" xfId="23987" xr:uid="{00000000-0005-0000-0000-00008C220000}"/>
    <cellStyle name="Normal 2 58 3 16" xfId="23981" xr:uid="{00000000-0005-0000-0000-00008D220000}"/>
    <cellStyle name="Normal 2 58 3 2" xfId="6217" xr:uid="{00000000-0005-0000-0000-00008E220000}"/>
    <cellStyle name="Normal 2 58 3 2 10" xfId="6218" xr:uid="{00000000-0005-0000-0000-00008F220000}"/>
    <cellStyle name="Normal 2 58 3 2 10 2" xfId="23989" xr:uid="{00000000-0005-0000-0000-000090220000}"/>
    <cellStyle name="Normal 2 58 3 2 11" xfId="6219" xr:uid="{00000000-0005-0000-0000-000091220000}"/>
    <cellStyle name="Normal 2 58 3 2 11 2" xfId="23990" xr:uid="{00000000-0005-0000-0000-000092220000}"/>
    <cellStyle name="Normal 2 58 3 2 12" xfId="6220" xr:uid="{00000000-0005-0000-0000-000093220000}"/>
    <cellStyle name="Normal 2 58 3 2 12 2" xfId="23991" xr:uid="{00000000-0005-0000-0000-000094220000}"/>
    <cellStyle name="Normal 2 58 3 2 13" xfId="6221" xr:uid="{00000000-0005-0000-0000-000095220000}"/>
    <cellStyle name="Normal 2 58 3 2 13 2" xfId="23992" xr:uid="{00000000-0005-0000-0000-000096220000}"/>
    <cellStyle name="Normal 2 58 3 2 14" xfId="6222" xr:uid="{00000000-0005-0000-0000-000097220000}"/>
    <cellStyle name="Normal 2 58 3 2 14 2" xfId="23993" xr:uid="{00000000-0005-0000-0000-000098220000}"/>
    <cellStyle name="Normal 2 58 3 2 15" xfId="23988" xr:uid="{00000000-0005-0000-0000-000099220000}"/>
    <cellStyle name="Normal 2 58 3 2 2" xfId="6223" xr:uid="{00000000-0005-0000-0000-00009A220000}"/>
    <cellStyle name="Normal 2 58 3 2 2 2" xfId="23994" xr:uid="{00000000-0005-0000-0000-00009B220000}"/>
    <cellStyle name="Normal 2 58 3 2 3" xfId="6224" xr:uid="{00000000-0005-0000-0000-00009C220000}"/>
    <cellStyle name="Normal 2 58 3 2 3 2" xfId="23995" xr:uid="{00000000-0005-0000-0000-00009D220000}"/>
    <cellStyle name="Normal 2 58 3 2 4" xfId="6225" xr:uid="{00000000-0005-0000-0000-00009E220000}"/>
    <cellStyle name="Normal 2 58 3 2 4 2" xfId="23996" xr:uid="{00000000-0005-0000-0000-00009F220000}"/>
    <cellStyle name="Normal 2 58 3 2 5" xfId="6226" xr:uid="{00000000-0005-0000-0000-0000A0220000}"/>
    <cellStyle name="Normal 2 58 3 2 5 2" xfId="23997" xr:uid="{00000000-0005-0000-0000-0000A1220000}"/>
    <cellStyle name="Normal 2 58 3 2 6" xfId="6227" xr:uid="{00000000-0005-0000-0000-0000A2220000}"/>
    <cellStyle name="Normal 2 58 3 2 6 2" xfId="23998" xr:uid="{00000000-0005-0000-0000-0000A3220000}"/>
    <cellStyle name="Normal 2 58 3 2 7" xfId="6228" xr:uid="{00000000-0005-0000-0000-0000A4220000}"/>
    <cellStyle name="Normal 2 58 3 2 7 2" xfId="23999" xr:uid="{00000000-0005-0000-0000-0000A5220000}"/>
    <cellStyle name="Normal 2 58 3 2 8" xfId="6229" xr:uid="{00000000-0005-0000-0000-0000A6220000}"/>
    <cellStyle name="Normal 2 58 3 2 8 2" xfId="24000" xr:uid="{00000000-0005-0000-0000-0000A7220000}"/>
    <cellStyle name="Normal 2 58 3 2 9" xfId="6230" xr:uid="{00000000-0005-0000-0000-0000A8220000}"/>
    <cellStyle name="Normal 2 58 3 2 9 2" xfId="24001" xr:uid="{00000000-0005-0000-0000-0000A9220000}"/>
    <cellStyle name="Normal 2 58 3 3" xfId="6231" xr:uid="{00000000-0005-0000-0000-0000AA220000}"/>
    <cellStyle name="Normal 2 58 3 3 2" xfId="24002" xr:uid="{00000000-0005-0000-0000-0000AB220000}"/>
    <cellStyle name="Normal 2 58 3 4" xfId="6232" xr:uid="{00000000-0005-0000-0000-0000AC220000}"/>
    <cellStyle name="Normal 2 58 3 4 2" xfId="24003" xr:uid="{00000000-0005-0000-0000-0000AD220000}"/>
    <cellStyle name="Normal 2 58 3 5" xfId="6233" xr:uid="{00000000-0005-0000-0000-0000AE220000}"/>
    <cellStyle name="Normal 2 58 3 5 2" xfId="24004" xr:uid="{00000000-0005-0000-0000-0000AF220000}"/>
    <cellStyle name="Normal 2 58 3 6" xfId="6234" xr:uid="{00000000-0005-0000-0000-0000B0220000}"/>
    <cellStyle name="Normal 2 58 3 6 2" xfId="24005" xr:uid="{00000000-0005-0000-0000-0000B1220000}"/>
    <cellStyle name="Normal 2 58 3 7" xfId="6235" xr:uid="{00000000-0005-0000-0000-0000B2220000}"/>
    <cellStyle name="Normal 2 58 3 7 2" xfId="24006" xr:uid="{00000000-0005-0000-0000-0000B3220000}"/>
    <cellStyle name="Normal 2 58 3 8" xfId="6236" xr:uid="{00000000-0005-0000-0000-0000B4220000}"/>
    <cellStyle name="Normal 2 58 3 8 2" xfId="24007" xr:uid="{00000000-0005-0000-0000-0000B5220000}"/>
    <cellStyle name="Normal 2 58 3 9" xfId="6237" xr:uid="{00000000-0005-0000-0000-0000B6220000}"/>
    <cellStyle name="Normal 2 58 3 9 2" xfId="24008" xr:uid="{00000000-0005-0000-0000-0000B7220000}"/>
    <cellStyle name="Normal 2 58 4" xfId="6238" xr:uid="{00000000-0005-0000-0000-0000B8220000}"/>
    <cellStyle name="Normal 2 58 4 10" xfId="6239" xr:uid="{00000000-0005-0000-0000-0000B9220000}"/>
    <cellStyle name="Normal 2 58 4 10 2" xfId="24010" xr:uid="{00000000-0005-0000-0000-0000BA220000}"/>
    <cellStyle name="Normal 2 58 4 11" xfId="6240" xr:uid="{00000000-0005-0000-0000-0000BB220000}"/>
    <cellStyle name="Normal 2 58 4 11 2" xfId="24011" xr:uid="{00000000-0005-0000-0000-0000BC220000}"/>
    <cellStyle name="Normal 2 58 4 12" xfId="6241" xr:uid="{00000000-0005-0000-0000-0000BD220000}"/>
    <cellStyle name="Normal 2 58 4 12 2" xfId="24012" xr:uid="{00000000-0005-0000-0000-0000BE220000}"/>
    <cellStyle name="Normal 2 58 4 13" xfId="6242" xr:uid="{00000000-0005-0000-0000-0000BF220000}"/>
    <cellStyle name="Normal 2 58 4 13 2" xfId="24013" xr:uid="{00000000-0005-0000-0000-0000C0220000}"/>
    <cellStyle name="Normal 2 58 4 14" xfId="6243" xr:uid="{00000000-0005-0000-0000-0000C1220000}"/>
    <cellStyle name="Normal 2 58 4 14 2" xfId="24014" xr:uid="{00000000-0005-0000-0000-0000C2220000}"/>
    <cellStyle name="Normal 2 58 4 15" xfId="6244" xr:uid="{00000000-0005-0000-0000-0000C3220000}"/>
    <cellStyle name="Normal 2 58 4 15 2" xfId="24015" xr:uid="{00000000-0005-0000-0000-0000C4220000}"/>
    <cellStyle name="Normal 2 58 4 16" xfId="24009" xr:uid="{00000000-0005-0000-0000-0000C5220000}"/>
    <cellStyle name="Normal 2 58 4 2" xfId="6245" xr:uid="{00000000-0005-0000-0000-0000C6220000}"/>
    <cellStyle name="Normal 2 58 4 2 10" xfId="6246" xr:uid="{00000000-0005-0000-0000-0000C7220000}"/>
    <cellStyle name="Normal 2 58 4 2 10 2" xfId="24017" xr:uid="{00000000-0005-0000-0000-0000C8220000}"/>
    <cellStyle name="Normal 2 58 4 2 11" xfId="6247" xr:uid="{00000000-0005-0000-0000-0000C9220000}"/>
    <cellStyle name="Normal 2 58 4 2 11 2" xfId="24018" xr:uid="{00000000-0005-0000-0000-0000CA220000}"/>
    <cellStyle name="Normal 2 58 4 2 12" xfId="6248" xr:uid="{00000000-0005-0000-0000-0000CB220000}"/>
    <cellStyle name="Normal 2 58 4 2 12 2" xfId="24019" xr:uid="{00000000-0005-0000-0000-0000CC220000}"/>
    <cellStyle name="Normal 2 58 4 2 13" xfId="6249" xr:uid="{00000000-0005-0000-0000-0000CD220000}"/>
    <cellStyle name="Normal 2 58 4 2 13 2" xfId="24020" xr:uid="{00000000-0005-0000-0000-0000CE220000}"/>
    <cellStyle name="Normal 2 58 4 2 14" xfId="6250" xr:uid="{00000000-0005-0000-0000-0000CF220000}"/>
    <cellStyle name="Normal 2 58 4 2 14 2" xfId="24021" xr:uid="{00000000-0005-0000-0000-0000D0220000}"/>
    <cellStyle name="Normal 2 58 4 2 15" xfId="24016" xr:uid="{00000000-0005-0000-0000-0000D1220000}"/>
    <cellStyle name="Normal 2 58 4 2 2" xfId="6251" xr:uid="{00000000-0005-0000-0000-0000D2220000}"/>
    <cellStyle name="Normal 2 58 4 2 2 2" xfId="24022" xr:uid="{00000000-0005-0000-0000-0000D3220000}"/>
    <cellStyle name="Normal 2 58 4 2 3" xfId="6252" xr:uid="{00000000-0005-0000-0000-0000D4220000}"/>
    <cellStyle name="Normal 2 58 4 2 3 2" xfId="24023" xr:uid="{00000000-0005-0000-0000-0000D5220000}"/>
    <cellStyle name="Normal 2 58 4 2 4" xfId="6253" xr:uid="{00000000-0005-0000-0000-0000D6220000}"/>
    <cellStyle name="Normal 2 58 4 2 4 2" xfId="24024" xr:uid="{00000000-0005-0000-0000-0000D7220000}"/>
    <cellStyle name="Normal 2 58 4 2 5" xfId="6254" xr:uid="{00000000-0005-0000-0000-0000D8220000}"/>
    <cellStyle name="Normal 2 58 4 2 5 2" xfId="24025" xr:uid="{00000000-0005-0000-0000-0000D9220000}"/>
    <cellStyle name="Normal 2 58 4 2 6" xfId="6255" xr:uid="{00000000-0005-0000-0000-0000DA220000}"/>
    <cellStyle name="Normal 2 58 4 2 6 2" xfId="24026" xr:uid="{00000000-0005-0000-0000-0000DB220000}"/>
    <cellStyle name="Normal 2 58 4 2 7" xfId="6256" xr:uid="{00000000-0005-0000-0000-0000DC220000}"/>
    <cellStyle name="Normal 2 58 4 2 7 2" xfId="24027" xr:uid="{00000000-0005-0000-0000-0000DD220000}"/>
    <cellStyle name="Normal 2 58 4 2 8" xfId="6257" xr:uid="{00000000-0005-0000-0000-0000DE220000}"/>
    <cellStyle name="Normal 2 58 4 2 8 2" xfId="24028" xr:uid="{00000000-0005-0000-0000-0000DF220000}"/>
    <cellStyle name="Normal 2 58 4 2 9" xfId="6258" xr:uid="{00000000-0005-0000-0000-0000E0220000}"/>
    <cellStyle name="Normal 2 58 4 2 9 2" xfId="24029" xr:uid="{00000000-0005-0000-0000-0000E1220000}"/>
    <cellStyle name="Normal 2 58 4 3" xfId="6259" xr:uid="{00000000-0005-0000-0000-0000E2220000}"/>
    <cellStyle name="Normal 2 58 4 3 2" xfId="24030" xr:uid="{00000000-0005-0000-0000-0000E3220000}"/>
    <cellStyle name="Normal 2 58 4 4" xfId="6260" xr:uid="{00000000-0005-0000-0000-0000E4220000}"/>
    <cellStyle name="Normal 2 58 4 4 2" xfId="24031" xr:uid="{00000000-0005-0000-0000-0000E5220000}"/>
    <cellStyle name="Normal 2 58 4 5" xfId="6261" xr:uid="{00000000-0005-0000-0000-0000E6220000}"/>
    <cellStyle name="Normal 2 58 4 5 2" xfId="24032" xr:uid="{00000000-0005-0000-0000-0000E7220000}"/>
    <cellStyle name="Normal 2 58 4 6" xfId="6262" xr:uid="{00000000-0005-0000-0000-0000E8220000}"/>
    <cellStyle name="Normal 2 58 4 6 2" xfId="24033" xr:uid="{00000000-0005-0000-0000-0000E9220000}"/>
    <cellStyle name="Normal 2 58 4 7" xfId="6263" xr:uid="{00000000-0005-0000-0000-0000EA220000}"/>
    <cellStyle name="Normal 2 58 4 7 2" xfId="24034" xr:uid="{00000000-0005-0000-0000-0000EB220000}"/>
    <cellStyle name="Normal 2 58 4 8" xfId="6264" xr:uid="{00000000-0005-0000-0000-0000EC220000}"/>
    <cellStyle name="Normal 2 58 4 8 2" xfId="24035" xr:uid="{00000000-0005-0000-0000-0000ED220000}"/>
    <cellStyle name="Normal 2 58 4 9" xfId="6265" xr:uid="{00000000-0005-0000-0000-0000EE220000}"/>
    <cellStyle name="Normal 2 58 4 9 2" xfId="24036" xr:uid="{00000000-0005-0000-0000-0000EF220000}"/>
    <cellStyle name="Normal 2 58 5" xfId="6266" xr:uid="{00000000-0005-0000-0000-0000F0220000}"/>
    <cellStyle name="Normal 2 58 5 10" xfId="6267" xr:uid="{00000000-0005-0000-0000-0000F1220000}"/>
    <cellStyle name="Normal 2 58 5 10 2" xfId="24038" xr:uid="{00000000-0005-0000-0000-0000F2220000}"/>
    <cellStyle name="Normal 2 58 5 11" xfId="6268" xr:uid="{00000000-0005-0000-0000-0000F3220000}"/>
    <cellStyle name="Normal 2 58 5 11 2" xfId="24039" xr:uid="{00000000-0005-0000-0000-0000F4220000}"/>
    <cellStyle name="Normal 2 58 5 12" xfId="6269" xr:uid="{00000000-0005-0000-0000-0000F5220000}"/>
    <cellStyle name="Normal 2 58 5 12 2" xfId="24040" xr:uid="{00000000-0005-0000-0000-0000F6220000}"/>
    <cellStyle name="Normal 2 58 5 13" xfId="6270" xr:uid="{00000000-0005-0000-0000-0000F7220000}"/>
    <cellStyle name="Normal 2 58 5 13 2" xfId="24041" xr:uid="{00000000-0005-0000-0000-0000F8220000}"/>
    <cellStyle name="Normal 2 58 5 14" xfId="6271" xr:uid="{00000000-0005-0000-0000-0000F9220000}"/>
    <cellStyle name="Normal 2 58 5 14 2" xfId="24042" xr:uid="{00000000-0005-0000-0000-0000FA220000}"/>
    <cellStyle name="Normal 2 58 5 15" xfId="24037" xr:uid="{00000000-0005-0000-0000-0000FB220000}"/>
    <cellStyle name="Normal 2 58 5 2" xfId="6272" xr:uid="{00000000-0005-0000-0000-0000FC220000}"/>
    <cellStyle name="Normal 2 58 5 2 2" xfId="24043" xr:uid="{00000000-0005-0000-0000-0000FD220000}"/>
    <cellStyle name="Normal 2 58 5 3" xfId="6273" xr:uid="{00000000-0005-0000-0000-0000FE220000}"/>
    <cellStyle name="Normal 2 58 5 3 2" xfId="24044" xr:uid="{00000000-0005-0000-0000-0000FF220000}"/>
    <cellStyle name="Normal 2 58 5 4" xfId="6274" xr:uid="{00000000-0005-0000-0000-000000230000}"/>
    <cellStyle name="Normal 2 58 5 4 2" xfId="24045" xr:uid="{00000000-0005-0000-0000-000001230000}"/>
    <cellStyle name="Normal 2 58 5 5" xfId="6275" xr:uid="{00000000-0005-0000-0000-000002230000}"/>
    <cellStyle name="Normal 2 58 5 5 2" xfId="24046" xr:uid="{00000000-0005-0000-0000-000003230000}"/>
    <cellStyle name="Normal 2 58 5 6" xfId="6276" xr:uid="{00000000-0005-0000-0000-000004230000}"/>
    <cellStyle name="Normal 2 58 5 6 2" xfId="24047" xr:uid="{00000000-0005-0000-0000-000005230000}"/>
    <cellStyle name="Normal 2 58 5 7" xfId="6277" xr:uid="{00000000-0005-0000-0000-000006230000}"/>
    <cellStyle name="Normal 2 58 5 7 2" xfId="24048" xr:uid="{00000000-0005-0000-0000-000007230000}"/>
    <cellStyle name="Normal 2 58 5 8" xfId="6278" xr:uid="{00000000-0005-0000-0000-000008230000}"/>
    <cellStyle name="Normal 2 58 5 8 2" xfId="24049" xr:uid="{00000000-0005-0000-0000-000009230000}"/>
    <cellStyle name="Normal 2 58 5 9" xfId="6279" xr:uid="{00000000-0005-0000-0000-00000A230000}"/>
    <cellStyle name="Normal 2 58 5 9 2" xfId="24050" xr:uid="{00000000-0005-0000-0000-00000B230000}"/>
    <cellStyle name="Normal 2 58 6" xfId="6280" xr:uid="{00000000-0005-0000-0000-00000C230000}"/>
    <cellStyle name="Normal 2 58 6 10" xfId="6281" xr:uid="{00000000-0005-0000-0000-00000D230000}"/>
    <cellStyle name="Normal 2 58 6 10 2" xfId="24052" xr:uid="{00000000-0005-0000-0000-00000E230000}"/>
    <cellStyle name="Normal 2 58 6 11" xfId="6282" xr:uid="{00000000-0005-0000-0000-00000F230000}"/>
    <cellStyle name="Normal 2 58 6 11 2" xfId="24053" xr:uid="{00000000-0005-0000-0000-000010230000}"/>
    <cellStyle name="Normal 2 58 6 12" xfId="6283" xr:uid="{00000000-0005-0000-0000-000011230000}"/>
    <cellStyle name="Normal 2 58 6 12 2" xfId="24054" xr:uid="{00000000-0005-0000-0000-000012230000}"/>
    <cellStyle name="Normal 2 58 6 13" xfId="6284" xr:uid="{00000000-0005-0000-0000-000013230000}"/>
    <cellStyle name="Normal 2 58 6 13 2" xfId="24055" xr:uid="{00000000-0005-0000-0000-000014230000}"/>
    <cellStyle name="Normal 2 58 6 14" xfId="6285" xr:uid="{00000000-0005-0000-0000-000015230000}"/>
    <cellStyle name="Normal 2 58 6 14 2" xfId="24056" xr:uid="{00000000-0005-0000-0000-000016230000}"/>
    <cellStyle name="Normal 2 58 6 15" xfId="24051" xr:uid="{00000000-0005-0000-0000-000017230000}"/>
    <cellStyle name="Normal 2 58 6 2" xfId="6286" xr:uid="{00000000-0005-0000-0000-000018230000}"/>
    <cellStyle name="Normal 2 58 6 2 2" xfId="24057" xr:uid="{00000000-0005-0000-0000-000019230000}"/>
    <cellStyle name="Normal 2 58 6 3" xfId="6287" xr:uid="{00000000-0005-0000-0000-00001A230000}"/>
    <cellStyle name="Normal 2 58 6 3 2" xfId="24058" xr:uid="{00000000-0005-0000-0000-00001B230000}"/>
    <cellStyle name="Normal 2 58 6 4" xfId="6288" xr:uid="{00000000-0005-0000-0000-00001C230000}"/>
    <cellStyle name="Normal 2 58 6 4 2" xfId="24059" xr:uid="{00000000-0005-0000-0000-00001D230000}"/>
    <cellStyle name="Normal 2 58 6 5" xfId="6289" xr:uid="{00000000-0005-0000-0000-00001E230000}"/>
    <cellStyle name="Normal 2 58 6 5 2" xfId="24060" xr:uid="{00000000-0005-0000-0000-00001F230000}"/>
    <cellStyle name="Normal 2 58 6 6" xfId="6290" xr:uid="{00000000-0005-0000-0000-000020230000}"/>
    <cellStyle name="Normal 2 58 6 6 2" xfId="24061" xr:uid="{00000000-0005-0000-0000-000021230000}"/>
    <cellStyle name="Normal 2 58 6 7" xfId="6291" xr:uid="{00000000-0005-0000-0000-000022230000}"/>
    <cellStyle name="Normal 2 58 6 7 2" xfId="24062" xr:uid="{00000000-0005-0000-0000-000023230000}"/>
    <cellStyle name="Normal 2 58 6 8" xfId="6292" xr:uid="{00000000-0005-0000-0000-000024230000}"/>
    <cellStyle name="Normal 2 58 6 8 2" xfId="24063" xr:uid="{00000000-0005-0000-0000-000025230000}"/>
    <cellStyle name="Normal 2 58 6 9" xfId="6293" xr:uid="{00000000-0005-0000-0000-000026230000}"/>
    <cellStyle name="Normal 2 58 6 9 2" xfId="24064" xr:uid="{00000000-0005-0000-0000-000027230000}"/>
    <cellStyle name="Normal 2 58 7" xfId="6294" xr:uid="{00000000-0005-0000-0000-000028230000}"/>
    <cellStyle name="Normal 2 58 7 10" xfId="6295" xr:uid="{00000000-0005-0000-0000-000029230000}"/>
    <cellStyle name="Normal 2 58 7 10 2" xfId="24066" xr:uid="{00000000-0005-0000-0000-00002A230000}"/>
    <cellStyle name="Normal 2 58 7 11" xfId="6296" xr:uid="{00000000-0005-0000-0000-00002B230000}"/>
    <cellStyle name="Normal 2 58 7 11 2" xfId="24067" xr:uid="{00000000-0005-0000-0000-00002C230000}"/>
    <cellStyle name="Normal 2 58 7 12" xfId="6297" xr:uid="{00000000-0005-0000-0000-00002D230000}"/>
    <cellStyle name="Normal 2 58 7 12 2" xfId="24068" xr:uid="{00000000-0005-0000-0000-00002E230000}"/>
    <cellStyle name="Normal 2 58 7 13" xfId="6298" xr:uid="{00000000-0005-0000-0000-00002F230000}"/>
    <cellStyle name="Normal 2 58 7 13 2" xfId="24069" xr:uid="{00000000-0005-0000-0000-000030230000}"/>
    <cellStyle name="Normal 2 58 7 14" xfId="6299" xr:uid="{00000000-0005-0000-0000-000031230000}"/>
    <cellStyle name="Normal 2 58 7 14 2" xfId="24070" xr:uid="{00000000-0005-0000-0000-000032230000}"/>
    <cellStyle name="Normal 2 58 7 15" xfId="24065" xr:uid="{00000000-0005-0000-0000-000033230000}"/>
    <cellStyle name="Normal 2 58 7 2" xfId="6300" xr:uid="{00000000-0005-0000-0000-000034230000}"/>
    <cellStyle name="Normal 2 58 7 2 2" xfId="24071" xr:uid="{00000000-0005-0000-0000-000035230000}"/>
    <cellStyle name="Normal 2 58 7 3" xfId="6301" xr:uid="{00000000-0005-0000-0000-000036230000}"/>
    <cellStyle name="Normal 2 58 7 3 2" xfId="24072" xr:uid="{00000000-0005-0000-0000-000037230000}"/>
    <cellStyle name="Normal 2 58 7 4" xfId="6302" xr:uid="{00000000-0005-0000-0000-000038230000}"/>
    <cellStyle name="Normal 2 58 7 4 2" xfId="24073" xr:uid="{00000000-0005-0000-0000-000039230000}"/>
    <cellStyle name="Normal 2 58 7 5" xfId="6303" xr:uid="{00000000-0005-0000-0000-00003A230000}"/>
    <cellStyle name="Normal 2 58 7 5 2" xfId="24074" xr:uid="{00000000-0005-0000-0000-00003B230000}"/>
    <cellStyle name="Normal 2 58 7 6" xfId="6304" xr:uid="{00000000-0005-0000-0000-00003C230000}"/>
    <cellStyle name="Normal 2 58 7 6 2" xfId="24075" xr:uid="{00000000-0005-0000-0000-00003D230000}"/>
    <cellStyle name="Normal 2 58 7 7" xfId="6305" xr:uid="{00000000-0005-0000-0000-00003E230000}"/>
    <cellStyle name="Normal 2 58 7 7 2" xfId="24076" xr:uid="{00000000-0005-0000-0000-00003F230000}"/>
    <cellStyle name="Normal 2 58 7 8" xfId="6306" xr:uid="{00000000-0005-0000-0000-000040230000}"/>
    <cellStyle name="Normal 2 58 7 8 2" xfId="24077" xr:uid="{00000000-0005-0000-0000-000041230000}"/>
    <cellStyle name="Normal 2 58 7 9" xfId="6307" xr:uid="{00000000-0005-0000-0000-000042230000}"/>
    <cellStyle name="Normal 2 58 7 9 2" xfId="24078" xr:uid="{00000000-0005-0000-0000-000043230000}"/>
    <cellStyle name="Normal 2 58 8" xfId="6308" xr:uid="{00000000-0005-0000-0000-000044230000}"/>
    <cellStyle name="Normal 2 58 8 10" xfId="6309" xr:uid="{00000000-0005-0000-0000-000045230000}"/>
    <cellStyle name="Normal 2 58 8 10 2" xfId="24080" xr:uid="{00000000-0005-0000-0000-000046230000}"/>
    <cellStyle name="Normal 2 58 8 11" xfId="6310" xr:uid="{00000000-0005-0000-0000-000047230000}"/>
    <cellStyle name="Normal 2 58 8 11 2" xfId="24081" xr:uid="{00000000-0005-0000-0000-000048230000}"/>
    <cellStyle name="Normal 2 58 8 12" xfId="6311" xr:uid="{00000000-0005-0000-0000-000049230000}"/>
    <cellStyle name="Normal 2 58 8 12 2" xfId="24082" xr:uid="{00000000-0005-0000-0000-00004A230000}"/>
    <cellStyle name="Normal 2 58 8 13" xfId="6312" xr:uid="{00000000-0005-0000-0000-00004B230000}"/>
    <cellStyle name="Normal 2 58 8 13 2" xfId="24083" xr:uid="{00000000-0005-0000-0000-00004C230000}"/>
    <cellStyle name="Normal 2 58 8 14" xfId="6313" xr:uid="{00000000-0005-0000-0000-00004D230000}"/>
    <cellStyle name="Normal 2 58 8 14 2" xfId="24084" xr:uid="{00000000-0005-0000-0000-00004E230000}"/>
    <cellStyle name="Normal 2 58 8 15" xfId="24079" xr:uid="{00000000-0005-0000-0000-00004F230000}"/>
    <cellStyle name="Normal 2 58 8 2" xfId="6314" xr:uid="{00000000-0005-0000-0000-000050230000}"/>
    <cellStyle name="Normal 2 58 8 2 2" xfId="24085" xr:uid="{00000000-0005-0000-0000-000051230000}"/>
    <cellStyle name="Normal 2 58 8 3" xfId="6315" xr:uid="{00000000-0005-0000-0000-000052230000}"/>
    <cellStyle name="Normal 2 58 8 3 2" xfId="24086" xr:uid="{00000000-0005-0000-0000-000053230000}"/>
    <cellStyle name="Normal 2 58 8 4" xfId="6316" xr:uid="{00000000-0005-0000-0000-000054230000}"/>
    <cellStyle name="Normal 2 58 8 4 2" xfId="24087" xr:uid="{00000000-0005-0000-0000-000055230000}"/>
    <cellStyle name="Normal 2 58 8 5" xfId="6317" xr:uid="{00000000-0005-0000-0000-000056230000}"/>
    <cellStyle name="Normal 2 58 8 5 2" xfId="24088" xr:uid="{00000000-0005-0000-0000-000057230000}"/>
    <cellStyle name="Normal 2 58 8 6" xfId="6318" xr:uid="{00000000-0005-0000-0000-000058230000}"/>
    <cellStyle name="Normal 2 58 8 6 2" xfId="24089" xr:uid="{00000000-0005-0000-0000-000059230000}"/>
    <cellStyle name="Normal 2 58 8 7" xfId="6319" xr:uid="{00000000-0005-0000-0000-00005A230000}"/>
    <cellStyle name="Normal 2 58 8 7 2" xfId="24090" xr:uid="{00000000-0005-0000-0000-00005B230000}"/>
    <cellStyle name="Normal 2 58 8 8" xfId="6320" xr:uid="{00000000-0005-0000-0000-00005C230000}"/>
    <cellStyle name="Normal 2 58 8 8 2" xfId="24091" xr:uid="{00000000-0005-0000-0000-00005D230000}"/>
    <cellStyle name="Normal 2 58 8 9" xfId="6321" xr:uid="{00000000-0005-0000-0000-00005E230000}"/>
    <cellStyle name="Normal 2 58 8 9 2" xfId="24092" xr:uid="{00000000-0005-0000-0000-00005F230000}"/>
    <cellStyle name="Normal 2 58 9" xfId="6322" xr:uid="{00000000-0005-0000-0000-000060230000}"/>
    <cellStyle name="Normal 2 58 9 10" xfId="6323" xr:uid="{00000000-0005-0000-0000-000061230000}"/>
    <cellStyle name="Normal 2 58 9 10 2" xfId="24094" xr:uid="{00000000-0005-0000-0000-000062230000}"/>
    <cellStyle name="Normal 2 58 9 11" xfId="6324" xr:uid="{00000000-0005-0000-0000-000063230000}"/>
    <cellStyle name="Normal 2 58 9 11 2" xfId="24095" xr:uid="{00000000-0005-0000-0000-000064230000}"/>
    <cellStyle name="Normal 2 58 9 12" xfId="6325" xr:uid="{00000000-0005-0000-0000-000065230000}"/>
    <cellStyle name="Normal 2 58 9 12 2" xfId="24096" xr:uid="{00000000-0005-0000-0000-000066230000}"/>
    <cellStyle name="Normal 2 58 9 13" xfId="6326" xr:uid="{00000000-0005-0000-0000-000067230000}"/>
    <cellStyle name="Normal 2 58 9 13 2" xfId="24097" xr:uid="{00000000-0005-0000-0000-000068230000}"/>
    <cellStyle name="Normal 2 58 9 14" xfId="6327" xr:uid="{00000000-0005-0000-0000-000069230000}"/>
    <cellStyle name="Normal 2 58 9 14 2" xfId="24098" xr:uid="{00000000-0005-0000-0000-00006A230000}"/>
    <cellStyle name="Normal 2 58 9 15" xfId="24093" xr:uid="{00000000-0005-0000-0000-00006B230000}"/>
    <cellStyle name="Normal 2 58 9 2" xfId="6328" xr:uid="{00000000-0005-0000-0000-00006C230000}"/>
    <cellStyle name="Normal 2 58 9 2 2" xfId="24099" xr:uid="{00000000-0005-0000-0000-00006D230000}"/>
    <cellStyle name="Normal 2 58 9 3" xfId="6329" xr:uid="{00000000-0005-0000-0000-00006E230000}"/>
    <cellStyle name="Normal 2 58 9 3 2" xfId="24100" xr:uid="{00000000-0005-0000-0000-00006F230000}"/>
    <cellStyle name="Normal 2 58 9 4" xfId="6330" xr:uid="{00000000-0005-0000-0000-000070230000}"/>
    <cellStyle name="Normal 2 58 9 4 2" xfId="24101" xr:uid="{00000000-0005-0000-0000-000071230000}"/>
    <cellStyle name="Normal 2 58 9 5" xfId="6331" xr:uid="{00000000-0005-0000-0000-000072230000}"/>
    <cellStyle name="Normal 2 58 9 5 2" xfId="24102" xr:uid="{00000000-0005-0000-0000-000073230000}"/>
    <cellStyle name="Normal 2 58 9 6" xfId="6332" xr:uid="{00000000-0005-0000-0000-000074230000}"/>
    <cellStyle name="Normal 2 58 9 6 2" xfId="24103" xr:uid="{00000000-0005-0000-0000-000075230000}"/>
    <cellStyle name="Normal 2 58 9 7" xfId="6333" xr:uid="{00000000-0005-0000-0000-000076230000}"/>
    <cellStyle name="Normal 2 58 9 7 2" xfId="24104" xr:uid="{00000000-0005-0000-0000-000077230000}"/>
    <cellStyle name="Normal 2 58 9 8" xfId="6334" xr:uid="{00000000-0005-0000-0000-000078230000}"/>
    <cellStyle name="Normal 2 58 9 8 2" xfId="24105" xr:uid="{00000000-0005-0000-0000-000079230000}"/>
    <cellStyle name="Normal 2 58 9 9" xfId="6335" xr:uid="{00000000-0005-0000-0000-00007A230000}"/>
    <cellStyle name="Normal 2 58 9 9 2" xfId="24106" xr:uid="{00000000-0005-0000-0000-00007B230000}"/>
    <cellStyle name="Normal 2 59" xfId="6336" xr:uid="{00000000-0005-0000-0000-00007C230000}"/>
    <cellStyle name="Normal 2 59 10" xfId="6337" xr:uid="{00000000-0005-0000-0000-00007D230000}"/>
    <cellStyle name="Normal 2 59 10 10" xfId="6338" xr:uid="{00000000-0005-0000-0000-00007E230000}"/>
    <cellStyle name="Normal 2 59 10 10 2" xfId="24109" xr:uid="{00000000-0005-0000-0000-00007F230000}"/>
    <cellStyle name="Normal 2 59 10 11" xfId="6339" xr:uid="{00000000-0005-0000-0000-000080230000}"/>
    <cellStyle name="Normal 2 59 10 11 2" xfId="24110" xr:uid="{00000000-0005-0000-0000-000081230000}"/>
    <cellStyle name="Normal 2 59 10 12" xfId="6340" xr:uid="{00000000-0005-0000-0000-000082230000}"/>
    <cellStyle name="Normal 2 59 10 12 2" xfId="24111" xr:uid="{00000000-0005-0000-0000-000083230000}"/>
    <cellStyle name="Normal 2 59 10 13" xfId="6341" xr:uid="{00000000-0005-0000-0000-000084230000}"/>
    <cellStyle name="Normal 2 59 10 13 2" xfId="24112" xr:uid="{00000000-0005-0000-0000-000085230000}"/>
    <cellStyle name="Normal 2 59 10 14" xfId="6342" xr:uid="{00000000-0005-0000-0000-000086230000}"/>
    <cellStyle name="Normal 2 59 10 14 2" xfId="24113" xr:uid="{00000000-0005-0000-0000-000087230000}"/>
    <cellStyle name="Normal 2 59 10 15" xfId="24108" xr:uid="{00000000-0005-0000-0000-000088230000}"/>
    <cellStyle name="Normal 2 59 10 2" xfId="6343" xr:uid="{00000000-0005-0000-0000-000089230000}"/>
    <cellStyle name="Normal 2 59 10 2 2" xfId="24114" xr:uid="{00000000-0005-0000-0000-00008A230000}"/>
    <cellStyle name="Normal 2 59 10 3" xfId="6344" xr:uid="{00000000-0005-0000-0000-00008B230000}"/>
    <cellStyle name="Normal 2 59 10 3 2" xfId="24115" xr:uid="{00000000-0005-0000-0000-00008C230000}"/>
    <cellStyle name="Normal 2 59 10 4" xfId="6345" xr:uid="{00000000-0005-0000-0000-00008D230000}"/>
    <cellStyle name="Normal 2 59 10 4 2" xfId="24116" xr:uid="{00000000-0005-0000-0000-00008E230000}"/>
    <cellStyle name="Normal 2 59 10 5" xfId="6346" xr:uid="{00000000-0005-0000-0000-00008F230000}"/>
    <cellStyle name="Normal 2 59 10 5 2" xfId="24117" xr:uid="{00000000-0005-0000-0000-000090230000}"/>
    <cellStyle name="Normal 2 59 10 6" xfId="6347" xr:uid="{00000000-0005-0000-0000-000091230000}"/>
    <cellStyle name="Normal 2 59 10 6 2" xfId="24118" xr:uid="{00000000-0005-0000-0000-000092230000}"/>
    <cellStyle name="Normal 2 59 10 7" xfId="6348" xr:uid="{00000000-0005-0000-0000-000093230000}"/>
    <cellStyle name="Normal 2 59 10 7 2" xfId="24119" xr:uid="{00000000-0005-0000-0000-000094230000}"/>
    <cellStyle name="Normal 2 59 10 8" xfId="6349" xr:uid="{00000000-0005-0000-0000-000095230000}"/>
    <cellStyle name="Normal 2 59 10 8 2" xfId="24120" xr:uid="{00000000-0005-0000-0000-000096230000}"/>
    <cellStyle name="Normal 2 59 10 9" xfId="6350" xr:uid="{00000000-0005-0000-0000-000097230000}"/>
    <cellStyle name="Normal 2 59 10 9 2" xfId="24121" xr:uid="{00000000-0005-0000-0000-000098230000}"/>
    <cellStyle name="Normal 2 59 11" xfId="6351" xr:uid="{00000000-0005-0000-0000-000099230000}"/>
    <cellStyle name="Normal 2 59 11 2" xfId="24122" xr:uid="{00000000-0005-0000-0000-00009A230000}"/>
    <cellStyle name="Normal 2 59 12" xfId="6352" xr:uid="{00000000-0005-0000-0000-00009B230000}"/>
    <cellStyle name="Normal 2 59 12 2" xfId="24123" xr:uid="{00000000-0005-0000-0000-00009C230000}"/>
    <cellStyle name="Normal 2 59 13" xfId="6353" xr:uid="{00000000-0005-0000-0000-00009D230000}"/>
    <cellStyle name="Normal 2 59 13 2" xfId="24124" xr:uid="{00000000-0005-0000-0000-00009E230000}"/>
    <cellStyle name="Normal 2 59 14" xfId="6354" xr:uid="{00000000-0005-0000-0000-00009F230000}"/>
    <cellStyle name="Normal 2 59 14 2" xfId="24125" xr:uid="{00000000-0005-0000-0000-0000A0230000}"/>
    <cellStyle name="Normal 2 59 15" xfId="6355" xr:uid="{00000000-0005-0000-0000-0000A1230000}"/>
    <cellStyle name="Normal 2 59 15 2" xfId="24126" xr:uid="{00000000-0005-0000-0000-0000A2230000}"/>
    <cellStyle name="Normal 2 59 16" xfId="6356" xr:uid="{00000000-0005-0000-0000-0000A3230000}"/>
    <cellStyle name="Normal 2 59 16 2" xfId="24127" xr:uid="{00000000-0005-0000-0000-0000A4230000}"/>
    <cellStyle name="Normal 2 59 17" xfId="6357" xr:uid="{00000000-0005-0000-0000-0000A5230000}"/>
    <cellStyle name="Normal 2 59 17 2" xfId="24128" xr:uid="{00000000-0005-0000-0000-0000A6230000}"/>
    <cellStyle name="Normal 2 59 18" xfId="6358" xr:uid="{00000000-0005-0000-0000-0000A7230000}"/>
    <cellStyle name="Normal 2 59 18 2" xfId="24129" xr:uid="{00000000-0005-0000-0000-0000A8230000}"/>
    <cellStyle name="Normal 2 59 19" xfId="6359" xr:uid="{00000000-0005-0000-0000-0000A9230000}"/>
    <cellStyle name="Normal 2 59 19 2" xfId="24130" xr:uid="{00000000-0005-0000-0000-0000AA230000}"/>
    <cellStyle name="Normal 2 59 2" xfId="6360" xr:uid="{00000000-0005-0000-0000-0000AB230000}"/>
    <cellStyle name="Normal 2 59 2 10" xfId="6361" xr:uid="{00000000-0005-0000-0000-0000AC230000}"/>
    <cellStyle name="Normal 2 59 2 10 2" xfId="24132" xr:uid="{00000000-0005-0000-0000-0000AD230000}"/>
    <cellStyle name="Normal 2 59 2 11" xfId="6362" xr:uid="{00000000-0005-0000-0000-0000AE230000}"/>
    <cellStyle name="Normal 2 59 2 11 2" xfId="24133" xr:uid="{00000000-0005-0000-0000-0000AF230000}"/>
    <cellStyle name="Normal 2 59 2 12" xfId="6363" xr:uid="{00000000-0005-0000-0000-0000B0230000}"/>
    <cellStyle name="Normal 2 59 2 12 2" xfId="24134" xr:uid="{00000000-0005-0000-0000-0000B1230000}"/>
    <cellStyle name="Normal 2 59 2 13" xfId="6364" xr:uid="{00000000-0005-0000-0000-0000B2230000}"/>
    <cellStyle name="Normal 2 59 2 13 2" xfId="24135" xr:uid="{00000000-0005-0000-0000-0000B3230000}"/>
    <cellStyle name="Normal 2 59 2 14" xfId="6365" xr:uid="{00000000-0005-0000-0000-0000B4230000}"/>
    <cellStyle name="Normal 2 59 2 14 2" xfId="24136" xr:uid="{00000000-0005-0000-0000-0000B5230000}"/>
    <cellStyle name="Normal 2 59 2 15" xfId="6366" xr:uid="{00000000-0005-0000-0000-0000B6230000}"/>
    <cellStyle name="Normal 2 59 2 15 2" xfId="24137" xr:uid="{00000000-0005-0000-0000-0000B7230000}"/>
    <cellStyle name="Normal 2 59 2 16" xfId="24131" xr:uid="{00000000-0005-0000-0000-0000B8230000}"/>
    <cellStyle name="Normal 2 59 2 2" xfId="6367" xr:uid="{00000000-0005-0000-0000-0000B9230000}"/>
    <cellStyle name="Normal 2 59 2 2 10" xfId="6368" xr:uid="{00000000-0005-0000-0000-0000BA230000}"/>
    <cellStyle name="Normal 2 59 2 2 10 2" xfId="24139" xr:uid="{00000000-0005-0000-0000-0000BB230000}"/>
    <cellStyle name="Normal 2 59 2 2 11" xfId="6369" xr:uid="{00000000-0005-0000-0000-0000BC230000}"/>
    <cellStyle name="Normal 2 59 2 2 11 2" xfId="24140" xr:uid="{00000000-0005-0000-0000-0000BD230000}"/>
    <cellStyle name="Normal 2 59 2 2 12" xfId="6370" xr:uid="{00000000-0005-0000-0000-0000BE230000}"/>
    <cellStyle name="Normal 2 59 2 2 12 2" xfId="24141" xr:uid="{00000000-0005-0000-0000-0000BF230000}"/>
    <cellStyle name="Normal 2 59 2 2 13" xfId="6371" xr:uid="{00000000-0005-0000-0000-0000C0230000}"/>
    <cellStyle name="Normal 2 59 2 2 13 2" xfId="24142" xr:uid="{00000000-0005-0000-0000-0000C1230000}"/>
    <cellStyle name="Normal 2 59 2 2 14" xfId="6372" xr:uid="{00000000-0005-0000-0000-0000C2230000}"/>
    <cellStyle name="Normal 2 59 2 2 14 2" xfId="24143" xr:uid="{00000000-0005-0000-0000-0000C3230000}"/>
    <cellStyle name="Normal 2 59 2 2 15" xfId="24138" xr:uid="{00000000-0005-0000-0000-0000C4230000}"/>
    <cellStyle name="Normal 2 59 2 2 2" xfId="6373" xr:uid="{00000000-0005-0000-0000-0000C5230000}"/>
    <cellStyle name="Normal 2 59 2 2 2 2" xfId="24144" xr:uid="{00000000-0005-0000-0000-0000C6230000}"/>
    <cellStyle name="Normal 2 59 2 2 3" xfId="6374" xr:uid="{00000000-0005-0000-0000-0000C7230000}"/>
    <cellStyle name="Normal 2 59 2 2 3 2" xfId="24145" xr:uid="{00000000-0005-0000-0000-0000C8230000}"/>
    <cellStyle name="Normal 2 59 2 2 4" xfId="6375" xr:uid="{00000000-0005-0000-0000-0000C9230000}"/>
    <cellStyle name="Normal 2 59 2 2 4 2" xfId="24146" xr:uid="{00000000-0005-0000-0000-0000CA230000}"/>
    <cellStyle name="Normal 2 59 2 2 5" xfId="6376" xr:uid="{00000000-0005-0000-0000-0000CB230000}"/>
    <cellStyle name="Normal 2 59 2 2 5 2" xfId="24147" xr:uid="{00000000-0005-0000-0000-0000CC230000}"/>
    <cellStyle name="Normal 2 59 2 2 6" xfId="6377" xr:uid="{00000000-0005-0000-0000-0000CD230000}"/>
    <cellStyle name="Normal 2 59 2 2 6 2" xfId="24148" xr:uid="{00000000-0005-0000-0000-0000CE230000}"/>
    <cellStyle name="Normal 2 59 2 2 7" xfId="6378" xr:uid="{00000000-0005-0000-0000-0000CF230000}"/>
    <cellStyle name="Normal 2 59 2 2 7 2" xfId="24149" xr:uid="{00000000-0005-0000-0000-0000D0230000}"/>
    <cellStyle name="Normal 2 59 2 2 8" xfId="6379" xr:uid="{00000000-0005-0000-0000-0000D1230000}"/>
    <cellStyle name="Normal 2 59 2 2 8 2" xfId="24150" xr:uid="{00000000-0005-0000-0000-0000D2230000}"/>
    <cellStyle name="Normal 2 59 2 2 9" xfId="6380" xr:uid="{00000000-0005-0000-0000-0000D3230000}"/>
    <cellStyle name="Normal 2 59 2 2 9 2" xfId="24151" xr:uid="{00000000-0005-0000-0000-0000D4230000}"/>
    <cellStyle name="Normal 2 59 2 3" xfId="6381" xr:uid="{00000000-0005-0000-0000-0000D5230000}"/>
    <cellStyle name="Normal 2 59 2 3 2" xfId="24152" xr:uid="{00000000-0005-0000-0000-0000D6230000}"/>
    <cellStyle name="Normal 2 59 2 4" xfId="6382" xr:uid="{00000000-0005-0000-0000-0000D7230000}"/>
    <cellStyle name="Normal 2 59 2 4 2" xfId="24153" xr:uid="{00000000-0005-0000-0000-0000D8230000}"/>
    <cellStyle name="Normal 2 59 2 5" xfId="6383" xr:uid="{00000000-0005-0000-0000-0000D9230000}"/>
    <cellStyle name="Normal 2 59 2 5 2" xfId="24154" xr:uid="{00000000-0005-0000-0000-0000DA230000}"/>
    <cellStyle name="Normal 2 59 2 6" xfId="6384" xr:uid="{00000000-0005-0000-0000-0000DB230000}"/>
    <cellStyle name="Normal 2 59 2 6 2" xfId="24155" xr:uid="{00000000-0005-0000-0000-0000DC230000}"/>
    <cellStyle name="Normal 2 59 2 7" xfId="6385" xr:uid="{00000000-0005-0000-0000-0000DD230000}"/>
    <cellStyle name="Normal 2 59 2 7 2" xfId="24156" xr:uid="{00000000-0005-0000-0000-0000DE230000}"/>
    <cellStyle name="Normal 2 59 2 8" xfId="6386" xr:uid="{00000000-0005-0000-0000-0000DF230000}"/>
    <cellStyle name="Normal 2 59 2 8 2" xfId="24157" xr:uid="{00000000-0005-0000-0000-0000E0230000}"/>
    <cellStyle name="Normal 2 59 2 9" xfId="6387" xr:uid="{00000000-0005-0000-0000-0000E1230000}"/>
    <cellStyle name="Normal 2 59 2 9 2" xfId="24158" xr:uid="{00000000-0005-0000-0000-0000E2230000}"/>
    <cellStyle name="Normal 2 59 20" xfId="6388" xr:uid="{00000000-0005-0000-0000-0000E3230000}"/>
    <cellStyle name="Normal 2 59 20 2" xfId="24159" xr:uid="{00000000-0005-0000-0000-0000E4230000}"/>
    <cellStyle name="Normal 2 59 21" xfId="6389" xr:uid="{00000000-0005-0000-0000-0000E5230000}"/>
    <cellStyle name="Normal 2 59 21 2" xfId="24160" xr:uid="{00000000-0005-0000-0000-0000E6230000}"/>
    <cellStyle name="Normal 2 59 22" xfId="6390" xr:uid="{00000000-0005-0000-0000-0000E7230000}"/>
    <cellStyle name="Normal 2 59 22 2" xfId="24161" xr:uid="{00000000-0005-0000-0000-0000E8230000}"/>
    <cellStyle name="Normal 2 59 23" xfId="6391" xr:uid="{00000000-0005-0000-0000-0000E9230000}"/>
    <cellStyle name="Normal 2 59 23 2" xfId="24162" xr:uid="{00000000-0005-0000-0000-0000EA230000}"/>
    <cellStyle name="Normal 2 59 24" xfId="24107" xr:uid="{00000000-0005-0000-0000-0000EB230000}"/>
    <cellStyle name="Normal 2 59 3" xfId="6392" xr:uid="{00000000-0005-0000-0000-0000EC230000}"/>
    <cellStyle name="Normal 2 59 3 10" xfId="6393" xr:uid="{00000000-0005-0000-0000-0000ED230000}"/>
    <cellStyle name="Normal 2 59 3 10 2" xfId="24164" xr:uid="{00000000-0005-0000-0000-0000EE230000}"/>
    <cellStyle name="Normal 2 59 3 11" xfId="6394" xr:uid="{00000000-0005-0000-0000-0000EF230000}"/>
    <cellStyle name="Normal 2 59 3 11 2" xfId="24165" xr:uid="{00000000-0005-0000-0000-0000F0230000}"/>
    <cellStyle name="Normal 2 59 3 12" xfId="6395" xr:uid="{00000000-0005-0000-0000-0000F1230000}"/>
    <cellStyle name="Normal 2 59 3 12 2" xfId="24166" xr:uid="{00000000-0005-0000-0000-0000F2230000}"/>
    <cellStyle name="Normal 2 59 3 13" xfId="6396" xr:uid="{00000000-0005-0000-0000-0000F3230000}"/>
    <cellStyle name="Normal 2 59 3 13 2" xfId="24167" xr:uid="{00000000-0005-0000-0000-0000F4230000}"/>
    <cellStyle name="Normal 2 59 3 14" xfId="6397" xr:uid="{00000000-0005-0000-0000-0000F5230000}"/>
    <cellStyle name="Normal 2 59 3 14 2" xfId="24168" xr:uid="{00000000-0005-0000-0000-0000F6230000}"/>
    <cellStyle name="Normal 2 59 3 15" xfId="6398" xr:uid="{00000000-0005-0000-0000-0000F7230000}"/>
    <cellStyle name="Normal 2 59 3 15 2" xfId="24169" xr:uid="{00000000-0005-0000-0000-0000F8230000}"/>
    <cellStyle name="Normal 2 59 3 16" xfId="24163" xr:uid="{00000000-0005-0000-0000-0000F9230000}"/>
    <cellStyle name="Normal 2 59 3 2" xfId="6399" xr:uid="{00000000-0005-0000-0000-0000FA230000}"/>
    <cellStyle name="Normal 2 59 3 2 10" xfId="6400" xr:uid="{00000000-0005-0000-0000-0000FB230000}"/>
    <cellStyle name="Normal 2 59 3 2 10 2" xfId="24171" xr:uid="{00000000-0005-0000-0000-0000FC230000}"/>
    <cellStyle name="Normal 2 59 3 2 11" xfId="6401" xr:uid="{00000000-0005-0000-0000-0000FD230000}"/>
    <cellStyle name="Normal 2 59 3 2 11 2" xfId="24172" xr:uid="{00000000-0005-0000-0000-0000FE230000}"/>
    <cellStyle name="Normal 2 59 3 2 12" xfId="6402" xr:uid="{00000000-0005-0000-0000-0000FF230000}"/>
    <cellStyle name="Normal 2 59 3 2 12 2" xfId="24173" xr:uid="{00000000-0005-0000-0000-000000240000}"/>
    <cellStyle name="Normal 2 59 3 2 13" xfId="6403" xr:uid="{00000000-0005-0000-0000-000001240000}"/>
    <cellStyle name="Normal 2 59 3 2 13 2" xfId="24174" xr:uid="{00000000-0005-0000-0000-000002240000}"/>
    <cellStyle name="Normal 2 59 3 2 14" xfId="6404" xr:uid="{00000000-0005-0000-0000-000003240000}"/>
    <cellStyle name="Normal 2 59 3 2 14 2" xfId="24175" xr:uid="{00000000-0005-0000-0000-000004240000}"/>
    <cellStyle name="Normal 2 59 3 2 15" xfId="24170" xr:uid="{00000000-0005-0000-0000-000005240000}"/>
    <cellStyle name="Normal 2 59 3 2 2" xfId="6405" xr:uid="{00000000-0005-0000-0000-000006240000}"/>
    <cellStyle name="Normal 2 59 3 2 2 2" xfId="24176" xr:uid="{00000000-0005-0000-0000-000007240000}"/>
    <cellStyle name="Normal 2 59 3 2 3" xfId="6406" xr:uid="{00000000-0005-0000-0000-000008240000}"/>
    <cellStyle name="Normal 2 59 3 2 3 2" xfId="24177" xr:uid="{00000000-0005-0000-0000-000009240000}"/>
    <cellStyle name="Normal 2 59 3 2 4" xfId="6407" xr:uid="{00000000-0005-0000-0000-00000A240000}"/>
    <cellStyle name="Normal 2 59 3 2 4 2" xfId="24178" xr:uid="{00000000-0005-0000-0000-00000B240000}"/>
    <cellStyle name="Normal 2 59 3 2 5" xfId="6408" xr:uid="{00000000-0005-0000-0000-00000C240000}"/>
    <cellStyle name="Normal 2 59 3 2 5 2" xfId="24179" xr:uid="{00000000-0005-0000-0000-00000D240000}"/>
    <cellStyle name="Normal 2 59 3 2 6" xfId="6409" xr:uid="{00000000-0005-0000-0000-00000E240000}"/>
    <cellStyle name="Normal 2 59 3 2 6 2" xfId="24180" xr:uid="{00000000-0005-0000-0000-00000F240000}"/>
    <cellStyle name="Normal 2 59 3 2 7" xfId="6410" xr:uid="{00000000-0005-0000-0000-000010240000}"/>
    <cellStyle name="Normal 2 59 3 2 7 2" xfId="24181" xr:uid="{00000000-0005-0000-0000-000011240000}"/>
    <cellStyle name="Normal 2 59 3 2 8" xfId="6411" xr:uid="{00000000-0005-0000-0000-000012240000}"/>
    <cellStyle name="Normal 2 59 3 2 8 2" xfId="24182" xr:uid="{00000000-0005-0000-0000-000013240000}"/>
    <cellStyle name="Normal 2 59 3 2 9" xfId="6412" xr:uid="{00000000-0005-0000-0000-000014240000}"/>
    <cellStyle name="Normal 2 59 3 2 9 2" xfId="24183" xr:uid="{00000000-0005-0000-0000-000015240000}"/>
    <cellStyle name="Normal 2 59 3 3" xfId="6413" xr:uid="{00000000-0005-0000-0000-000016240000}"/>
    <cellStyle name="Normal 2 59 3 3 2" xfId="24184" xr:uid="{00000000-0005-0000-0000-000017240000}"/>
    <cellStyle name="Normal 2 59 3 4" xfId="6414" xr:uid="{00000000-0005-0000-0000-000018240000}"/>
    <cellStyle name="Normal 2 59 3 4 2" xfId="24185" xr:uid="{00000000-0005-0000-0000-000019240000}"/>
    <cellStyle name="Normal 2 59 3 5" xfId="6415" xr:uid="{00000000-0005-0000-0000-00001A240000}"/>
    <cellStyle name="Normal 2 59 3 5 2" xfId="24186" xr:uid="{00000000-0005-0000-0000-00001B240000}"/>
    <cellStyle name="Normal 2 59 3 6" xfId="6416" xr:uid="{00000000-0005-0000-0000-00001C240000}"/>
    <cellStyle name="Normal 2 59 3 6 2" xfId="24187" xr:uid="{00000000-0005-0000-0000-00001D240000}"/>
    <cellStyle name="Normal 2 59 3 7" xfId="6417" xr:uid="{00000000-0005-0000-0000-00001E240000}"/>
    <cellStyle name="Normal 2 59 3 7 2" xfId="24188" xr:uid="{00000000-0005-0000-0000-00001F240000}"/>
    <cellStyle name="Normal 2 59 3 8" xfId="6418" xr:uid="{00000000-0005-0000-0000-000020240000}"/>
    <cellStyle name="Normal 2 59 3 8 2" xfId="24189" xr:uid="{00000000-0005-0000-0000-000021240000}"/>
    <cellStyle name="Normal 2 59 3 9" xfId="6419" xr:uid="{00000000-0005-0000-0000-000022240000}"/>
    <cellStyle name="Normal 2 59 3 9 2" xfId="24190" xr:uid="{00000000-0005-0000-0000-000023240000}"/>
    <cellStyle name="Normal 2 59 4" xfId="6420" xr:uid="{00000000-0005-0000-0000-000024240000}"/>
    <cellStyle name="Normal 2 59 4 10" xfId="6421" xr:uid="{00000000-0005-0000-0000-000025240000}"/>
    <cellStyle name="Normal 2 59 4 10 2" xfId="24192" xr:uid="{00000000-0005-0000-0000-000026240000}"/>
    <cellStyle name="Normal 2 59 4 11" xfId="6422" xr:uid="{00000000-0005-0000-0000-000027240000}"/>
    <cellStyle name="Normal 2 59 4 11 2" xfId="24193" xr:uid="{00000000-0005-0000-0000-000028240000}"/>
    <cellStyle name="Normal 2 59 4 12" xfId="6423" xr:uid="{00000000-0005-0000-0000-000029240000}"/>
    <cellStyle name="Normal 2 59 4 12 2" xfId="24194" xr:uid="{00000000-0005-0000-0000-00002A240000}"/>
    <cellStyle name="Normal 2 59 4 13" xfId="6424" xr:uid="{00000000-0005-0000-0000-00002B240000}"/>
    <cellStyle name="Normal 2 59 4 13 2" xfId="24195" xr:uid="{00000000-0005-0000-0000-00002C240000}"/>
    <cellStyle name="Normal 2 59 4 14" xfId="6425" xr:uid="{00000000-0005-0000-0000-00002D240000}"/>
    <cellStyle name="Normal 2 59 4 14 2" xfId="24196" xr:uid="{00000000-0005-0000-0000-00002E240000}"/>
    <cellStyle name="Normal 2 59 4 15" xfId="6426" xr:uid="{00000000-0005-0000-0000-00002F240000}"/>
    <cellStyle name="Normal 2 59 4 15 2" xfId="24197" xr:uid="{00000000-0005-0000-0000-000030240000}"/>
    <cellStyle name="Normal 2 59 4 16" xfId="24191" xr:uid="{00000000-0005-0000-0000-000031240000}"/>
    <cellStyle name="Normal 2 59 4 2" xfId="6427" xr:uid="{00000000-0005-0000-0000-000032240000}"/>
    <cellStyle name="Normal 2 59 4 2 10" xfId="6428" xr:uid="{00000000-0005-0000-0000-000033240000}"/>
    <cellStyle name="Normal 2 59 4 2 10 2" xfId="24199" xr:uid="{00000000-0005-0000-0000-000034240000}"/>
    <cellStyle name="Normal 2 59 4 2 11" xfId="6429" xr:uid="{00000000-0005-0000-0000-000035240000}"/>
    <cellStyle name="Normal 2 59 4 2 11 2" xfId="24200" xr:uid="{00000000-0005-0000-0000-000036240000}"/>
    <cellStyle name="Normal 2 59 4 2 12" xfId="6430" xr:uid="{00000000-0005-0000-0000-000037240000}"/>
    <cellStyle name="Normal 2 59 4 2 12 2" xfId="24201" xr:uid="{00000000-0005-0000-0000-000038240000}"/>
    <cellStyle name="Normal 2 59 4 2 13" xfId="6431" xr:uid="{00000000-0005-0000-0000-000039240000}"/>
    <cellStyle name="Normal 2 59 4 2 13 2" xfId="24202" xr:uid="{00000000-0005-0000-0000-00003A240000}"/>
    <cellStyle name="Normal 2 59 4 2 14" xfId="6432" xr:uid="{00000000-0005-0000-0000-00003B240000}"/>
    <cellStyle name="Normal 2 59 4 2 14 2" xfId="24203" xr:uid="{00000000-0005-0000-0000-00003C240000}"/>
    <cellStyle name="Normal 2 59 4 2 15" xfId="24198" xr:uid="{00000000-0005-0000-0000-00003D240000}"/>
    <cellStyle name="Normal 2 59 4 2 2" xfId="6433" xr:uid="{00000000-0005-0000-0000-00003E240000}"/>
    <cellStyle name="Normal 2 59 4 2 2 2" xfId="24204" xr:uid="{00000000-0005-0000-0000-00003F240000}"/>
    <cellStyle name="Normal 2 59 4 2 3" xfId="6434" xr:uid="{00000000-0005-0000-0000-000040240000}"/>
    <cellStyle name="Normal 2 59 4 2 3 2" xfId="24205" xr:uid="{00000000-0005-0000-0000-000041240000}"/>
    <cellStyle name="Normal 2 59 4 2 4" xfId="6435" xr:uid="{00000000-0005-0000-0000-000042240000}"/>
    <cellStyle name="Normal 2 59 4 2 4 2" xfId="24206" xr:uid="{00000000-0005-0000-0000-000043240000}"/>
    <cellStyle name="Normal 2 59 4 2 5" xfId="6436" xr:uid="{00000000-0005-0000-0000-000044240000}"/>
    <cellStyle name="Normal 2 59 4 2 5 2" xfId="24207" xr:uid="{00000000-0005-0000-0000-000045240000}"/>
    <cellStyle name="Normal 2 59 4 2 6" xfId="6437" xr:uid="{00000000-0005-0000-0000-000046240000}"/>
    <cellStyle name="Normal 2 59 4 2 6 2" xfId="24208" xr:uid="{00000000-0005-0000-0000-000047240000}"/>
    <cellStyle name="Normal 2 59 4 2 7" xfId="6438" xr:uid="{00000000-0005-0000-0000-000048240000}"/>
    <cellStyle name="Normal 2 59 4 2 7 2" xfId="24209" xr:uid="{00000000-0005-0000-0000-000049240000}"/>
    <cellStyle name="Normal 2 59 4 2 8" xfId="6439" xr:uid="{00000000-0005-0000-0000-00004A240000}"/>
    <cellStyle name="Normal 2 59 4 2 8 2" xfId="24210" xr:uid="{00000000-0005-0000-0000-00004B240000}"/>
    <cellStyle name="Normal 2 59 4 2 9" xfId="6440" xr:uid="{00000000-0005-0000-0000-00004C240000}"/>
    <cellStyle name="Normal 2 59 4 2 9 2" xfId="24211" xr:uid="{00000000-0005-0000-0000-00004D240000}"/>
    <cellStyle name="Normal 2 59 4 3" xfId="6441" xr:uid="{00000000-0005-0000-0000-00004E240000}"/>
    <cellStyle name="Normal 2 59 4 3 2" xfId="24212" xr:uid="{00000000-0005-0000-0000-00004F240000}"/>
    <cellStyle name="Normal 2 59 4 4" xfId="6442" xr:uid="{00000000-0005-0000-0000-000050240000}"/>
    <cellStyle name="Normal 2 59 4 4 2" xfId="24213" xr:uid="{00000000-0005-0000-0000-000051240000}"/>
    <cellStyle name="Normal 2 59 4 5" xfId="6443" xr:uid="{00000000-0005-0000-0000-000052240000}"/>
    <cellStyle name="Normal 2 59 4 5 2" xfId="24214" xr:uid="{00000000-0005-0000-0000-000053240000}"/>
    <cellStyle name="Normal 2 59 4 6" xfId="6444" xr:uid="{00000000-0005-0000-0000-000054240000}"/>
    <cellStyle name="Normal 2 59 4 6 2" xfId="24215" xr:uid="{00000000-0005-0000-0000-000055240000}"/>
    <cellStyle name="Normal 2 59 4 7" xfId="6445" xr:uid="{00000000-0005-0000-0000-000056240000}"/>
    <cellStyle name="Normal 2 59 4 7 2" xfId="24216" xr:uid="{00000000-0005-0000-0000-000057240000}"/>
    <cellStyle name="Normal 2 59 4 8" xfId="6446" xr:uid="{00000000-0005-0000-0000-000058240000}"/>
    <cellStyle name="Normal 2 59 4 8 2" xfId="24217" xr:uid="{00000000-0005-0000-0000-000059240000}"/>
    <cellStyle name="Normal 2 59 4 9" xfId="6447" xr:uid="{00000000-0005-0000-0000-00005A240000}"/>
    <cellStyle name="Normal 2 59 4 9 2" xfId="24218" xr:uid="{00000000-0005-0000-0000-00005B240000}"/>
    <cellStyle name="Normal 2 59 5" xfId="6448" xr:uid="{00000000-0005-0000-0000-00005C240000}"/>
    <cellStyle name="Normal 2 59 5 10" xfId="6449" xr:uid="{00000000-0005-0000-0000-00005D240000}"/>
    <cellStyle name="Normal 2 59 5 10 2" xfId="24220" xr:uid="{00000000-0005-0000-0000-00005E240000}"/>
    <cellStyle name="Normal 2 59 5 11" xfId="6450" xr:uid="{00000000-0005-0000-0000-00005F240000}"/>
    <cellStyle name="Normal 2 59 5 11 2" xfId="24221" xr:uid="{00000000-0005-0000-0000-000060240000}"/>
    <cellStyle name="Normal 2 59 5 12" xfId="6451" xr:uid="{00000000-0005-0000-0000-000061240000}"/>
    <cellStyle name="Normal 2 59 5 12 2" xfId="24222" xr:uid="{00000000-0005-0000-0000-000062240000}"/>
    <cellStyle name="Normal 2 59 5 13" xfId="6452" xr:uid="{00000000-0005-0000-0000-000063240000}"/>
    <cellStyle name="Normal 2 59 5 13 2" xfId="24223" xr:uid="{00000000-0005-0000-0000-000064240000}"/>
    <cellStyle name="Normal 2 59 5 14" xfId="6453" xr:uid="{00000000-0005-0000-0000-000065240000}"/>
    <cellStyle name="Normal 2 59 5 14 2" xfId="24224" xr:uid="{00000000-0005-0000-0000-000066240000}"/>
    <cellStyle name="Normal 2 59 5 15" xfId="24219" xr:uid="{00000000-0005-0000-0000-000067240000}"/>
    <cellStyle name="Normal 2 59 5 2" xfId="6454" xr:uid="{00000000-0005-0000-0000-000068240000}"/>
    <cellStyle name="Normal 2 59 5 2 2" xfId="24225" xr:uid="{00000000-0005-0000-0000-000069240000}"/>
    <cellStyle name="Normal 2 59 5 3" xfId="6455" xr:uid="{00000000-0005-0000-0000-00006A240000}"/>
    <cellStyle name="Normal 2 59 5 3 2" xfId="24226" xr:uid="{00000000-0005-0000-0000-00006B240000}"/>
    <cellStyle name="Normal 2 59 5 4" xfId="6456" xr:uid="{00000000-0005-0000-0000-00006C240000}"/>
    <cellStyle name="Normal 2 59 5 4 2" xfId="24227" xr:uid="{00000000-0005-0000-0000-00006D240000}"/>
    <cellStyle name="Normal 2 59 5 5" xfId="6457" xr:uid="{00000000-0005-0000-0000-00006E240000}"/>
    <cellStyle name="Normal 2 59 5 5 2" xfId="24228" xr:uid="{00000000-0005-0000-0000-00006F240000}"/>
    <cellStyle name="Normal 2 59 5 6" xfId="6458" xr:uid="{00000000-0005-0000-0000-000070240000}"/>
    <cellStyle name="Normal 2 59 5 6 2" xfId="24229" xr:uid="{00000000-0005-0000-0000-000071240000}"/>
    <cellStyle name="Normal 2 59 5 7" xfId="6459" xr:uid="{00000000-0005-0000-0000-000072240000}"/>
    <cellStyle name="Normal 2 59 5 7 2" xfId="24230" xr:uid="{00000000-0005-0000-0000-000073240000}"/>
    <cellStyle name="Normal 2 59 5 8" xfId="6460" xr:uid="{00000000-0005-0000-0000-000074240000}"/>
    <cellStyle name="Normal 2 59 5 8 2" xfId="24231" xr:uid="{00000000-0005-0000-0000-000075240000}"/>
    <cellStyle name="Normal 2 59 5 9" xfId="6461" xr:uid="{00000000-0005-0000-0000-000076240000}"/>
    <cellStyle name="Normal 2 59 5 9 2" xfId="24232" xr:uid="{00000000-0005-0000-0000-000077240000}"/>
    <cellStyle name="Normal 2 59 6" xfId="6462" xr:uid="{00000000-0005-0000-0000-000078240000}"/>
    <cellStyle name="Normal 2 59 6 10" xfId="6463" xr:uid="{00000000-0005-0000-0000-000079240000}"/>
    <cellStyle name="Normal 2 59 6 10 2" xfId="24234" xr:uid="{00000000-0005-0000-0000-00007A240000}"/>
    <cellStyle name="Normal 2 59 6 11" xfId="6464" xr:uid="{00000000-0005-0000-0000-00007B240000}"/>
    <cellStyle name="Normal 2 59 6 11 2" xfId="24235" xr:uid="{00000000-0005-0000-0000-00007C240000}"/>
    <cellStyle name="Normal 2 59 6 12" xfId="6465" xr:uid="{00000000-0005-0000-0000-00007D240000}"/>
    <cellStyle name="Normal 2 59 6 12 2" xfId="24236" xr:uid="{00000000-0005-0000-0000-00007E240000}"/>
    <cellStyle name="Normal 2 59 6 13" xfId="6466" xr:uid="{00000000-0005-0000-0000-00007F240000}"/>
    <cellStyle name="Normal 2 59 6 13 2" xfId="24237" xr:uid="{00000000-0005-0000-0000-000080240000}"/>
    <cellStyle name="Normal 2 59 6 14" xfId="6467" xr:uid="{00000000-0005-0000-0000-000081240000}"/>
    <cellStyle name="Normal 2 59 6 14 2" xfId="24238" xr:uid="{00000000-0005-0000-0000-000082240000}"/>
    <cellStyle name="Normal 2 59 6 15" xfId="24233" xr:uid="{00000000-0005-0000-0000-000083240000}"/>
    <cellStyle name="Normal 2 59 6 2" xfId="6468" xr:uid="{00000000-0005-0000-0000-000084240000}"/>
    <cellStyle name="Normal 2 59 6 2 2" xfId="24239" xr:uid="{00000000-0005-0000-0000-000085240000}"/>
    <cellStyle name="Normal 2 59 6 3" xfId="6469" xr:uid="{00000000-0005-0000-0000-000086240000}"/>
    <cellStyle name="Normal 2 59 6 3 2" xfId="24240" xr:uid="{00000000-0005-0000-0000-000087240000}"/>
    <cellStyle name="Normal 2 59 6 4" xfId="6470" xr:uid="{00000000-0005-0000-0000-000088240000}"/>
    <cellStyle name="Normal 2 59 6 4 2" xfId="24241" xr:uid="{00000000-0005-0000-0000-000089240000}"/>
    <cellStyle name="Normal 2 59 6 5" xfId="6471" xr:uid="{00000000-0005-0000-0000-00008A240000}"/>
    <cellStyle name="Normal 2 59 6 5 2" xfId="24242" xr:uid="{00000000-0005-0000-0000-00008B240000}"/>
    <cellStyle name="Normal 2 59 6 6" xfId="6472" xr:uid="{00000000-0005-0000-0000-00008C240000}"/>
    <cellStyle name="Normal 2 59 6 6 2" xfId="24243" xr:uid="{00000000-0005-0000-0000-00008D240000}"/>
    <cellStyle name="Normal 2 59 6 7" xfId="6473" xr:uid="{00000000-0005-0000-0000-00008E240000}"/>
    <cellStyle name="Normal 2 59 6 7 2" xfId="24244" xr:uid="{00000000-0005-0000-0000-00008F240000}"/>
    <cellStyle name="Normal 2 59 6 8" xfId="6474" xr:uid="{00000000-0005-0000-0000-000090240000}"/>
    <cellStyle name="Normal 2 59 6 8 2" xfId="24245" xr:uid="{00000000-0005-0000-0000-000091240000}"/>
    <cellStyle name="Normal 2 59 6 9" xfId="6475" xr:uid="{00000000-0005-0000-0000-000092240000}"/>
    <cellStyle name="Normal 2 59 6 9 2" xfId="24246" xr:uid="{00000000-0005-0000-0000-000093240000}"/>
    <cellStyle name="Normal 2 59 7" xfId="6476" xr:uid="{00000000-0005-0000-0000-000094240000}"/>
    <cellStyle name="Normal 2 59 7 10" xfId="6477" xr:uid="{00000000-0005-0000-0000-000095240000}"/>
    <cellStyle name="Normal 2 59 7 10 2" xfId="24248" xr:uid="{00000000-0005-0000-0000-000096240000}"/>
    <cellStyle name="Normal 2 59 7 11" xfId="6478" xr:uid="{00000000-0005-0000-0000-000097240000}"/>
    <cellStyle name="Normal 2 59 7 11 2" xfId="24249" xr:uid="{00000000-0005-0000-0000-000098240000}"/>
    <cellStyle name="Normal 2 59 7 12" xfId="6479" xr:uid="{00000000-0005-0000-0000-000099240000}"/>
    <cellStyle name="Normal 2 59 7 12 2" xfId="24250" xr:uid="{00000000-0005-0000-0000-00009A240000}"/>
    <cellStyle name="Normal 2 59 7 13" xfId="6480" xr:uid="{00000000-0005-0000-0000-00009B240000}"/>
    <cellStyle name="Normal 2 59 7 13 2" xfId="24251" xr:uid="{00000000-0005-0000-0000-00009C240000}"/>
    <cellStyle name="Normal 2 59 7 14" xfId="6481" xr:uid="{00000000-0005-0000-0000-00009D240000}"/>
    <cellStyle name="Normal 2 59 7 14 2" xfId="24252" xr:uid="{00000000-0005-0000-0000-00009E240000}"/>
    <cellStyle name="Normal 2 59 7 15" xfId="24247" xr:uid="{00000000-0005-0000-0000-00009F240000}"/>
    <cellStyle name="Normal 2 59 7 2" xfId="6482" xr:uid="{00000000-0005-0000-0000-0000A0240000}"/>
    <cellStyle name="Normal 2 59 7 2 2" xfId="24253" xr:uid="{00000000-0005-0000-0000-0000A1240000}"/>
    <cellStyle name="Normal 2 59 7 3" xfId="6483" xr:uid="{00000000-0005-0000-0000-0000A2240000}"/>
    <cellStyle name="Normal 2 59 7 3 2" xfId="24254" xr:uid="{00000000-0005-0000-0000-0000A3240000}"/>
    <cellStyle name="Normal 2 59 7 4" xfId="6484" xr:uid="{00000000-0005-0000-0000-0000A4240000}"/>
    <cellStyle name="Normal 2 59 7 4 2" xfId="24255" xr:uid="{00000000-0005-0000-0000-0000A5240000}"/>
    <cellStyle name="Normal 2 59 7 5" xfId="6485" xr:uid="{00000000-0005-0000-0000-0000A6240000}"/>
    <cellStyle name="Normal 2 59 7 5 2" xfId="24256" xr:uid="{00000000-0005-0000-0000-0000A7240000}"/>
    <cellStyle name="Normal 2 59 7 6" xfId="6486" xr:uid="{00000000-0005-0000-0000-0000A8240000}"/>
    <cellStyle name="Normal 2 59 7 6 2" xfId="24257" xr:uid="{00000000-0005-0000-0000-0000A9240000}"/>
    <cellStyle name="Normal 2 59 7 7" xfId="6487" xr:uid="{00000000-0005-0000-0000-0000AA240000}"/>
    <cellStyle name="Normal 2 59 7 7 2" xfId="24258" xr:uid="{00000000-0005-0000-0000-0000AB240000}"/>
    <cellStyle name="Normal 2 59 7 8" xfId="6488" xr:uid="{00000000-0005-0000-0000-0000AC240000}"/>
    <cellStyle name="Normal 2 59 7 8 2" xfId="24259" xr:uid="{00000000-0005-0000-0000-0000AD240000}"/>
    <cellStyle name="Normal 2 59 7 9" xfId="6489" xr:uid="{00000000-0005-0000-0000-0000AE240000}"/>
    <cellStyle name="Normal 2 59 7 9 2" xfId="24260" xr:uid="{00000000-0005-0000-0000-0000AF240000}"/>
    <cellStyle name="Normal 2 59 8" xfId="6490" xr:uid="{00000000-0005-0000-0000-0000B0240000}"/>
    <cellStyle name="Normal 2 59 8 10" xfId="6491" xr:uid="{00000000-0005-0000-0000-0000B1240000}"/>
    <cellStyle name="Normal 2 59 8 10 2" xfId="24262" xr:uid="{00000000-0005-0000-0000-0000B2240000}"/>
    <cellStyle name="Normal 2 59 8 11" xfId="6492" xr:uid="{00000000-0005-0000-0000-0000B3240000}"/>
    <cellStyle name="Normal 2 59 8 11 2" xfId="24263" xr:uid="{00000000-0005-0000-0000-0000B4240000}"/>
    <cellStyle name="Normal 2 59 8 12" xfId="6493" xr:uid="{00000000-0005-0000-0000-0000B5240000}"/>
    <cellStyle name="Normal 2 59 8 12 2" xfId="24264" xr:uid="{00000000-0005-0000-0000-0000B6240000}"/>
    <cellStyle name="Normal 2 59 8 13" xfId="6494" xr:uid="{00000000-0005-0000-0000-0000B7240000}"/>
    <cellStyle name="Normal 2 59 8 13 2" xfId="24265" xr:uid="{00000000-0005-0000-0000-0000B8240000}"/>
    <cellStyle name="Normal 2 59 8 14" xfId="6495" xr:uid="{00000000-0005-0000-0000-0000B9240000}"/>
    <cellStyle name="Normal 2 59 8 14 2" xfId="24266" xr:uid="{00000000-0005-0000-0000-0000BA240000}"/>
    <cellStyle name="Normal 2 59 8 15" xfId="24261" xr:uid="{00000000-0005-0000-0000-0000BB240000}"/>
    <cellStyle name="Normal 2 59 8 2" xfId="6496" xr:uid="{00000000-0005-0000-0000-0000BC240000}"/>
    <cellStyle name="Normal 2 59 8 2 2" xfId="24267" xr:uid="{00000000-0005-0000-0000-0000BD240000}"/>
    <cellStyle name="Normal 2 59 8 3" xfId="6497" xr:uid="{00000000-0005-0000-0000-0000BE240000}"/>
    <cellStyle name="Normal 2 59 8 3 2" xfId="24268" xr:uid="{00000000-0005-0000-0000-0000BF240000}"/>
    <cellStyle name="Normal 2 59 8 4" xfId="6498" xr:uid="{00000000-0005-0000-0000-0000C0240000}"/>
    <cellStyle name="Normal 2 59 8 4 2" xfId="24269" xr:uid="{00000000-0005-0000-0000-0000C1240000}"/>
    <cellStyle name="Normal 2 59 8 5" xfId="6499" xr:uid="{00000000-0005-0000-0000-0000C2240000}"/>
    <cellStyle name="Normal 2 59 8 5 2" xfId="24270" xr:uid="{00000000-0005-0000-0000-0000C3240000}"/>
    <cellStyle name="Normal 2 59 8 6" xfId="6500" xr:uid="{00000000-0005-0000-0000-0000C4240000}"/>
    <cellStyle name="Normal 2 59 8 6 2" xfId="24271" xr:uid="{00000000-0005-0000-0000-0000C5240000}"/>
    <cellStyle name="Normal 2 59 8 7" xfId="6501" xr:uid="{00000000-0005-0000-0000-0000C6240000}"/>
    <cellStyle name="Normal 2 59 8 7 2" xfId="24272" xr:uid="{00000000-0005-0000-0000-0000C7240000}"/>
    <cellStyle name="Normal 2 59 8 8" xfId="6502" xr:uid="{00000000-0005-0000-0000-0000C8240000}"/>
    <cellStyle name="Normal 2 59 8 8 2" xfId="24273" xr:uid="{00000000-0005-0000-0000-0000C9240000}"/>
    <cellStyle name="Normal 2 59 8 9" xfId="6503" xr:uid="{00000000-0005-0000-0000-0000CA240000}"/>
    <cellStyle name="Normal 2 59 8 9 2" xfId="24274" xr:uid="{00000000-0005-0000-0000-0000CB240000}"/>
    <cellStyle name="Normal 2 59 9" xfId="6504" xr:uid="{00000000-0005-0000-0000-0000CC240000}"/>
    <cellStyle name="Normal 2 59 9 10" xfId="6505" xr:uid="{00000000-0005-0000-0000-0000CD240000}"/>
    <cellStyle name="Normal 2 59 9 10 2" xfId="24276" xr:uid="{00000000-0005-0000-0000-0000CE240000}"/>
    <cellStyle name="Normal 2 59 9 11" xfId="6506" xr:uid="{00000000-0005-0000-0000-0000CF240000}"/>
    <cellStyle name="Normal 2 59 9 11 2" xfId="24277" xr:uid="{00000000-0005-0000-0000-0000D0240000}"/>
    <cellStyle name="Normal 2 59 9 12" xfId="6507" xr:uid="{00000000-0005-0000-0000-0000D1240000}"/>
    <cellStyle name="Normal 2 59 9 12 2" xfId="24278" xr:uid="{00000000-0005-0000-0000-0000D2240000}"/>
    <cellStyle name="Normal 2 59 9 13" xfId="6508" xr:uid="{00000000-0005-0000-0000-0000D3240000}"/>
    <cellStyle name="Normal 2 59 9 13 2" xfId="24279" xr:uid="{00000000-0005-0000-0000-0000D4240000}"/>
    <cellStyle name="Normal 2 59 9 14" xfId="6509" xr:uid="{00000000-0005-0000-0000-0000D5240000}"/>
    <cellStyle name="Normal 2 59 9 14 2" xfId="24280" xr:uid="{00000000-0005-0000-0000-0000D6240000}"/>
    <cellStyle name="Normal 2 59 9 15" xfId="24275" xr:uid="{00000000-0005-0000-0000-0000D7240000}"/>
    <cellStyle name="Normal 2 59 9 2" xfId="6510" xr:uid="{00000000-0005-0000-0000-0000D8240000}"/>
    <cellStyle name="Normal 2 59 9 2 2" xfId="24281" xr:uid="{00000000-0005-0000-0000-0000D9240000}"/>
    <cellStyle name="Normal 2 59 9 3" xfId="6511" xr:uid="{00000000-0005-0000-0000-0000DA240000}"/>
    <cellStyle name="Normal 2 59 9 3 2" xfId="24282" xr:uid="{00000000-0005-0000-0000-0000DB240000}"/>
    <cellStyle name="Normal 2 59 9 4" xfId="6512" xr:uid="{00000000-0005-0000-0000-0000DC240000}"/>
    <cellStyle name="Normal 2 59 9 4 2" xfId="24283" xr:uid="{00000000-0005-0000-0000-0000DD240000}"/>
    <cellStyle name="Normal 2 59 9 5" xfId="6513" xr:uid="{00000000-0005-0000-0000-0000DE240000}"/>
    <cellStyle name="Normal 2 59 9 5 2" xfId="24284" xr:uid="{00000000-0005-0000-0000-0000DF240000}"/>
    <cellStyle name="Normal 2 59 9 6" xfId="6514" xr:uid="{00000000-0005-0000-0000-0000E0240000}"/>
    <cellStyle name="Normal 2 59 9 6 2" xfId="24285" xr:uid="{00000000-0005-0000-0000-0000E1240000}"/>
    <cellStyle name="Normal 2 59 9 7" xfId="6515" xr:uid="{00000000-0005-0000-0000-0000E2240000}"/>
    <cellStyle name="Normal 2 59 9 7 2" xfId="24286" xr:uid="{00000000-0005-0000-0000-0000E3240000}"/>
    <cellStyle name="Normal 2 59 9 8" xfId="6516" xr:uid="{00000000-0005-0000-0000-0000E4240000}"/>
    <cellStyle name="Normal 2 59 9 8 2" xfId="24287" xr:uid="{00000000-0005-0000-0000-0000E5240000}"/>
    <cellStyle name="Normal 2 59 9 9" xfId="6517" xr:uid="{00000000-0005-0000-0000-0000E6240000}"/>
    <cellStyle name="Normal 2 59 9 9 2" xfId="24288" xr:uid="{00000000-0005-0000-0000-0000E7240000}"/>
    <cellStyle name="Normal 2 6" xfId="136" xr:uid="{00000000-0005-0000-0000-0000E8240000}"/>
    <cellStyle name="Normal 2 6 2" xfId="198" xr:uid="{00000000-0005-0000-0000-0000E9240000}"/>
    <cellStyle name="Normal 2 6 2 2" xfId="6520" xr:uid="{00000000-0005-0000-0000-0000EA240000}"/>
    <cellStyle name="Normal 2 6 2 2 2" xfId="6521" xr:uid="{00000000-0005-0000-0000-0000EB240000}"/>
    <cellStyle name="Normal 2 6 2 3" xfId="6522" xr:uid="{00000000-0005-0000-0000-0000EC240000}"/>
    <cellStyle name="Normal 2 6 2 3 2" xfId="6523" xr:uid="{00000000-0005-0000-0000-0000ED240000}"/>
    <cellStyle name="Normal 2 6 2 4" xfId="6524" xr:uid="{00000000-0005-0000-0000-0000EE240000}"/>
    <cellStyle name="Normal 2 6 2 4 2" xfId="6525" xr:uid="{00000000-0005-0000-0000-0000EF240000}"/>
    <cellStyle name="Normal 2 6 2 5" xfId="6526" xr:uid="{00000000-0005-0000-0000-0000F0240000}"/>
    <cellStyle name="Normal 2 6 2 5 2" xfId="6527" xr:uid="{00000000-0005-0000-0000-0000F1240000}"/>
    <cellStyle name="Normal 2 6 2 6" xfId="6528" xr:uid="{00000000-0005-0000-0000-0000F2240000}"/>
    <cellStyle name="Normal 2 6 2 6 2" xfId="6529" xr:uid="{00000000-0005-0000-0000-0000F3240000}"/>
    <cellStyle name="Normal 2 6 2 7" xfId="6530" xr:uid="{00000000-0005-0000-0000-0000F4240000}"/>
    <cellStyle name="Normal 2 6 2 7 2" xfId="6531" xr:uid="{00000000-0005-0000-0000-0000F5240000}"/>
    <cellStyle name="Normal 2 6 2 8" xfId="6519" xr:uid="{00000000-0005-0000-0000-0000F6240000}"/>
    <cellStyle name="Normal 2 6 3" xfId="179" xr:uid="{00000000-0005-0000-0000-0000F7240000}"/>
    <cellStyle name="Normal 2 6 3 2" xfId="556" xr:uid="{00000000-0005-0000-0000-0000F8240000}"/>
    <cellStyle name="Normal 2 6 3 3" xfId="6532" xr:uid="{00000000-0005-0000-0000-0000F9240000}"/>
    <cellStyle name="Normal 2 6 4" xfId="467" xr:uid="{00000000-0005-0000-0000-0000FA240000}"/>
    <cellStyle name="Normal 2 6 4 2" xfId="6533" xr:uid="{00000000-0005-0000-0000-0000FB240000}"/>
    <cellStyle name="Normal 2 6 5" xfId="6534" xr:uid="{00000000-0005-0000-0000-0000FC240000}"/>
    <cellStyle name="Normal 2 6 6" xfId="6535" xr:uid="{00000000-0005-0000-0000-0000FD240000}"/>
    <cellStyle name="Normal 2 6 7" xfId="6536" xr:uid="{00000000-0005-0000-0000-0000FE240000}"/>
    <cellStyle name="Normal 2 6 8" xfId="6537" xr:uid="{00000000-0005-0000-0000-0000FF240000}"/>
    <cellStyle name="Normal 2 6 9" xfId="6518" xr:uid="{00000000-0005-0000-0000-000000250000}"/>
    <cellStyle name="Normal 2 60" xfId="6538" xr:uid="{00000000-0005-0000-0000-000001250000}"/>
    <cellStyle name="Normal 2 60 10" xfId="6539" xr:uid="{00000000-0005-0000-0000-000002250000}"/>
    <cellStyle name="Normal 2 60 10 10" xfId="6540" xr:uid="{00000000-0005-0000-0000-000003250000}"/>
    <cellStyle name="Normal 2 60 10 10 2" xfId="24291" xr:uid="{00000000-0005-0000-0000-000004250000}"/>
    <cellStyle name="Normal 2 60 10 11" xfId="6541" xr:uid="{00000000-0005-0000-0000-000005250000}"/>
    <cellStyle name="Normal 2 60 10 11 2" xfId="24292" xr:uid="{00000000-0005-0000-0000-000006250000}"/>
    <cellStyle name="Normal 2 60 10 12" xfId="6542" xr:uid="{00000000-0005-0000-0000-000007250000}"/>
    <cellStyle name="Normal 2 60 10 12 2" xfId="24293" xr:uid="{00000000-0005-0000-0000-000008250000}"/>
    <cellStyle name="Normal 2 60 10 13" xfId="6543" xr:uid="{00000000-0005-0000-0000-000009250000}"/>
    <cellStyle name="Normal 2 60 10 13 2" xfId="24294" xr:uid="{00000000-0005-0000-0000-00000A250000}"/>
    <cellStyle name="Normal 2 60 10 14" xfId="6544" xr:uid="{00000000-0005-0000-0000-00000B250000}"/>
    <cellStyle name="Normal 2 60 10 14 2" xfId="24295" xr:uid="{00000000-0005-0000-0000-00000C250000}"/>
    <cellStyle name="Normal 2 60 10 15" xfId="24290" xr:uid="{00000000-0005-0000-0000-00000D250000}"/>
    <cellStyle name="Normal 2 60 10 2" xfId="6545" xr:uid="{00000000-0005-0000-0000-00000E250000}"/>
    <cellStyle name="Normal 2 60 10 2 2" xfId="24296" xr:uid="{00000000-0005-0000-0000-00000F250000}"/>
    <cellStyle name="Normal 2 60 10 3" xfId="6546" xr:uid="{00000000-0005-0000-0000-000010250000}"/>
    <cellStyle name="Normal 2 60 10 3 2" xfId="24297" xr:uid="{00000000-0005-0000-0000-000011250000}"/>
    <cellStyle name="Normal 2 60 10 4" xfId="6547" xr:uid="{00000000-0005-0000-0000-000012250000}"/>
    <cellStyle name="Normal 2 60 10 4 2" xfId="24298" xr:uid="{00000000-0005-0000-0000-000013250000}"/>
    <cellStyle name="Normal 2 60 10 5" xfId="6548" xr:uid="{00000000-0005-0000-0000-000014250000}"/>
    <cellStyle name="Normal 2 60 10 5 2" xfId="24299" xr:uid="{00000000-0005-0000-0000-000015250000}"/>
    <cellStyle name="Normal 2 60 10 6" xfId="6549" xr:uid="{00000000-0005-0000-0000-000016250000}"/>
    <cellStyle name="Normal 2 60 10 6 2" xfId="24300" xr:uid="{00000000-0005-0000-0000-000017250000}"/>
    <cellStyle name="Normal 2 60 10 7" xfId="6550" xr:uid="{00000000-0005-0000-0000-000018250000}"/>
    <cellStyle name="Normal 2 60 10 7 2" xfId="24301" xr:uid="{00000000-0005-0000-0000-000019250000}"/>
    <cellStyle name="Normal 2 60 10 8" xfId="6551" xr:uid="{00000000-0005-0000-0000-00001A250000}"/>
    <cellStyle name="Normal 2 60 10 8 2" xfId="24302" xr:uid="{00000000-0005-0000-0000-00001B250000}"/>
    <cellStyle name="Normal 2 60 10 9" xfId="6552" xr:uid="{00000000-0005-0000-0000-00001C250000}"/>
    <cellStyle name="Normal 2 60 10 9 2" xfId="24303" xr:uid="{00000000-0005-0000-0000-00001D250000}"/>
    <cellStyle name="Normal 2 60 11" xfId="6553" xr:uid="{00000000-0005-0000-0000-00001E250000}"/>
    <cellStyle name="Normal 2 60 11 2" xfId="24304" xr:uid="{00000000-0005-0000-0000-00001F250000}"/>
    <cellStyle name="Normal 2 60 12" xfId="6554" xr:uid="{00000000-0005-0000-0000-000020250000}"/>
    <cellStyle name="Normal 2 60 12 2" xfId="24305" xr:uid="{00000000-0005-0000-0000-000021250000}"/>
    <cellStyle name="Normal 2 60 13" xfId="6555" xr:uid="{00000000-0005-0000-0000-000022250000}"/>
    <cellStyle name="Normal 2 60 13 2" xfId="24306" xr:uid="{00000000-0005-0000-0000-000023250000}"/>
    <cellStyle name="Normal 2 60 14" xfId="6556" xr:uid="{00000000-0005-0000-0000-000024250000}"/>
    <cellStyle name="Normal 2 60 14 2" xfId="24307" xr:uid="{00000000-0005-0000-0000-000025250000}"/>
    <cellStyle name="Normal 2 60 15" xfId="6557" xr:uid="{00000000-0005-0000-0000-000026250000}"/>
    <cellStyle name="Normal 2 60 15 2" xfId="24308" xr:uid="{00000000-0005-0000-0000-000027250000}"/>
    <cellStyle name="Normal 2 60 16" xfId="6558" xr:uid="{00000000-0005-0000-0000-000028250000}"/>
    <cellStyle name="Normal 2 60 16 2" xfId="24309" xr:uid="{00000000-0005-0000-0000-000029250000}"/>
    <cellStyle name="Normal 2 60 17" xfId="6559" xr:uid="{00000000-0005-0000-0000-00002A250000}"/>
    <cellStyle name="Normal 2 60 17 2" xfId="24310" xr:uid="{00000000-0005-0000-0000-00002B250000}"/>
    <cellStyle name="Normal 2 60 18" xfId="6560" xr:uid="{00000000-0005-0000-0000-00002C250000}"/>
    <cellStyle name="Normal 2 60 18 2" xfId="24311" xr:uid="{00000000-0005-0000-0000-00002D250000}"/>
    <cellStyle name="Normal 2 60 19" xfId="6561" xr:uid="{00000000-0005-0000-0000-00002E250000}"/>
    <cellStyle name="Normal 2 60 19 2" xfId="24312" xr:uid="{00000000-0005-0000-0000-00002F250000}"/>
    <cellStyle name="Normal 2 60 2" xfId="6562" xr:uid="{00000000-0005-0000-0000-000030250000}"/>
    <cellStyle name="Normal 2 60 2 10" xfId="6563" xr:uid="{00000000-0005-0000-0000-000031250000}"/>
    <cellStyle name="Normal 2 60 2 10 2" xfId="24314" xr:uid="{00000000-0005-0000-0000-000032250000}"/>
    <cellStyle name="Normal 2 60 2 11" xfId="6564" xr:uid="{00000000-0005-0000-0000-000033250000}"/>
    <cellStyle name="Normal 2 60 2 11 2" xfId="24315" xr:uid="{00000000-0005-0000-0000-000034250000}"/>
    <cellStyle name="Normal 2 60 2 12" xfId="6565" xr:uid="{00000000-0005-0000-0000-000035250000}"/>
    <cellStyle name="Normal 2 60 2 12 2" xfId="24316" xr:uid="{00000000-0005-0000-0000-000036250000}"/>
    <cellStyle name="Normal 2 60 2 13" xfId="6566" xr:uid="{00000000-0005-0000-0000-000037250000}"/>
    <cellStyle name="Normal 2 60 2 13 2" xfId="24317" xr:uid="{00000000-0005-0000-0000-000038250000}"/>
    <cellStyle name="Normal 2 60 2 14" xfId="6567" xr:uid="{00000000-0005-0000-0000-000039250000}"/>
    <cellStyle name="Normal 2 60 2 14 2" xfId="24318" xr:uid="{00000000-0005-0000-0000-00003A250000}"/>
    <cellStyle name="Normal 2 60 2 15" xfId="6568" xr:uid="{00000000-0005-0000-0000-00003B250000}"/>
    <cellStyle name="Normal 2 60 2 15 2" xfId="24319" xr:uid="{00000000-0005-0000-0000-00003C250000}"/>
    <cellStyle name="Normal 2 60 2 16" xfId="24313" xr:uid="{00000000-0005-0000-0000-00003D250000}"/>
    <cellStyle name="Normal 2 60 2 2" xfId="6569" xr:uid="{00000000-0005-0000-0000-00003E250000}"/>
    <cellStyle name="Normal 2 60 2 2 10" xfId="6570" xr:uid="{00000000-0005-0000-0000-00003F250000}"/>
    <cellStyle name="Normal 2 60 2 2 10 2" xfId="24321" xr:uid="{00000000-0005-0000-0000-000040250000}"/>
    <cellStyle name="Normal 2 60 2 2 11" xfId="6571" xr:uid="{00000000-0005-0000-0000-000041250000}"/>
    <cellStyle name="Normal 2 60 2 2 11 2" xfId="24322" xr:uid="{00000000-0005-0000-0000-000042250000}"/>
    <cellStyle name="Normal 2 60 2 2 12" xfId="6572" xr:uid="{00000000-0005-0000-0000-000043250000}"/>
    <cellStyle name="Normal 2 60 2 2 12 2" xfId="24323" xr:uid="{00000000-0005-0000-0000-000044250000}"/>
    <cellStyle name="Normal 2 60 2 2 13" xfId="6573" xr:uid="{00000000-0005-0000-0000-000045250000}"/>
    <cellStyle name="Normal 2 60 2 2 13 2" xfId="24324" xr:uid="{00000000-0005-0000-0000-000046250000}"/>
    <cellStyle name="Normal 2 60 2 2 14" xfId="6574" xr:uid="{00000000-0005-0000-0000-000047250000}"/>
    <cellStyle name="Normal 2 60 2 2 14 2" xfId="24325" xr:uid="{00000000-0005-0000-0000-000048250000}"/>
    <cellStyle name="Normal 2 60 2 2 15" xfId="24320" xr:uid="{00000000-0005-0000-0000-000049250000}"/>
    <cellStyle name="Normal 2 60 2 2 2" xfId="6575" xr:uid="{00000000-0005-0000-0000-00004A250000}"/>
    <cellStyle name="Normal 2 60 2 2 2 2" xfId="24326" xr:uid="{00000000-0005-0000-0000-00004B250000}"/>
    <cellStyle name="Normal 2 60 2 2 3" xfId="6576" xr:uid="{00000000-0005-0000-0000-00004C250000}"/>
    <cellStyle name="Normal 2 60 2 2 3 2" xfId="24327" xr:uid="{00000000-0005-0000-0000-00004D250000}"/>
    <cellStyle name="Normal 2 60 2 2 4" xfId="6577" xr:uid="{00000000-0005-0000-0000-00004E250000}"/>
    <cellStyle name="Normal 2 60 2 2 4 2" xfId="24328" xr:uid="{00000000-0005-0000-0000-00004F250000}"/>
    <cellStyle name="Normal 2 60 2 2 5" xfId="6578" xr:uid="{00000000-0005-0000-0000-000050250000}"/>
    <cellStyle name="Normal 2 60 2 2 5 2" xfId="24329" xr:uid="{00000000-0005-0000-0000-000051250000}"/>
    <cellStyle name="Normal 2 60 2 2 6" xfId="6579" xr:uid="{00000000-0005-0000-0000-000052250000}"/>
    <cellStyle name="Normal 2 60 2 2 6 2" xfId="24330" xr:uid="{00000000-0005-0000-0000-000053250000}"/>
    <cellStyle name="Normal 2 60 2 2 7" xfId="6580" xr:uid="{00000000-0005-0000-0000-000054250000}"/>
    <cellStyle name="Normal 2 60 2 2 7 2" xfId="24331" xr:uid="{00000000-0005-0000-0000-000055250000}"/>
    <cellStyle name="Normal 2 60 2 2 8" xfId="6581" xr:uid="{00000000-0005-0000-0000-000056250000}"/>
    <cellStyle name="Normal 2 60 2 2 8 2" xfId="24332" xr:uid="{00000000-0005-0000-0000-000057250000}"/>
    <cellStyle name="Normal 2 60 2 2 9" xfId="6582" xr:uid="{00000000-0005-0000-0000-000058250000}"/>
    <cellStyle name="Normal 2 60 2 2 9 2" xfId="24333" xr:uid="{00000000-0005-0000-0000-000059250000}"/>
    <cellStyle name="Normal 2 60 2 3" xfId="6583" xr:uid="{00000000-0005-0000-0000-00005A250000}"/>
    <cellStyle name="Normal 2 60 2 3 2" xfId="24334" xr:uid="{00000000-0005-0000-0000-00005B250000}"/>
    <cellStyle name="Normal 2 60 2 4" xfId="6584" xr:uid="{00000000-0005-0000-0000-00005C250000}"/>
    <cellStyle name="Normal 2 60 2 4 2" xfId="24335" xr:uid="{00000000-0005-0000-0000-00005D250000}"/>
    <cellStyle name="Normal 2 60 2 5" xfId="6585" xr:uid="{00000000-0005-0000-0000-00005E250000}"/>
    <cellStyle name="Normal 2 60 2 5 2" xfId="24336" xr:uid="{00000000-0005-0000-0000-00005F250000}"/>
    <cellStyle name="Normal 2 60 2 6" xfId="6586" xr:uid="{00000000-0005-0000-0000-000060250000}"/>
    <cellStyle name="Normal 2 60 2 6 2" xfId="24337" xr:uid="{00000000-0005-0000-0000-000061250000}"/>
    <cellStyle name="Normal 2 60 2 7" xfId="6587" xr:uid="{00000000-0005-0000-0000-000062250000}"/>
    <cellStyle name="Normal 2 60 2 7 2" xfId="24338" xr:uid="{00000000-0005-0000-0000-000063250000}"/>
    <cellStyle name="Normal 2 60 2 8" xfId="6588" xr:uid="{00000000-0005-0000-0000-000064250000}"/>
    <cellStyle name="Normal 2 60 2 8 2" xfId="24339" xr:uid="{00000000-0005-0000-0000-000065250000}"/>
    <cellStyle name="Normal 2 60 2 9" xfId="6589" xr:uid="{00000000-0005-0000-0000-000066250000}"/>
    <cellStyle name="Normal 2 60 2 9 2" xfId="24340" xr:uid="{00000000-0005-0000-0000-000067250000}"/>
    <cellStyle name="Normal 2 60 20" xfId="6590" xr:uid="{00000000-0005-0000-0000-000068250000}"/>
    <cellStyle name="Normal 2 60 20 2" xfId="24341" xr:uid="{00000000-0005-0000-0000-000069250000}"/>
    <cellStyle name="Normal 2 60 21" xfId="6591" xr:uid="{00000000-0005-0000-0000-00006A250000}"/>
    <cellStyle name="Normal 2 60 21 2" xfId="24342" xr:uid="{00000000-0005-0000-0000-00006B250000}"/>
    <cellStyle name="Normal 2 60 22" xfId="6592" xr:uid="{00000000-0005-0000-0000-00006C250000}"/>
    <cellStyle name="Normal 2 60 22 2" xfId="24343" xr:uid="{00000000-0005-0000-0000-00006D250000}"/>
    <cellStyle name="Normal 2 60 23" xfId="6593" xr:uid="{00000000-0005-0000-0000-00006E250000}"/>
    <cellStyle name="Normal 2 60 23 2" xfId="24344" xr:uid="{00000000-0005-0000-0000-00006F250000}"/>
    <cellStyle name="Normal 2 60 24" xfId="24289" xr:uid="{00000000-0005-0000-0000-000070250000}"/>
    <cellStyle name="Normal 2 60 3" xfId="6594" xr:uid="{00000000-0005-0000-0000-000071250000}"/>
    <cellStyle name="Normal 2 60 3 10" xfId="6595" xr:uid="{00000000-0005-0000-0000-000072250000}"/>
    <cellStyle name="Normal 2 60 3 10 2" xfId="24346" xr:uid="{00000000-0005-0000-0000-000073250000}"/>
    <cellStyle name="Normal 2 60 3 11" xfId="6596" xr:uid="{00000000-0005-0000-0000-000074250000}"/>
    <cellStyle name="Normal 2 60 3 11 2" xfId="24347" xr:uid="{00000000-0005-0000-0000-000075250000}"/>
    <cellStyle name="Normal 2 60 3 12" xfId="6597" xr:uid="{00000000-0005-0000-0000-000076250000}"/>
    <cellStyle name="Normal 2 60 3 12 2" xfId="24348" xr:uid="{00000000-0005-0000-0000-000077250000}"/>
    <cellStyle name="Normal 2 60 3 13" xfId="6598" xr:uid="{00000000-0005-0000-0000-000078250000}"/>
    <cellStyle name="Normal 2 60 3 13 2" xfId="24349" xr:uid="{00000000-0005-0000-0000-000079250000}"/>
    <cellStyle name="Normal 2 60 3 14" xfId="6599" xr:uid="{00000000-0005-0000-0000-00007A250000}"/>
    <cellStyle name="Normal 2 60 3 14 2" xfId="24350" xr:uid="{00000000-0005-0000-0000-00007B250000}"/>
    <cellStyle name="Normal 2 60 3 15" xfId="6600" xr:uid="{00000000-0005-0000-0000-00007C250000}"/>
    <cellStyle name="Normal 2 60 3 15 2" xfId="24351" xr:uid="{00000000-0005-0000-0000-00007D250000}"/>
    <cellStyle name="Normal 2 60 3 16" xfId="24345" xr:uid="{00000000-0005-0000-0000-00007E250000}"/>
    <cellStyle name="Normal 2 60 3 2" xfId="6601" xr:uid="{00000000-0005-0000-0000-00007F250000}"/>
    <cellStyle name="Normal 2 60 3 2 10" xfId="6602" xr:uid="{00000000-0005-0000-0000-000080250000}"/>
    <cellStyle name="Normal 2 60 3 2 10 2" xfId="24353" xr:uid="{00000000-0005-0000-0000-000081250000}"/>
    <cellStyle name="Normal 2 60 3 2 11" xfId="6603" xr:uid="{00000000-0005-0000-0000-000082250000}"/>
    <cellStyle name="Normal 2 60 3 2 11 2" xfId="24354" xr:uid="{00000000-0005-0000-0000-000083250000}"/>
    <cellStyle name="Normal 2 60 3 2 12" xfId="6604" xr:uid="{00000000-0005-0000-0000-000084250000}"/>
    <cellStyle name="Normal 2 60 3 2 12 2" xfId="24355" xr:uid="{00000000-0005-0000-0000-000085250000}"/>
    <cellStyle name="Normal 2 60 3 2 13" xfId="6605" xr:uid="{00000000-0005-0000-0000-000086250000}"/>
    <cellStyle name="Normal 2 60 3 2 13 2" xfId="24356" xr:uid="{00000000-0005-0000-0000-000087250000}"/>
    <cellStyle name="Normal 2 60 3 2 14" xfId="6606" xr:uid="{00000000-0005-0000-0000-000088250000}"/>
    <cellStyle name="Normal 2 60 3 2 14 2" xfId="24357" xr:uid="{00000000-0005-0000-0000-000089250000}"/>
    <cellStyle name="Normal 2 60 3 2 15" xfId="24352" xr:uid="{00000000-0005-0000-0000-00008A250000}"/>
    <cellStyle name="Normal 2 60 3 2 2" xfId="6607" xr:uid="{00000000-0005-0000-0000-00008B250000}"/>
    <cellStyle name="Normal 2 60 3 2 2 2" xfId="24358" xr:uid="{00000000-0005-0000-0000-00008C250000}"/>
    <cellStyle name="Normal 2 60 3 2 3" xfId="6608" xr:uid="{00000000-0005-0000-0000-00008D250000}"/>
    <cellStyle name="Normal 2 60 3 2 3 2" xfId="24359" xr:uid="{00000000-0005-0000-0000-00008E250000}"/>
    <cellStyle name="Normal 2 60 3 2 4" xfId="6609" xr:uid="{00000000-0005-0000-0000-00008F250000}"/>
    <cellStyle name="Normal 2 60 3 2 4 2" xfId="24360" xr:uid="{00000000-0005-0000-0000-000090250000}"/>
    <cellStyle name="Normal 2 60 3 2 5" xfId="6610" xr:uid="{00000000-0005-0000-0000-000091250000}"/>
    <cellStyle name="Normal 2 60 3 2 5 2" xfId="24361" xr:uid="{00000000-0005-0000-0000-000092250000}"/>
    <cellStyle name="Normal 2 60 3 2 6" xfId="6611" xr:uid="{00000000-0005-0000-0000-000093250000}"/>
    <cellStyle name="Normal 2 60 3 2 6 2" xfId="24362" xr:uid="{00000000-0005-0000-0000-000094250000}"/>
    <cellStyle name="Normal 2 60 3 2 7" xfId="6612" xr:uid="{00000000-0005-0000-0000-000095250000}"/>
    <cellStyle name="Normal 2 60 3 2 7 2" xfId="24363" xr:uid="{00000000-0005-0000-0000-000096250000}"/>
    <cellStyle name="Normal 2 60 3 2 8" xfId="6613" xr:uid="{00000000-0005-0000-0000-000097250000}"/>
    <cellStyle name="Normal 2 60 3 2 8 2" xfId="24364" xr:uid="{00000000-0005-0000-0000-000098250000}"/>
    <cellStyle name="Normal 2 60 3 2 9" xfId="6614" xr:uid="{00000000-0005-0000-0000-000099250000}"/>
    <cellStyle name="Normal 2 60 3 2 9 2" xfId="24365" xr:uid="{00000000-0005-0000-0000-00009A250000}"/>
    <cellStyle name="Normal 2 60 3 3" xfId="6615" xr:uid="{00000000-0005-0000-0000-00009B250000}"/>
    <cellStyle name="Normal 2 60 3 3 2" xfId="24366" xr:uid="{00000000-0005-0000-0000-00009C250000}"/>
    <cellStyle name="Normal 2 60 3 4" xfId="6616" xr:uid="{00000000-0005-0000-0000-00009D250000}"/>
    <cellStyle name="Normal 2 60 3 4 2" xfId="24367" xr:uid="{00000000-0005-0000-0000-00009E250000}"/>
    <cellStyle name="Normal 2 60 3 5" xfId="6617" xr:uid="{00000000-0005-0000-0000-00009F250000}"/>
    <cellStyle name="Normal 2 60 3 5 2" xfId="24368" xr:uid="{00000000-0005-0000-0000-0000A0250000}"/>
    <cellStyle name="Normal 2 60 3 6" xfId="6618" xr:uid="{00000000-0005-0000-0000-0000A1250000}"/>
    <cellStyle name="Normal 2 60 3 6 2" xfId="24369" xr:uid="{00000000-0005-0000-0000-0000A2250000}"/>
    <cellStyle name="Normal 2 60 3 7" xfId="6619" xr:uid="{00000000-0005-0000-0000-0000A3250000}"/>
    <cellStyle name="Normal 2 60 3 7 2" xfId="24370" xr:uid="{00000000-0005-0000-0000-0000A4250000}"/>
    <cellStyle name="Normal 2 60 3 8" xfId="6620" xr:uid="{00000000-0005-0000-0000-0000A5250000}"/>
    <cellStyle name="Normal 2 60 3 8 2" xfId="24371" xr:uid="{00000000-0005-0000-0000-0000A6250000}"/>
    <cellStyle name="Normal 2 60 3 9" xfId="6621" xr:uid="{00000000-0005-0000-0000-0000A7250000}"/>
    <cellStyle name="Normal 2 60 3 9 2" xfId="24372" xr:uid="{00000000-0005-0000-0000-0000A8250000}"/>
    <cellStyle name="Normal 2 60 4" xfId="6622" xr:uid="{00000000-0005-0000-0000-0000A9250000}"/>
    <cellStyle name="Normal 2 60 4 10" xfId="6623" xr:uid="{00000000-0005-0000-0000-0000AA250000}"/>
    <cellStyle name="Normal 2 60 4 10 2" xfId="24374" xr:uid="{00000000-0005-0000-0000-0000AB250000}"/>
    <cellStyle name="Normal 2 60 4 11" xfId="6624" xr:uid="{00000000-0005-0000-0000-0000AC250000}"/>
    <cellStyle name="Normal 2 60 4 11 2" xfId="24375" xr:uid="{00000000-0005-0000-0000-0000AD250000}"/>
    <cellStyle name="Normal 2 60 4 12" xfId="6625" xr:uid="{00000000-0005-0000-0000-0000AE250000}"/>
    <cellStyle name="Normal 2 60 4 12 2" xfId="24376" xr:uid="{00000000-0005-0000-0000-0000AF250000}"/>
    <cellStyle name="Normal 2 60 4 13" xfId="6626" xr:uid="{00000000-0005-0000-0000-0000B0250000}"/>
    <cellStyle name="Normal 2 60 4 13 2" xfId="24377" xr:uid="{00000000-0005-0000-0000-0000B1250000}"/>
    <cellStyle name="Normal 2 60 4 14" xfId="6627" xr:uid="{00000000-0005-0000-0000-0000B2250000}"/>
    <cellStyle name="Normal 2 60 4 14 2" xfId="24378" xr:uid="{00000000-0005-0000-0000-0000B3250000}"/>
    <cellStyle name="Normal 2 60 4 15" xfId="6628" xr:uid="{00000000-0005-0000-0000-0000B4250000}"/>
    <cellStyle name="Normal 2 60 4 15 2" xfId="24379" xr:uid="{00000000-0005-0000-0000-0000B5250000}"/>
    <cellStyle name="Normal 2 60 4 16" xfId="24373" xr:uid="{00000000-0005-0000-0000-0000B6250000}"/>
    <cellStyle name="Normal 2 60 4 2" xfId="6629" xr:uid="{00000000-0005-0000-0000-0000B7250000}"/>
    <cellStyle name="Normal 2 60 4 2 10" xfId="6630" xr:uid="{00000000-0005-0000-0000-0000B8250000}"/>
    <cellStyle name="Normal 2 60 4 2 10 2" xfId="24381" xr:uid="{00000000-0005-0000-0000-0000B9250000}"/>
    <cellStyle name="Normal 2 60 4 2 11" xfId="6631" xr:uid="{00000000-0005-0000-0000-0000BA250000}"/>
    <cellStyle name="Normal 2 60 4 2 11 2" xfId="24382" xr:uid="{00000000-0005-0000-0000-0000BB250000}"/>
    <cellStyle name="Normal 2 60 4 2 12" xfId="6632" xr:uid="{00000000-0005-0000-0000-0000BC250000}"/>
    <cellStyle name="Normal 2 60 4 2 12 2" xfId="24383" xr:uid="{00000000-0005-0000-0000-0000BD250000}"/>
    <cellStyle name="Normal 2 60 4 2 13" xfId="6633" xr:uid="{00000000-0005-0000-0000-0000BE250000}"/>
    <cellStyle name="Normal 2 60 4 2 13 2" xfId="24384" xr:uid="{00000000-0005-0000-0000-0000BF250000}"/>
    <cellStyle name="Normal 2 60 4 2 14" xfId="6634" xr:uid="{00000000-0005-0000-0000-0000C0250000}"/>
    <cellStyle name="Normal 2 60 4 2 14 2" xfId="24385" xr:uid="{00000000-0005-0000-0000-0000C1250000}"/>
    <cellStyle name="Normal 2 60 4 2 15" xfId="24380" xr:uid="{00000000-0005-0000-0000-0000C2250000}"/>
    <cellStyle name="Normal 2 60 4 2 2" xfId="6635" xr:uid="{00000000-0005-0000-0000-0000C3250000}"/>
    <cellStyle name="Normal 2 60 4 2 2 2" xfId="24386" xr:uid="{00000000-0005-0000-0000-0000C4250000}"/>
    <cellStyle name="Normal 2 60 4 2 3" xfId="6636" xr:uid="{00000000-0005-0000-0000-0000C5250000}"/>
    <cellStyle name="Normal 2 60 4 2 3 2" xfId="24387" xr:uid="{00000000-0005-0000-0000-0000C6250000}"/>
    <cellStyle name="Normal 2 60 4 2 4" xfId="6637" xr:uid="{00000000-0005-0000-0000-0000C7250000}"/>
    <cellStyle name="Normal 2 60 4 2 4 2" xfId="24388" xr:uid="{00000000-0005-0000-0000-0000C8250000}"/>
    <cellStyle name="Normal 2 60 4 2 5" xfId="6638" xr:uid="{00000000-0005-0000-0000-0000C9250000}"/>
    <cellStyle name="Normal 2 60 4 2 5 2" xfId="24389" xr:uid="{00000000-0005-0000-0000-0000CA250000}"/>
    <cellStyle name="Normal 2 60 4 2 6" xfId="6639" xr:uid="{00000000-0005-0000-0000-0000CB250000}"/>
    <cellStyle name="Normal 2 60 4 2 6 2" xfId="24390" xr:uid="{00000000-0005-0000-0000-0000CC250000}"/>
    <cellStyle name="Normal 2 60 4 2 7" xfId="6640" xr:uid="{00000000-0005-0000-0000-0000CD250000}"/>
    <cellStyle name="Normal 2 60 4 2 7 2" xfId="24391" xr:uid="{00000000-0005-0000-0000-0000CE250000}"/>
    <cellStyle name="Normal 2 60 4 2 8" xfId="6641" xr:uid="{00000000-0005-0000-0000-0000CF250000}"/>
    <cellStyle name="Normal 2 60 4 2 8 2" xfId="24392" xr:uid="{00000000-0005-0000-0000-0000D0250000}"/>
    <cellStyle name="Normal 2 60 4 2 9" xfId="6642" xr:uid="{00000000-0005-0000-0000-0000D1250000}"/>
    <cellStyle name="Normal 2 60 4 2 9 2" xfId="24393" xr:uid="{00000000-0005-0000-0000-0000D2250000}"/>
    <cellStyle name="Normal 2 60 4 3" xfId="6643" xr:uid="{00000000-0005-0000-0000-0000D3250000}"/>
    <cellStyle name="Normal 2 60 4 3 2" xfId="24394" xr:uid="{00000000-0005-0000-0000-0000D4250000}"/>
    <cellStyle name="Normal 2 60 4 4" xfId="6644" xr:uid="{00000000-0005-0000-0000-0000D5250000}"/>
    <cellStyle name="Normal 2 60 4 4 2" xfId="24395" xr:uid="{00000000-0005-0000-0000-0000D6250000}"/>
    <cellStyle name="Normal 2 60 4 5" xfId="6645" xr:uid="{00000000-0005-0000-0000-0000D7250000}"/>
    <cellStyle name="Normal 2 60 4 5 2" xfId="24396" xr:uid="{00000000-0005-0000-0000-0000D8250000}"/>
    <cellStyle name="Normal 2 60 4 6" xfId="6646" xr:uid="{00000000-0005-0000-0000-0000D9250000}"/>
    <cellStyle name="Normal 2 60 4 6 2" xfId="24397" xr:uid="{00000000-0005-0000-0000-0000DA250000}"/>
    <cellStyle name="Normal 2 60 4 7" xfId="6647" xr:uid="{00000000-0005-0000-0000-0000DB250000}"/>
    <cellStyle name="Normal 2 60 4 7 2" xfId="24398" xr:uid="{00000000-0005-0000-0000-0000DC250000}"/>
    <cellStyle name="Normal 2 60 4 8" xfId="6648" xr:uid="{00000000-0005-0000-0000-0000DD250000}"/>
    <cellStyle name="Normal 2 60 4 8 2" xfId="24399" xr:uid="{00000000-0005-0000-0000-0000DE250000}"/>
    <cellStyle name="Normal 2 60 4 9" xfId="6649" xr:uid="{00000000-0005-0000-0000-0000DF250000}"/>
    <cellStyle name="Normal 2 60 4 9 2" xfId="24400" xr:uid="{00000000-0005-0000-0000-0000E0250000}"/>
    <cellStyle name="Normal 2 60 5" xfId="6650" xr:uid="{00000000-0005-0000-0000-0000E1250000}"/>
    <cellStyle name="Normal 2 60 5 10" xfId="6651" xr:uid="{00000000-0005-0000-0000-0000E2250000}"/>
    <cellStyle name="Normal 2 60 5 10 2" xfId="24402" xr:uid="{00000000-0005-0000-0000-0000E3250000}"/>
    <cellStyle name="Normal 2 60 5 11" xfId="6652" xr:uid="{00000000-0005-0000-0000-0000E4250000}"/>
    <cellStyle name="Normal 2 60 5 11 2" xfId="24403" xr:uid="{00000000-0005-0000-0000-0000E5250000}"/>
    <cellStyle name="Normal 2 60 5 12" xfId="6653" xr:uid="{00000000-0005-0000-0000-0000E6250000}"/>
    <cellStyle name="Normal 2 60 5 12 2" xfId="24404" xr:uid="{00000000-0005-0000-0000-0000E7250000}"/>
    <cellStyle name="Normal 2 60 5 13" xfId="6654" xr:uid="{00000000-0005-0000-0000-0000E8250000}"/>
    <cellStyle name="Normal 2 60 5 13 2" xfId="24405" xr:uid="{00000000-0005-0000-0000-0000E9250000}"/>
    <cellStyle name="Normal 2 60 5 14" xfId="6655" xr:uid="{00000000-0005-0000-0000-0000EA250000}"/>
    <cellStyle name="Normal 2 60 5 14 2" xfId="24406" xr:uid="{00000000-0005-0000-0000-0000EB250000}"/>
    <cellStyle name="Normal 2 60 5 15" xfId="24401" xr:uid="{00000000-0005-0000-0000-0000EC250000}"/>
    <cellStyle name="Normal 2 60 5 2" xfId="6656" xr:uid="{00000000-0005-0000-0000-0000ED250000}"/>
    <cellStyle name="Normal 2 60 5 2 2" xfId="24407" xr:uid="{00000000-0005-0000-0000-0000EE250000}"/>
    <cellStyle name="Normal 2 60 5 3" xfId="6657" xr:uid="{00000000-0005-0000-0000-0000EF250000}"/>
    <cellStyle name="Normal 2 60 5 3 2" xfId="24408" xr:uid="{00000000-0005-0000-0000-0000F0250000}"/>
    <cellStyle name="Normal 2 60 5 4" xfId="6658" xr:uid="{00000000-0005-0000-0000-0000F1250000}"/>
    <cellStyle name="Normal 2 60 5 4 2" xfId="24409" xr:uid="{00000000-0005-0000-0000-0000F2250000}"/>
    <cellStyle name="Normal 2 60 5 5" xfId="6659" xr:uid="{00000000-0005-0000-0000-0000F3250000}"/>
    <cellStyle name="Normal 2 60 5 5 2" xfId="24410" xr:uid="{00000000-0005-0000-0000-0000F4250000}"/>
    <cellStyle name="Normal 2 60 5 6" xfId="6660" xr:uid="{00000000-0005-0000-0000-0000F5250000}"/>
    <cellStyle name="Normal 2 60 5 6 2" xfId="24411" xr:uid="{00000000-0005-0000-0000-0000F6250000}"/>
    <cellStyle name="Normal 2 60 5 7" xfId="6661" xr:uid="{00000000-0005-0000-0000-0000F7250000}"/>
    <cellStyle name="Normal 2 60 5 7 2" xfId="24412" xr:uid="{00000000-0005-0000-0000-0000F8250000}"/>
    <cellStyle name="Normal 2 60 5 8" xfId="6662" xr:uid="{00000000-0005-0000-0000-0000F9250000}"/>
    <cellStyle name="Normal 2 60 5 8 2" xfId="24413" xr:uid="{00000000-0005-0000-0000-0000FA250000}"/>
    <cellStyle name="Normal 2 60 5 9" xfId="6663" xr:uid="{00000000-0005-0000-0000-0000FB250000}"/>
    <cellStyle name="Normal 2 60 5 9 2" xfId="24414" xr:uid="{00000000-0005-0000-0000-0000FC250000}"/>
    <cellStyle name="Normal 2 60 6" xfId="6664" xr:uid="{00000000-0005-0000-0000-0000FD250000}"/>
    <cellStyle name="Normal 2 60 6 10" xfId="6665" xr:uid="{00000000-0005-0000-0000-0000FE250000}"/>
    <cellStyle name="Normal 2 60 6 10 2" xfId="24416" xr:uid="{00000000-0005-0000-0000-0000FF250000}"/>
    <cellStyle name="Normal 2 60 6 11" xfId="6666" xr:uid="{00000000-0005-0000-0000-000000260000}"/>
    <cellStyle name="Normal 2 60 6 11 2" xfId="24417" xr:uid="{00000000-0005-0000-0000-000001260000}"/>
    <cellStyle name="Normal 2 60 6 12" xfId="6667" xr:uid="{00000000-0005-0000-0000-000002260000}"/>
    <cellStyle name="Normal 2 60 6 12 2" xfId="24418" xr:uid="{00000000-0005-0000-0000-000003260000}"/>
    <cellStyle name="Normal 2 60 6 13" xfId="6668" xr:uid="{00000000-0005-0000-0000-000004260000}"/>
    <cellStyle name="Normal 2 60 6 13 2" xfId="24419" xr:uid="{00000000-0005-0000-0000-000005260000}"/>
    <cellStyle name="Normal 2 60 6 14" xfId="6669" xr:uid="{00000000-0005-0000-0000-000006260000}"/>
    <cellStyle name="Normal 2 60 6 14 2" xfId="24420" xr:uid="{00000000-0005-0000-0000-000007260000}"/>
    <cellStyle name="Normal 2 60 6 15" xfId="24415" xr:uid="{00000000-0005-0000-0000-000008260000}"/>
    <cellStyle name="Normal 2 60 6 2" xfId="6670" xr:uid="{00000000-0005-0000-0000-000009260000}"/>
    <cellStyle name="Normal 2 60 6 2 2" xfId="24421" xr:uid="{00000000-0005-0000-0000-00000A260000}"/>
    <cellStyle name="Normal 2 60 6 3" xfId="6671" xr:uid="{00000000-0005-0000-0000-00000B260000}"/>
    <cellStyle name="Normal 2 60 6 3 2" xfId="24422" xr:uid="{00000000-0005-0000-0000-00000C260000}"/>
    <cellStyle name="Normal 2 60 6 4" xfId="6672" xr:uid="{00000000-0005-0000-0000-00000D260000}"/>
    <cellStyle name="Normal 2 60 6 4 2" xfId="24423" xr:uid="{00000000-0005-0000-0000-00000E260000}"/>
    <cellStyle name="Normal 2 60 6 5" xfId="6673" xr:uid="{00000000-0005-0000-0000-00000F260000}"/>
    <cellStyle name="Normal 2 60 6 5 2" xfId="24424" xr:uid="{00000000-0005-0000-0000-000010260000}"/>
    <cellStyle name="Normal 2 60 6 6" xfId="6674" xr:uid="{00000000-0005-0000-0000-000011260000}"/>
    <cellStyle name="Normal 2 60 6 6 2" xfId="24425" xr:uid="{00000000-0005-0000-0000-000012260000}"/>
    <cellStyle name="Normal 2 60 6 7" xfId="6675" xr:uid="{00000000-0005-0000-0000-000013260000}"/>
    <cellStyle name="Normal 2 60 6 7 2" xfId="24426" xr:uid="{00000000-0005-0000-0000-000014260000}"/>
    <cellStyle name="Normal 2 60 6 8" xfId="6676" xr:uid="{00000000-0005-0000-0000-000015260000}"/>
    <cellStyle name="Normal 2 60 6 8 2" xfId="24427" xr:uid="{00000000-0005-0000-0000-000016260000}"/>
    <cellStyle name="Normal 2 60 6 9" xfId="6677" xr:uid="{00000000-0005-0000-0000-000017260000}"/>
    <cellStyle name="Normal 2 60 6 9 2" xfId="24428" xr:uid="{00000000-0005-0000-0000-000018260000}"/>
    <cellStyle name="Normal 2 60 7" xfId="6678" xr:uid="{00000000-0005-0000-0000-000019260000}"/>
    <cellStyle name="Normal 2 60 7 10" xfId="6679" xr:uid="{00000000-0005-0000-0000-00001A260000}"/>
    <cellStyle name="Normal 2 60 7 10 2" xfId="24430" xr:uid="{00000000-0005-0000-0000-00001B260000}"/>
    <cellStyle name="Normal 2 60 7 11" xfId="6680" xr:uid="{00000000-0005-0000-0000-00001C260000}"/>
    <cellStyle name="Normal 2 60 7 11 2" xfId="24431" xr:uid="{00000000-0005-0000-0000-00001D260000}"/>
    <cellStyle name="Normal 2 60 7 12" xfId="6681" xr:uid="{00000000-0005-0000-0000-00001E260000}"/>
    <cellStyle name="Normal 2 60 7 12 2" xfId="24432" xr:uid="{00000000-0005-0000-0000-00001F260000}"/>
    <cellStyle name="Normal 2 60 7 13" xfId="6682" xr:uid="{00000000-0005-0000-0000-000020260000}"/>
    <cellStyle name="Normal 2 60 7 13 2" xfId="24433" xr:uid="{00000000-0005-0000-0000-000021260000}"/>
    <cellStyle name="Normal 2 60 7 14" xfId="6683" xr:uid="{00000000-0005-0000-0000-000022260000}"/>
    <cellStyle name="Normal 2 60 7 14 2" xfId="24434" xr:uid="{00000000-0005-0000-0000-000023260000}"/>
    <cellStyle name="Normal 2 60 7 15" xfId="24429" xr:uid="{00000000-0005-0000-0000-000024260000}"/>
    <cellStyle name="Normal 2 60 7 2" xfId="6684" xr:uid="{00000000-0005-0000-0000-000025260000}"/>
    <cellStyle name="Normal 2 60 7 2 2" xfId="24435" xr:uid="{00000000-0005-0000-0000-000026260000}"/>
    <cellStyle name="Normal 2 60 7 3" xfId="6685" xr:uid="{00000000-0005-0000-0000-000027260000}"/>
    <cellStyle name="Normal 2 60 7 3 2" xfId="24436" xr:uid="{00000000-0005-0000-0000-000028260000}"/>
    <cellStyle name="Normal 2 60 7 4" xfId="6686" xr:uid="{00000000-0005-0000-0000-000029260000}"/>
    <cellStyle name="Normal 2 60 7 4 2" xfId="24437" xr:uid="{00000000-0005-0000-0000-00002A260000}"/>
    <cellStyle name="Normal 2 60 7 5" xfId="6687" xr:uid="{00000000-0005-0000-0000-00002B260000}"/>
    <cellStyle name="Normal 2 60 7 5 2" xfId="24438" xr:uid="{00000000-0005-0000-0000-00002C260000}"/>
    <cellStyle name="Normal 2 60 7 6" xfId="6688" xr:uid="{00000000-0005-0000-0000-00002D260000}"/>
    <cellStyle name="Normal 2 60 7 6 2" xfId="24439" xr:uid="{00000000-0005-0000-0000-00002E260000}"/>
    <cellStyle name="Normal 2 60 7 7" xfId="6689" xr:uid="{00000000-0005-0000-0000-00002F260000}"/>
    <cellStyle name="Normal 2 60 7 7 2" xfId="24440" xr:uid="{00000000-0005-0000-0000-000030260000}"/>
    <cellStyle name="Normal 2 60 7 8" xfId="6690" xr:uid="{00000000-0005-0000-0000-000031260000}"/>
    <cellStyle name="Normal 2 60 7 8 2" xfId="24441" xr:uid="{00000000-0005-0000-0000-000032260000}"/>
    <cellStyle name="Normal 2 60 7 9" xfId="6691" xr:uid="{00000000-0005-0000-0000-000033260000}"/>
    <cellStyle name="Normal 2 60 7 9 2" xfId="24442" xr:uid="{00000000-0005-0000-0000-000034260000}"/>
    <cellStyle name="Normal 2 60 8" xfId="6692" xr:uid="{00000000-0005-0000-0000-000035260000}"/>
    <cellStyle name="Normal 2 60 8 10" xfId="6693" xr:uid="{00000000-0005-0000-0000-000036260000}"/>
    <cellStyle name="Normal 2 60 8 10 2" xfId="24444" xr:uid="{00000000-0005-0000-0000-000037260000}"/>
    <cellStyle name="Normal 2 60 8 11" xfId="6694" xr:uid="{00000000-0005-0000-0000-000038260000}"/>
    <cellStyle name="Normal 2 60 8 11 2" xfId="24445" xr:uid="{00000000-0005-0000-0000-000039260000}"/>
    <cellStyle name="Normal 2 60 8 12" xfId="6695" xr:uid="{00000000-0005-0000-0000-00003A260000}"/>
    <cellStyle name="Normal 2 60 8 12 2" xfId="24446" xr:uid="{00000000-0005-0000-0000-00003B260000}"/>
    <cellStyle name="Normal 2 60 8 13" xfId="6696" xr:uid="{00000000-0005-0000-0000-00003C260000}"/>
    <cellStyle name="Normal 2 60 8 13 2" xfId="24447" xr:uid="{00000000-0005-0000-0000-00003D260000}"/>
    <cellStyle name="Normal 2 60 8 14" xfId="6697" xr:uid="{00000000-0005-0000-0000-00003E260000}"/>
    <cellStyle name="Normal 2 60 8 14 2" xfId="24448" xr:uid="{00000000-0005-0000-0000-00003F260000}"/>
    <cellStyle name="Normal 2 60 8 15" xfId="24443" xr:uid="{00000000-0005-0000-0000-000040260000}"/>
    <cellStyle name="Normal 2 60 8 2" xfId="6698" xr:uid="{00000000-0005-0000-0000-000041260000}"/>
    <cellStyle name="Normal 2 60 8 2 2" xfId="24449" xr:uid="{00000000-0005-0000-0000-000042260000}"/>
    <cellStyle name="Normal 2 60 8 3" xfId="6699" xr:uid="{00000000-0005-0000-0000-000043260000}"/>
    <cellStyle name="Normal 2 60 8 3 2" xfId="24450" xr:uid="{00000000-0005-0000-0000-000044260000}"/>
    <cellStyle name="Normal 2 60 8 4" xfId="6700" xr:uid="{00000000-0005-0000-0000-000045260000}"/>
    <cellStyle name="Normal 2 60 8 4 2" xfId="24451" xr:uid="{00000000-0005-0000-0000-000046260000}"/>
    <cellStyle name="Normal 2 60 8 5" xfId="6701" xr:uid="{00000000-0005-0000-0000-000047260000}"/>
    <cellStyle name="Normal 2 60 8 5 2" xfId="24452" xr:uid="{00000000-0005-0000-0000-000048260000}"/>
    <cellStyle name="Normal 2 60 8 6" xfId="6702" xr:uid="{00000000-0005-0000-0000-000049260000}"/>
    <cellStyle name="Normal 2 60 8 6 2" xfId="24453" xr:uid="{00000000-0005-0000-0000-00004A260000}"/>
    <cellStyle name="Normal 2 60 8 7" xfId="6703" xr:uid="{00000000-0005-0000-0000-00004B260000}"/>
    <cellStyle name="Normal 2 60 8 7 2" xfId="24454" xr:uid="{00000000-0005-0000-0000-00004C260000}"/>
    <cellStyle name="Normal 2 60 8 8" xfId="6704" xr:uid="{00000000-0005-0000-0000-00004D260000}"/>
    <cellStyle name="Normal 2 60 8 8 2" xfId="24455" xr:uid="{00000000-0005-0000-0000-00004E260000}"/>
    <cellStyle name="Normal 2 60 8 9" xfId="6705" xr:uid="{00000000-0005-0000-0000-00004F260000}"/>
    <cellStyle name="Normal 2 60 8 9 2" xfId="24456" xr:uid="{00000000-0005-0000-0000-000050260000}"/>
    <cellStyle name="Normal 2 60 9" xfId="6706" xr:uid="{00000000-0005-0000-0000-000051260000}"/>
    <cellStyle name="Normal 2 60 9 10" xfId="6707" xr:uid="{00000000-0005-0000-0000-000052260000}"/>
    <cellStyle name="Normal 2 60 9 10 2" xfId="24458" xr:uid="{00000000-0005-0000-0000-000053260000}"/>
    <cellStyle name="Normal 2 60 9 11" xfId="6708" xr:uid="{00000000-0005-0000-0000-000054260000}"/>
    <cellStyle name="Normal 2 60 9 11 2" xfId="24459" xr:uid="{00000000-0005-0000-0000-000055260000}"/>
    <cellStyle name="Normal 2 60 9 12" xfId="6709" xr:uid="{00000000-0005-0000-0000-000056260000}"/>
    <cellStyle name="Normal 2 60 9 12 2" xfId="24460" xr:uid="{00000000-0005-0000-0000-000057260000}"/>
    <cellStyle name="Normal 2 60 9 13" xfId="6710" xr:uid="{00000000-0005-0000-0000-000058260000}"/>
    <cellStyle name="Normal 2 60 9 13 2" xfId="24461" xr:uid="{00000000-0005-0000-0000-000059260000}"/>
    <cellStyle name="Normal 2 60 9 14" xfId="6711" xr:uid="{00000000-0005-0000-0000-00005A260000}"/>
    <cellStyle name="Normal 2 60 9 14 2" xfId="24462" xr:uid="{00000000-0005-0000-0000-00005B260000}"/>
    <cellStyle name="Normal 2 60 9 15" xfId="24457" xr:uid="{00000000-0005-0000-0000-00005C260000}"/>
    <cellStyle name="Normal 2 60 9 2" xfId="6712" xr:uid="{00000000-0005-0000-0000-00005D260000}"/>
    <cellStyle name="Normal 2 60 9 2 2" xfId="24463" xr:uid="{00000000-0005-0000-0000-00005E260000}"/>
    <cellStyle name="Normal 2 60 9 3" xfId="6713" xr:uid="{00000000-0005-0000-0000-00005F260000}"/>
    <cellStyle name="Normal 2 60 9 3 2" xfId="24464" xr:uid="{00000000-0005-0000-0000-000060260000}"/>
    <cellStyle name="Normal 2 60 9 4" xfId="6714" xr:uid="{00000000-0005-0000-0000-000061260000}"/>
    <cellStyle name="Normal 2 60 9 4 2" xfId="24465" xr:uid="{00000000-0005-0000-0000-000062260000}"/>
    <cellStyle name="Normal 2 60 9 5" xfId="6715" xr:uid="{00000000-0005-0000-0000-000063260000}"/>
    <cellStyle name="Normal 2 60 9 5 2" xfId="24466" xr:uid="{00000000-0005-0000-0000-000064260000}"/>
    <cellStyle name="Normal 2 60 9 6" xfId="6716" xr:uid="{00000000-0005-0000-0000-000065260000}"/>
    <cellStyle name="Normal 2 60 9 6 2" xfId="24467" xr:uid="{00000000-0005-0000-0000-000066260000}"/>
    <cellStyle name="Normal 2 60 9 7" xfId="6717" xr:uid="{00000000-0005-0000-0000-000067260000}"/>
    <cellStyle name="Normal 2 60 9 7 2" xfId="24468" xr:uid="{00000000-0005-0000-0000-000068260000}"/>
    <cellStyle name="Normal 2 60 9 8" xfId="6718" xr:uid="{00000000-0005-0000-0000-000069260000}"/>
    <cellStyle name="Normal 2 60 9 8 2" xfId="24469" xr:uid="{00000000-0005-0000-0000-00006A260000}"/>
    <cellStyle name="Normal 2 60 9 9" xfId="6719" xr:uid="{00000000-0005-0000-0000-00006B260000}"/>
    <cellStyle name="Normal 2 60 9 9 2" xfId="24470" xr:uid="{00000000-0005-0000-0000-00006C260000}"/>
    <cellStyle name="Normal 2 61" xfId="6720" xr:uid="{00000000-0005-0000-0000-00006D260000}"/>
    <cellStyle name="Normal 2 61 10" xfId="6721" xr:uid="{00000000-0005-0000-0000-00006E260000}"/>
    <cellStyle name="Normal 2 61 10 10" xfId="6722" xr:uid="{00000000-0005-0000-0000-00006F260000}"/>
    <cellStyle name="Normal 2 61 10 10 2" xfId="24473" xr:uid="{00000000-0005-0000-0000-000070260000}"/>
    <cellStyle name="Normal 2 61 10 11" xfId="6723" xr:uid="{00000000-0005-0000-0000-000071260000}"/>
    <cellStyle name="Normal 2 61 10 11 2" xfId="24474" xr:uid="{00000000-0005-0000-0000-000072260000}"/>
    <cellStyle name="Normal 2 61 10 12" xfId="6724" xr:uid="{00000000-0005-0000-0000-000073260000}"/>
    <cellStyle name="Normal 2 61 10 12 2" xfId="24475" xr:uid="{00000000-0005-0000-0000-000074260000}"/>
    <cellStyle name="Normal 2 61 10 13" xfId="6725" xr:uid="{00000000-0005-0000-0000-000075260000}"/>
    <cellStyle name="Normal 2 61 10 13 2" xfId="24476" xr:uid="{00000000-0005-0000-0000-000076260000}"/>
    <cellStyle name="Normal 2 61 10 14" xfId="6726" xr:uid="{00000000-0005-0000-0000-000077260000}"/>
    <cellStyle name="Normal 2 61 10 14 2" xfId="24477" xr:uid="{00000000-0005-0000-0000-000078260000}"/>
    <cellStyle name="Normal 2 61 10 15" xfId="24472" xr:uid="{00000000-0005-0000-0000-000079260000}"/>
    <cellStyle name="Normal 2 61 10 2" xfId="6727" xr:uid="{00000000-0005-0000-0000-00007A260000}"/>
    <cellStyle name="Normal 2 61 10 2 2" xfId="24478" xr:uid="{00000000-0005-0000-0000-00007B260000}"/>
    <cellStyle name="Normal 2 61 10 3" xfId="6728" xr:uid="{00000000-0005-0000-0000-00007C260000}"/>
    <cellStyle name="Normal 2 61 10 3 2" xfId="24479" xr:uid="{00000000-0005-0000-0000-00007D260000}"/>
    <cellStyle name="Normal 2 61 10 4" xfId="6729" xr:uid="{00000000-0005-0000-0000-00007E260000}"/>
    <cellStyle name="Normal 2 61 10 4 2" xfId="24480" xr:uid="{00000000-0005-0000-0000-00007F260000}"/>
    <cellStyle name="Normal 2 61 10 5" xfId="6730" xr:uid="{00000000-0005-0000-0000-000080260000}"/>
    <cellStyle name="Normal 2 61 10 5 2" xfId="24481" xr:uid="{00000000-0005-0000-0000-000081260000}"/>
    <cellStyle name="Normal 2 61 10 6" xfId="6731" xr:uid="{00000000-0005-0000-0000-000082260000}"/>
    <cellStyle name="Normal 2 61 10 6 2" xfId="24482" xr:uid="{00000000-0005-0000-0000-000083260000}"/>
    <cellStyle name="Normal 2 61 10 7" xfId="6732" xr:uid="{00000000-0005-0000-0000-000084260000}"/>
    <cellStyle name="Normal 2 61 10 7 2" xfId="24483" xr:uid="{00000000-0005-0000-0000-000085260000}"/>
    <cellStyle name="Normal 2 61 10 8" xfId="6733" xr:uid="{00000000-0005-0000-0000-000086260000}"/>
    <cellStyle name="Normal 2 61 10 8 2" xfId="24484" xr:uid="{00000000-0005-0000-0000-000087260000}"/>
    <cellStyle name="Normal 2 61 10 9" xfId="6734" xr:uid="{00000000-0005-0000-0000-000088260000}"/>
    <cellStyle name="Normal 2 61 10 9 2" xfId="24485" xr:uid="{00000000-0005-0000-0000-000089260000}"/>
    <cellStyle name="Normal 2 61 11" xfId="6735" xr:uid="{00000000-0005-0000-0000-00008A260000}"/>
    <cellStyle name="Normal 2 61 11 2" xfId="24486" xr:uid="{00000000-0005-0000-0000-00008B260000}"/>
    <cellStyle name="Normal 2 61 12" xfId="6736" xr:uid="{00000000-0005-0000-0000-00008C260000}"/>
    <cellStyle name="Normal 2 61 12 2" xfId="24487" xr:uid="{00000000-0005-0000-0000-00008D260000}"/>
    <cellStyle name="Normal 2 61 13" xfId="6737" xr:uid="{00000000-0005-0000-0000-00008E260000}"/>
    <cellStyle name="Normal 2 61 13 2" xfId="24488" xr:uid="{00000000-0005-0000-0000-00008F260000}"/>
    <cellStyle name="Normal 2 61 14" xfId="6738" xr:uid="{00000000-0005-0000-0000-000090260000}"/>
    <cellStyle name="Normal 2 61 14 2" xfId="24489" xr:uid="{00000000-0005-0000-0000-000091260000}"/>
    <cellStyle name="Normal 2 61 15" xfId="6739" xr:uid="{00000000-0005-0000-0000-000092260000}"/>
    <cellStyle name="Normal 2 61 15 2" xfId="24490" xr:uid="{00000000-0005-0000-0000-000093260000}"/>
    <cellStyle name="Normal 2 61 16" xfId="6740" xr:uid="{00000000-0005-0000-0000-000094260000}"/>
    <cellStyle name="Normal 2 61 16 2" xfId="24491" xr:uid="{00000000-0005-0000-0000-000095260000}"/>
    <cellStyle name="Normal 2 61 17" xfId="6741" xr:uid="{00000000-0005-0000-0000-000096260000}"/>
    <cellStyle name="Normal 2 61 17 2" xfId="24492" xr:uid="{00000000-0005-0000-0000-000097260000}"/>
    <cellStyle name="Normal 2 61 18" xfId="6742" xr:uid="{00000000-0005-0000-0000-000098260000}"/>
    <cellStyle name="Normal 2 61 18 2" xfId="24493" xr:uid="{00000000-0005-0000-0000-000099260000}"/>
    <cellStyle name="Normal 2 61 19" xfId="6743" xr:uid="{00000000-0005-0000-0000-00009A260000}"/>
    <cellStyle name="Normal 2 61 19 2" xfId="24494" xr:uid="{00000000-0005-0000-0000-00009B260000}"/>
    <cellStyle name="Normal 2 61 2" xfId="6744" xr:uid="{00000000-0005-0000-0000-00009C260000}"/>
    <cellStyle name="Normal 2 61 2 10" xfId="6745" xr:uid="{00000000-0005-0000-0000-00009D260000}"/>
    <cellStyle name="Normal 2 61 2 10 2" xfId="24496" xr:uid="{00000000-0005-0000-0000-00009E260000}"/>
    <cellStyle name="Normal 2 61 2 11" xfId="6746" xr:uid="{00000000-0005-0000-0000-00009F260000}"/>
    <cellStyle name="Normal 2 61 2 11 2" xfId="24497" xr:uid="{00000000-0005-0000-0000-0000A0260000}"/>
    <cellStyle name="Normal 2 61 2 12" xfId="6747" xr:uid="{00000000-0005-0000-0000-0000A1260000}"/>
    <cellStyle name="Normal 2 61 2 12 2" xfId="24498" xr:uid="{00000000-0005-0000-0000-0000A2260000}"/>
    <cellStyle name="Normal 2 61 2 13" xfId="6748" xr:uid="{00000000-0005-0000-0000-0000A3260000}"/>
    <cellStyle name="Normal 2 61 2 13 2" xfId="24499" xr:uid="{00000000-0005-0000-0000-0000A4260000}"/>
    <cellStyle name="Normal 2 61 2 14" xfId="6749" xr:uid="{00000000-0005-0000-0000-0000A5260000}"/>
    <cellStyle name="Normal 2 61 2 14 2" xfId="24500" xr:uid="{00000000-0005-0000-0000-0000A6260000}"/>
    <cellStyle name="Normal 2 61 2 15" xfId="6750" xr:uid="{00000000-0005-0000-0000-0000A7260000}"/>
    <cellStyle name="Normal 2 61 2 15 2" xfId="24501" xr:uid="{00000000-0005-0000-0000-0000A8260000}"/>
    <cellStyle name="Normal 2 61 2 16" xfId="24495" xr:uid="{00000000-0005-0000-0000-0000A9260000}"/>
    <cellStyle name="Normal 2 61 2 2" xfId="6751" xr:uid="{00000000-0005-0000-0000-0000AA260000}"/>
    <cellStyle name="Normal 2 61 2 2 10" xfId="6752" xr:uid="{00000000-0005-0000-0000-0000AB260000}"/>
    <cellStyle name="Normal 2 61 2 2 10 2" xfId="24503" xr:uid="{00000000-0005-0000-0000-0000AC260000}"/>
    <cellStyle name="Normal 2 61 2 2 11" xfId="6753" xr:uid="{00000000-0005-0000-0000-0000AD260000}"/>
    <cellStyle name="Normal 2 61 2 2 11 2" xfId="24504" xr:uid="{00000000-0005-0000-0000-0000AE260000}"/>
    <cellStyle name="Normal 2 61 2 2 12" xfId="6754" xr:uid="{00000000-0005-0000-0000-0000AF260000}"/>
    <cellStyle name="Normal 2 61 2 2 12 2" xfId="24505" xr:uid="{00000000-0005-0000-0000-0000B0260000}"/>
    <cellStyle name="Normal 2 61 2 2 13" xfId="6755" xr:uid="{00000000-0005-0000-0000-0000B1260000}"/>
    <cellStyle name="Normal 2 61 2 2 13 2" xfId="24506" xr:uid="{00000000-0005-0000-0000-0000B2260000}"/>
    <cellStyle name="Normal 2 61 2 2 14" xfId="6756" xr:uid="{00000000-0005-0000-0000-0000B3260000}"/>
    <cellStyle name="Normal 2 61 2 2 14 2" xfId="24507" xr:uid="{00000000-0005-0000-0000-0000B4260000}"/>
    <cellStyle name="Normal 2 61 2 2 15" xfId="24502" xr:uid="{00000000-0005-0000-0000-0000B5260000}"/>
    <cellStyle name="Normal 2 61 2 2 2" xfId="6757" xr:uid="{00000000-0005-0000-0000-0000B6260000}"/>
    <cellStyle name="Normal 2 61 2 2 2 2" xfId="24508" xr:uid="{00000000-0005-0000-0000-0000B7260000}"/>
    <cellStyle name="Normal 2 61 2 2 3" xfId="6758" xr:uid="{00000000-0005-0000-0000-0000B8260000}"/>
    <cellStyle name="Normal 2 61 2 2 3 2" xfId="24509" xr:uid="{00000000-0005-0000-0000-0000B9260000}"/>
    <cellStyle name="Normal 2 61 2 2 4" xfId="6759" xr:uid="{00000000-0005-0000-0000-0000BA260000}"/>
    <cellStyle name="Normal 2 61 2 2 4 2" xfId="24510" xr:uid="{00000000-0005-0000-0000-0000BB260000}"/>
    <cellStyle name="Normal 2 61 2 2 5" xfId="6760" xr:uid="{00000000-0005-0000-0000-0000BC260000}"/>
    <cellStyle name="Normal 2 61 2 2 5 2" xfId="24511" xr:uid="{00000000-0005-0000-0000-0000BD260000}"/>
    <cellStyle name="Normal 2 61 2 2 6" xfId="6761" xr:uid="{00000000-0005-0000-0000-0000BE260000}"/>
    <cellStyle name="Normal 2 61 2 2 6 2" xfId="24512" xr:uid="{00000000-0005-0000-0000-0000BF260000}"/>
    <cellStyle name="Normal 2 61 2 2 7" xfId="6762" xr:uid="{00000000-0005-0000-0000-0000C0260000}"/>
    <cellStyle name="Normal 2 61 2 2 7 2" xfId="24513" xr:uid="{00000000-0005-0000-0000-0000C1260000}"/>
    <cellStyle name="Normal 2 61 2 2 8" xfId="6763" xr:uid="{00000000-0005-0000-0000-0000C2260000}"/>
    <cellStyle name="Normal 2 61 2 2 8 2" xfId="24514" xr:uid="{00000000-0005-0000-0000-0000C3260000}"/>
    <cellStyle name="Normal 2 61 2 2 9" xfId="6764" xr:uid="{00000000-0005-0000-0000-0000C4260000}"/>
    <cellStyle name="Normal 2 61 2 2 9 2" xfId="24515" xr:uid="{00000000-0005-0000-0000-0000C5260000}"/>
    <cellStyle name="Normal 2 61 2 3" xfId="6765" xr:uid="{00000000-0005-0000-0000-0000C6260000}"/>
    <cellStyle name="Normal 2 61 2 3 2" xfId="24516" xr:uid="{00000000-0005-0000-0000-0000C7260000}"/>
    <cellStyle name="Normal 2 61 2 4" xfId="6766" xr:uid="{00000000-0005-0000-0000-0000C8260000}"/>
    <cellStyle name="Normal 2 61 2 4 2" xfId="24517" xr:uid="{00000000-0005-0000-0000-0000C9260000}"/>
    <cellStyle name="Normal 2 61 2 5" xfId="6767" xr:uid="{00000000-0005-0000-0000-0000CA260000}"/>
    <cellStyle name="Normal 2 61 2 5 2" xfId="24518" xr:uid="{00000000-0005-0000-0000-0000CB260000}"/>
    <cellStyle name="Normal 2 61 2 6" xfId="6768" xr:uid="{00000000-0005-0000-0000-0000CC260000}"/>
    <cellStyle name="Normal 2 61 2 6 2" xfId="24519" xr:uid="{00000000-0005-0000-0000-0000CD260000}"/>
    <cellStyle name="Normal 2 61 2 7" xfId="6769" xr:uid="{00000000-0005-0000-0000-0000CE260000}"/>
    <cellStyle name="Normal 2 61 2 7 2" xfId="24520" xr:uid="{00000000-0005-0000-0000-0000CF260000}"/>
    <cellStyle name="Normal 2 61 2 8" xfId="6770" xr:uid="{00000000-0005-0000-0000-0000D0260000}"/>
    <cellStyle name="Normal 2 61 2 8 2" xfId="24521" xr:uid="{00000000-0005-0000-0000-0000D1260000}"/>
    <cellStyle name="Normal 2 61 2 9" xfId="6771" xr:uid="{00000000-0005-0000-0000-0000D2260000}"/>
    <cellStyle name="Normal 2 61 2 9 2" xfId="24522" xr:uid="{00000000-0005-0000-0000-0000D3260000}"/>
    <cellStyle name="Normal 2 61 20" xfId="6772" xr:uid="{00000000-0005-0000-0000-0000D4260000}"/>
    <cellStyle name="Normal 2 61 20 2" xfId="24523" xr:uid="{00000000-0005-0000-0000-0000D5260000}"/>
    <cellStyle name="Normal 2 61 21" xfId="6773" xr:uid="{00000000-0005-0000-0000-0000D6260000}"/>
    <cellStyle name="Normal 2 61 21 2" xfId="24524" xr:uid="{00000000-0005-0000-0000-0000D7260000}"/>
    <cellStyle name="Normal 2 61 22" xfId="6774" xr:uid="{00000000-0005-0000-0000-0000D8260000}"/>
    <cellStyle name="Normal 2 61 22 2" xfId="24525" xr:uid="{00000000-0005-0000-0000-0000D9260000}"/>
    <cellStyle name="Normal 2 61 23" xfId="6775" xr:uid="{00000000-0005-0000-0000-0000DA260000}"/>
    <cellStyle name="Normal 2 61 23 2" xfId="24526" xr:uid="{00000000-0005-0000-0000-0000DB260000}"/>
    <cellStyle name="Normal 2 61 24" xfId="24471" xr:uid="{00000000-0005-0000-0000-0000DC260000}"/>
    <cellStyle name="Normal 2 61 3" xfId="6776" xr:uid="{00000000-0005-0000-0000-0000DD260000}"/>
    <cellStyle name="Normal 2 61 3 10" xfId="6777" xr:uid="{00000000-0005-0000-0000-0000DE260000}"/>
    <cellStyle name="Normal 2 61 3 10 2" xfId="24528" xr:uid="{00000000-0005-0000-0000-0000DF260000}"/>
    <cellStyle name="Normal 2 61 3 11" xfId="6778" xr:uid="{00000000-0005-0000-0000-0000E0260000}"/>
    <cellStyle name="Normal 2 61 3 11 2" xfId="24529" xr:uid="{00000000-0005-0000-0000-0000E1260000}"/>
    <cellStyle name="Normal 2 61 3 12" xfId="6779" xr:uid="{00000000-0005-0000-0000-0000E2260000}"/>
    <cellStyle name="Normal 2 61 3 12 2" xfId="24530" xr:uid="{00000000-0005-0000-0000-0000E3260000}"/>
    <cellStyle name="Normal 2 61 3 13" xfId="6780" xr:uid="{00000000-0005-0000-0000-0000E4260000}"/>
    <cellStyle name="Normal 2 61 3 13 2" xfId="24531" xr:uid="{00000000-0005-0000-0000-0000E5260000}"/>
    <cellStyle name="Normal 2 61 3 14" xfId="6781" xr:uid="{00000000-0005-0000-0000-0000E6260000}"/>
    <cellStyle name="Normal 2 61 3 14 2" xfId="24532" xr:uid="{00000000-0005-0000-0000-0000E7260000}"/>
    <cellStyle name="Normal 2 61 3 15" xfId="6782" xr:uid="{00000000-0005-0000-0000-0000E8260000}"/>
    <cellStyle name="Normal 2 61 3 15 2" xfId="24533" xr:uid="{00000000-0005-0000-0000-0000E9260000}"/>
    <cellStyle name="Normal 2 61 3 16" xfId="24527" xr:uid="{00000000-0005-0000-0000-0000EA260000}"/>
    <cellStyle name="Normal 2 61 3 2" xfId="6783" xr:uid="{00000000-0005-0000-0000-0000EB260000}"/>
    <cellStyle name="Normal 2 61 3 2 10" xfId="6784" xr:uid="{00000000-0005-0000-0000-0000EC260000}"/>
    <cellStyle name="Normal 2 61 3 2 10 2" xfId="24535" xr:uid="{00000000-0005-0000-0000-0000ED260000}"/>
    <cellStyle name="Normal 2 61 3 2 11" xfId="6785" xr:uid="{00000000-0005-0000-0000-0000EE260000}"/>
    <cellStyle name="Normal 2 61 3 2 11 2" xfId="24536" xr:uid="{00000000-0005-0000-0000-0000EF260000}"/>
    <cellStyle name="Normal 2 61 3 2 12" xfId="6786" xr:uid="{00000000-0005-0000-0000-0000F0260000}"/>
    <cellStyle name="Normal 2 61 3 2 12 2" xfId="24537" xr:uid="{00000000-0005-0000-0000-0000F1260000}"/>
    <cellStyle name="Normal 2 61 3 2 13" xfId="6787" xr:uid="{00000000-0005-0000-0000-0000F2260000}"/>
    <cellStyle name="Normal 2 61 3 2 13 2" xfId="24538" xr:uid="{00000000-0005-0000-0000-0000F3260000}"/>
    <cellStyle name="Normal 2 61 3 2 14" xfId="6788" xr:uid="{00000000-0005-0000-0000-0000F4260000}"/>
    <cellStyle name="Normal 2 61 3 2 14 2" xfId="24539" xr:uid="{00000000-0005-0000-0000-0000F5260000}"/>
    <cellStyle name="Normal 2 61 3 2 15" xfId="24534" xr:uid="{00000000-0005-0000-0000-0000F6260000}"/>
    <cellStyle name="Normal 2 61 3 2 2" xfId="6789" xr:uid="{00000000-0005-0000-0000-0000F7260000}"/>
    <cellStyle name="Normal 2 61 3 2 2 2" xfId="24540" xr:uid="{00000000-0005-0000-0000-0000F8260000}"/>
    <cellStyle name="Normal 2 61 3 2 3" xfId="6790" xr:uid="{00000000-0005-0000-0000-0000F9260000}"/>
    <cellStyle name="Normal 2 61 3 2 3 2" xfId="24541" xr:uid="{00000000-0005-0000-0000-0000FA260000}"/>
    <cellStyle name="Normal 2 61 3 2 4" xfId="6791" xr:uid="{00000000-0005-0000-0000-0000FB260000}"/>
    <cellStyle name="Normal 2 61 3 2 4 2" xfId="24542" xr:uid="{00000000-0005-0000-0000-0000FC260000}"/>
    <cellStyle name="Normal 2 61 3 2 5" xfId="6792" xr:uid="{00000000-0005-0000-0000-0000FD260000}"/>
    <cellStyle name="Normal 2 61 3 2 5 2" xfId="24543" xr:uid="{00000000-0005-0000-0000-0000FE260000}"/>
    <cellStyle name="Normal 2 61 3 2 6" xfId="6793" xr:uid="{00000000-0005-0000-0000-0000FF260000}"/>
    <cellStyle name="Normal 2 61 3 2 6 2" xfId="24544" xr:uid="{00000000-0005-0000-0000-000000270000}"/>
    <cellStyle name="Normal 2 61 3 2 7" xfId="6794" xr:uid="{00000000-0005-0000-0000-000001270000}"/>
    <cellStyle name="Normal 2 61 3 2 7 2" xfId="24545" xr:uid="{00000000-0005-0000-0000-000002270000}"/>
    <cellStyle name="Normal 2 61 3 2 8" xfId="6795" xr:uid="{00000000-0005-0000-0000-000003270000}"/>
    <cellStyle name="Normal 2 61 3 2 8 2" xfId="24546" xr:uid="{00000000-0005-0000-0000-000004270000}"/>
    <cellStyle name="Normal 2 61 3 2 9" xfId="6796" xr:uid="{00000000-0005-0000-0000-000005270000}"/>
    <cellStyle name="Normal 2 61 3 2 9 2" xfId="24547" xr:uid="{00000000-0005-0000-0000-000006270000}"/>
    <cellStyle name="Normal 2 61 3 3" xfId="6797" xr:uid="{00000000-0005-0000-0000-000007270000}"/>
    <cellStyle name="Normal 2 61 3 3 2" xfId="24548" xr:uid="{00000000-0005-0000-0000-000008270000}"/>
    <cellStyle name="Normal 2 61 3 4" xfId="6798" xr:uid="{00000000-0005-0000-0000-000009270000}"/>
    <cellStyle name="Normal 2 61 3 4 2" xfId="24549" xr:uid="{00000000-0005-0000-0000-00000A270000}"/>
    <cellStyle name="Normal 2 61 3 5" xfId="6799" xr:uid="{00000000-0005-0000-0000-00000B270000}"/>
    <cellStyle name="Normal 2 61 3 5 2" xfId="24550" xr:uid="{00000000-0005-0000-0000-00000C270000}"/>
    <cellStyle name="Normal 2 61 3 6" xfId="6800" xr:uid="{00000000-0005-0000-0000-00000D270000}"/>
    <cellStyle name="Normal 2 61 3 6 2" xfId="24551" xr:uid="{00000000-0005-0000-0000-00000E270000}"/>
    <cellStyle name="Normal 2 61 3 7" xfId="6801" xr:uid="{00000000-0005-0000-0000-00000F270000}"/>
    <cellStyle name="Normal 2 61 3 7 2" xfId="24552" xr:uid="{00000000-0005-0000-0000-000010270000}"/>
    <cellStyle name="Normal 2 61 3 8" xfId="6802" xr:uid="{00000000-0005-0000-0000-000011270000}"/>
    <cellStyle name="Normal 2 61 3 8 2" xfId="24553" xr:uid="{00000000-0005-0000-0000-000012270000}"/>
    <cellStyle name="Normal 2 61 3 9" xfId="6803" xr:uid="{00000000-0005-0000-0000-000013270000}"/>
    <cellStyle name="Normal 2 61 3 9 2" xfId="24554" xr:uid="{00000000-0005-0000-0000-000014270000}"/>
    <cellStyle name="Normal 2 61 4" xfId="6804" xr:uid="{00000000-0005-0000-0000-000015270000}"/>
    <cellStyle name="Normal 2 61 4 10" xfId="6805" xr:uid="{00000000-0005-0000-0000-000016270000}"/>
    <cellStyle name="Normal 2 61 4 10 2" xfId="24556" xr:uid="{00000000-0005-0000-0000-000017270000}"/>
    <cellStyle name="Normal 2 61 4 11" xfId="6806" xr:uid="{00000000-0005-0000-0000-000018270000}"/>
    <cellStyle name="Normal 2 61 4 11 2" xfId="24557" xr:uid="{00000000-0005-0000-0000-000019270000}"/>
    <cellStyle name="Normal 2 61 4 12" xfId="6807" xr:uid="{00000000-0005-0000-0000-00001A270000}"/>
    <cellStyle name="Normal 2 61 4 12 2" xfId="24558" xr:uid="{00000000-0005-0000-0000-00001B270000}"/>
    <cellStyle name="Normal 2 61 4 13" xfId="6808" xr:uid="{00000000-0005-0000-0000-00001C270000}"/>
    <cellStyle name="Normal 2 61 4 13 2" xfId="24559" xr:uid="{00000000-0005-0000-0000-00001D270000}"/>
    <cellStyle name="Normal 2 61 4 14" xfId="6809" xr:uid="{00000000-0005-0000-0000-00001E270000}"/>
    <cellStyle name="Normal 2 61 4 14 2" xfId="24560" xr:uid="{00000000-0005-0000-0000-00001F270000}"/>
    <cellStyle name="Normal 2 61 4 15" xfId="6810" xr:uid="{00000000-0005-0000-0000-000020270000}"/>
    <cellStyle name="Normal 2 61 4 15 2" xfId="24561" xr:uid="{00000000-0005-0000-0000-000021270000}"/>
    <cellStyle name="Normal 2 61 4 16" xfId="24555" xr:uid="{00000000-0005-0000-0000-000022270000}"/>
    <cellStyle name="Normal 2 61 4 2" xfId="6811" xr:uid="{00000000-0005-0000-0000-000023270000}"/>
    <cellStyle name="Normal 2 61 4 2 10" xfId="6812" xr:uid="{00000000-0005-0000-0000-000024270000}"/>
    <cellStyle name="Normal 2 61 4 2 10 2" xfId="24563" xr:uid="{00000000-0005-0000-0000-000025270000}"/>
    <cellStyle name="Normal 2 61 4 2 11" xfId="6813" xr:uid="{00000000-0005-0000-0000-000026270000}"/>
    <cellStyle name="Normal 2 61 4 2 11 2" xfId="24564" xr:uid="{00000000-0005-0000-0000-000027270000}"/>
    <cellStyle name="Normal 2 61 4 2 12" xfId="6814" xr:uid="{00000000-0005-0000-0000-000028270000}"/>
    <cellStyle name="Normal 2 61 4 2 12 2" xfId="24565" xr:uid="{00000000-0005-0000-0000-000029270000}"/>
    <cellStyle name="Normal 2 61 4 2 13" xfId="6815" xr:uid="{00000000-0005-0000-0000-00002A270000}"/>
    <cellStyle name="Normal 2 61 4 2 13 2" xfId="24566" xr:uid="{00000000-0005-0000-0000-00002B270000}"/>
    <cellStyle name="Normal 2 61 4 2 14" xfId="6816" xr:uid="{00000000-0005-0000-0000-00002C270000}"/>
    <cellStyle name="Normal 2 61 4 2 14 2" xfId="24567" xr:uid="{00000000-0005-0000-0000-00002D270000}"/>
    <cellStyle name="Normal 2 61 4 2 15" xfId="24562" xr:uid="{00000000-0005-0000-0000-00002E270000}"/>
    <cellStyle name="Normal 2 61 4 2 2" xfId="6817" xr:uid="{00000000-0005-0000-0000-00002F270000}"/>
    <cellStyle name="Normal 2 61 4 2 2 2" xfId="24568" xr:uid="{00000000-0005-0000-0000-000030270000}"/>
    <cellStyle name="Normal 2 61 4 2 3" xfId="6818" xr:uid="{00000000-0005-0000-0000-000031270000}"/>
    <cellStyle name="Normal 2 61 4 2 3 2" xfId="24569" xr:uid="{00000000-0005-0000-0000-000032270000}"/>
    <cellStyle name="Normal 2 61 4 2 4" xfId="6819" xr:uid="{00000000-0005-0000-0000-000033270000}"/>
    <cellStyle name="Normal 2 61 4 2 4 2" xfId="24570" xr:uid="{00000000-0005-0000-0000-000034270000}"/>
    <cellStyle name="Normal 2 61 4 2 5" xfId="6820" xr:uid="{00000000-0005-0000-0000-000035270000}"/>
    <cellStyle name="Normal 2 61 4 2 5 2" xfId="24571" xr:uid="{00000000-0005-0000-0000-000036270000}"/>
    <cellStyle name="Normal 2 61 4 2 6" xfId="6821" xr:uid="{00000000-0005-0000-0000-000037270000}"/>
    <cellStyle name="Normal 2 61 4 2 6 2" xfId="24572" xr:uid="{00000000-0005-0000-0000-000038270000}"/>
    <cellStyle name="Normal 2 61 4 2 7" xfId="6822" xr:uid="{00000000-0005-0000-0000-000039270000}"/>
    <cellStyle name="Normal 2 61 4 2 7 2" xfId="24573" xr:uid="{00000000-0005-0000-0000-00003A270000}"/>
    <cellStyle name="Normal 2 61 4 2 8" xfId="6823" xr:uid="{00000000-0005-0000-0000-00003B270000}"/>
    <cellStyle name="Normal 2 61 4 2 8 2" xfId="24574" xr:uid="{00000000-0005-0000-0000-00003C270000}"/>
    <cellStyle name="Normal 2 61 4 2 9" xfId="6824" xr:uid="{00000000-0005-0000-0000-00003D270000}"/>
    <cellStyle name="Normal 2 61 4 2 9 2" xfId="24575" xr:uid="{00000000-0005-0000-0000-00003E270000}"/>
    <cellStyle name="Normal 2 61 4 3" xfId="6825" xr:uid="{00000000-0005-0000-0000-00003F270000}"/>
    <cellStyle name="Normal 2 61 4 3 2" xfId="24576" xr:uid="{00000000-0005-0000-0000-000040270000}"/>
    <cellStyle name="Normal 2 61 4 4" xfId="6826" xr:uid="{00000000-0005-0000-0000-000041270000}"/>
    <cellStyle name="Normal 2 61 4 4 2" xfId="24577" xr:uid="{00000000-0005-0000-0000-000042270000}"/>
    <cellStyle name="Normal 2 61 4 5" xfId="6827" xr:uid="{00000000-0005-0000-0000-000043270000}"/>
    <cellStyle name="Normal 2 61 4 5 2" xfId="24578" xr:uid="{00000000-0005-0000-0000-000044270000}"/>
    <cellStyle name="Normal 2 61 4 6" xfId="6828" xr:uid="{00000000-0005-0000-0000-000045270000}"/>
    <cellStyle name="Normal 2 61 4 6 2" xfId="24579" xr:uid="{00000000-0005-0000-0000-000046270000}"/>
    <cellStyle name="Normal 2 61 4 7" xfId="6829" xr:uid="{00000000-0005-0000-0000-000047270000}"/>
    <cellStyle name="Normal 2 61 4 7 2" xfId="24580" xr:uid="{00000000-0005-0000-0000-000048270000}"/>
    <cellStyle name="Normal 2 61 4 8" xfId="6830" xr:uid="{00000000-0005-0000-0000-000049270000}"/>
    <cellStyle name="Normal 2 61 4 8 2" xfId="24581" xr:uid="{00000000-0005-0000-0000-00004A270000}"/>
    <cellStyle name="Normal 2 61 4 9" xfId="6831" xr:uid="{00000000-0005-0000-0000-00004B270000}"/>
    <cellStyle name="Normal 2 61 4 9 2" xfId="24582" xr:uid="{00000000-0005-0000-0000-00004C270000}"/>
    <cellStyle name="Normal 2 61 5" xfId="6832" xr:uid="{00000000-0005-0000-0000-00004D270000}"/>
    <cellStyle name="Normal 2 61 5 10" xfId="6833" xr:uid="{00000000-0005-0000-0000-00004E270000}"/>
    <cellStyle name="Normal 2 61 5 10 2" xfId="24584" xr:uid="{00000000-0005-0000-0000-00004F270000}"/>
    <cellStyle name="Normal 2 61 5 11" xfId="6834" xr:uid="{00000000-0005-0000-0000-000050270000}"/>
    <cellStyle name="Normal 2 61 5 11 2" xfId="24585" xr:uid="{00000000-0005-0000-0000-000051270000}"/>
    <cellStyle name="Normal 2 61 5 12" xfId="6835" xr:uid="{00000000-0005-0000-0000-000052270000}"/>
    <cellStyle name="Normal 2 61 5 12 2" xfId="24586" xr:uid="{00000000-0005-0000-0000-000053270000}"/>
    <cellStyle name="Normal 2 61 5 13" xfId="6836" xr:uid="{00000000-0005-0000-0000-000054270000}"/>
    <cellStyle name="Normal 2 61 5 13 2" xfId="24587" xr:uid="{00000000-0005-0000-0000-000055270000}"/>
    <cellStyle name="Normal 2 61 5 14" xfId="6837" xr:uid="{00000000-0005-0000-0000-000056270000}"/>
    <cellStyle name="Normal 2 61 5 14 2" xfId="24588" xr:uid="{00000000-0005-0000-0000-000057270000}"/>
    <cellStyle name="Normal 2 61 5 15" xfId="24583" xr:uid="{00000000-0005-0000-0000-000058270000}"/>
    <cellStyle name="Normal 2 61 5 2" xfId="6838" xr:uid="{00000000-0005-0000-0000-000059270000}"/>
    <cellStyle name="Normal 2 61 5 2 2" xfId="24589" xr:uid="{00000000-0005-0000-0000-00005A270000}"/>
    <cellStyle name="Normal 2 61 5 3" xfId="6839" xr:uid="{00000000-0005-0000-0000-00005B270000}"/>
    <cellStyle name="Normal 2 61 5 3 2" xfId="24590" xr:uid="{00000000-0005-0000-0000-00005C270000}"/>
    <cellStyle name="Normal 2 61 5 4" xfId="6840" xr:uid="{00000000-0005-0000-0000-00005D270000}"/>
    <cellStyle name="Normal 2 61 5 4 2" xfId="24591" xr:uid="{00000000-0005-0000-0000-00005E270000}"/>
    <cellStyle name="Normal 2 61 5 5" xfId="6841" xr:uid="{00000000-0005-0000-0000-00005F270000}"/>
    <cellStyle name="Normal 2 61 5 5 2" xfId="24592" xr:uid="{00000000-0005-0000-0000-000060270000}"/>
    <cellStyle name="Normal 2 61 5 6" xfId="6842" xr:uid="{00000000-0005-0000-0000-000061270000}"/>
    <cellStyle name="Normal 2 61 5 6 2" xfId="24593" xr:uid="{00000000-0005-0000-0000-000062270000}"/>
    <cellStyle name="Normal 2 61 5 7" xfId="6843" xr:uid="{00000000-0005-0000-0000-000063270000}"/>
    <cellStyle name="Normal 2 61 5 7 2" xfId="24594" xr:uid="{00000000-0005-0000-0000-000064270000}"/>
    <cellStyle name="Normal 2 61 5 8" xfId="6844" xr:uid="{00000000-0005-0000-0000-000065270000}"/>
    <cellStyle name="Normal 2 61 5 8 2" xfId="24595" xr:uid="{00000000-0005-0000-0000-000066270000}"/>
    <cellStyle name="Normal 2 61 5 9" xfId="6845" xr:uid="{00000000-0005-0000-0000-000067270000}"/>
    <cellStyle name="Normal 2 61 5 9 2" xfId="24596" xr:uid="{00000000-0005-0000-0000-000068270000}"/>
    <cellStyle name="Normal 2 61 6" xfId="6846" xr:uid="{00000000-0005-0000-0000-000069270000}"/>
    <cellStyle name="Normal 2 61 6 10" xfId="6847" xr:uid="{00000000-0005-0000-0000-00006A270000}"/>
    <cellStyle name="Normal 2 61 6 10 2" xfId="24598" xr:uid="{00000000-0005-0000-0000-00006B270000}"/>
    <cellStyle name="Normal 2 61 6 11" xfId="6848" xr:uid="{00000000-0005-0000-0000-00006C270000}"/>
    <cellStyle name="Normal 2 61 6 11 2" xfId="24599" xr:uid="{00000000-0005-0000-0000-00006D270000}"/>
    <cellStyle name="Normal 2 61 6 12" xfId="6849" xr:uid="{00000000-0005-0000-0000-00006E270000}"/>
    <cellStyle name="Normal 2 61 6 12 2" xfId="24600" xr:uid="{00000000-0005-0000-0000-00006F270000}"/>
    <cellStyle name="Normal 2 61 6 13" xfId="6850" xr:uid="{00000000-0005-0000-0000-000070270000}"/>
    <cellStyle name="Normal 2 61 6 13 2" xfId="24601" xr:uid="{00000000-0005-0000-0000-000071270000}"/>
    <cellStyle name="Normal 2 61 6 14" xfId="6851" xr:uid="{00000000-0005-0000-0000-000072270000}"/>
    <cellStyle name="Normal 2 61 6 14 2" xfId="24602" xr:uid="{00000000-0005-0000-0000-000073270000}"/>
    <cellStyle name="Normal 2 61 6 15" xfId="24597" xr:uid="{00000000-0005-0000-0000-000074270000}"/>
    <cellStyle name="Normal 2 61 6 2" xfId="6852" xr:uid="{00000000-0005-0000-0000-000075270000}"/>
    <cellStyle name="Normal 2 61 6 2 2" xfId="24603" xr:uid="{00000000-0005-0000-0000-000076270000}"/>
    <cellStyle name="Normal 2 61 6 3" xfId="6853" xr:uid="{00000000-0005-0000-0000-000077270000}"/>
    <cellStyle name="Normal 2 61 6 3 2" xfId="24604" xr:uid="{00000000-0005-0000-0000-000078270000}"/>
    <cellStyle name="Normal 2 61 6 4" xfId="6854" xr:uid="{00000000-0005-0000-0000-000079270000}"/>
    <cellStyle name="Normal 2 61 6 4 2" xfId="24605" xr:uid="{00000000-0005-0000-0000-00007A270000}"/>
    <cellStyle name="Normal 2 61 6 5" xfId="6855" xr:uid="{00000000-0005-0000-0000-00007B270000}"/>
    <cellStyle name="Normal 2 61 6 5 2" xfId="24606" xr:uid="{00000000-0005-0000-0000-00007C270000}"/>
    <cellStyle name="Normal 2 61 6 6" xfId="6856" xr:uid="{00000000-0005-0000-0000-00007D270000}"/>
    <cellStyle name="Normal 2 61 6 6 2" xfId="24607" xr:uid="{00000000-0005-0000-0000-00007E270000}"/>
    <cellStyle name="Normal 2 61 6 7" xfId="6857" xr:uid="{00000000-0005-0000-0000-00007F270000}"/>
    <cellStyle name="Normal 2 61 6 7 2" xfId="24608" xr:uid="{00000000-0005-0000-0000-000080270000}"/>
    <cellStyle name="Normal 2 61 6 8" xfId="6858" xr:uid="{00000000-0005-0000-0000-000081270000}"/>
    <cellStyle name="Normal 2 61 6 8 2" xfId="24609" xr:uid="{00000000-0005-0000-0000-000082270000}"/>
    <cellStyle name="Normal 2 61 6 9" xfId="6859" xr:uid="{00000000-0005-0000-0000-000083270000}"/>
    <cellStyle name="Normal 2 61 6 9 2" xfId="24610" xr:uid="{00000000-0005-0000-0000-000084270000}"/>
    <cellStyle name="Normal 2 61 7" xfId="6860" xr:uid="{00000000-0005-0000-0000-000085270000}"/>
    <cellStyle name="Normal 2 61 7 10" xfId="6861" xr:uid="{00000000-0005-0000-0000-000086270000}"/>
    <cellStyle name="Normal 2 61 7 10 2" xfId="24612" xr:uid="{00000000-0005-0000-0000-000087270000}"/>
    <cellStyle name="Normal 2 61 7 11" xfId="6862" xr:uid="{00000000-0005-0000-0000-000088270000}"/>
    <cellStyle name="Normal 2 61 7 11 2" xfId="24613" xr:uid="{00000000-0005-0000-0000-000089270000}"/>
    <cellStyle name="Normal 2 61 7 12" xfId="6863" xr:uid="{00000000-0005-0000-0000-00008A270000}"/>
    <cellStyle name="Normal 2 61 7 12 2" xfId="24614" xr:uid="{00000000-0005-0000-0000-00008B270000}"/>
    <cellStyle name="Normal 2 61 7 13" xfId="6864" xr:uid="{00000000-0005-0000-0000-00008C270000}"/>
    <cellStyle name="Normal 2 61 7 13 2" xfId="24615" xr:uid="{00000000-0005-0000-0000-00008D270000}"/>
    <cellStyle name="Normal 2 61 7 14" xfId="6865" xr:uid="{00000000-0005-0000-0000-00008E270000}"/>
    <cellStyle name="Normal 2 61 7 14 2" xfId="24616" xr:uid="{00000000-0005-0000-0000-00008F270000}"/>
    <cellStyle name="Normal 2 61 7 15" xfId="24611" xr:uid="{00000000-0005-0000-0000-000090270000}"/>
    <cellStyle name="Normal 2 61 7 2" xfId="6866" xr:uid="{00000000-0005-0000-0000-000091270000}"/>
    <cellStyle name="Normal 2 61 7 2 2" xfId="24617" xr:uid="{00000000-0005-0000-0000-000092270000}"/>
    <cellStyle name="Normal 2 61 7 3" xfId="6867" xr:uid="{00000000-0005-0000-0000-000093270000}"/>
    <cellStyle name="Normal 2 61 7 3 2" xfId="24618" xr:uid="{00000000-0005-0000-0000-000094270000}"/>
    <cellStyle name="Normal 2 61 7 4" xfId="6868" xr:uid="{00000000-0005-0000-0000-000095270000}"/>
    <cellStyle name="Normal 2 61 7 4 2" xfId="24619" xr:uid="{00000000-0005-0000-0000-000096270000}"/>
    <cellStyle name="Normal 2 61 7 5" xfId="6869" xr:uid="{00000000-0005-0000-0000-000097270000}"/>
    <cellStyle name="Normal 2 61 7 5 2" xfId="24620" xr:uid="{00000000-0005-0000-0000-000098270000}"/>
    <cellStyle name="Normal 2 61 7 6" xfId="6870" xr:uid="{00000000-0005-0000-0000-000099270000}"/>
    <cellStyle name="Normal 2 61 7 6 2" xfId="24621" xr:uid="{00000000-0005-0000-0000-00009A270000}"/>
    <cellStyle name="Normal 2 61 7 7" xfId="6871" xr:uid="{00000000-0005-0000-0000-00009B270000}"/>
    <cellStyle name="Normal 2 61 7 7 2" xfId="24622" xr:uid="{00000000-0005-0000-0000-00009C270000}"/>
    <cellStyle name="Normal 2 61 7 8" xfId="6872" xr:uid="{00000000-0005-0000-0000-00009D270000}"/>
    <cellStyle name="Normal 2 61 7 8 2" xfId="24623" xr:uid="{00000000-0005-0000-0000-00009E270000}"/>
    <cellStyle name="Normal 2 61 7 9" xfId="6873" xr:uid="{00000000-0005-0000-0000-00009F270000}"/>
    <cellStyle name="Normal 2 61 7 9 2" xfId="24624" xr:uid="{00000000-0005-0000-0000-0000A0270000}"/>
    <cellStyle name="Normal 2 61 8" xfId="6874" xr:uid="{00000000-0005-0000-0000-0000A1270000}"/>
    <cellStyle name="Normal 2 61 8 10" xfId="6875" xr:uid="{00000000-0005-0000-0000-0000A2270000}"/>
    <cellStyle name="Normal 2 61 8 10 2" xfId="24626" xr:uid="{00000000-0005-0000-0000-0000A3270000}"/>
    <cellStyle name="Normal 2 61 8 11" xfId="6876" xr:uid="{00000000-0005-0000-0000-0000A4270000}"/>
    <cellStyle name="Normal 2 61 8 11 2" xfId="24627" xr:uid="{00000000-0005-0000-0000-0000A5270000}"/>
    <cellStyle name="Normal 2 61 8 12" xfId="6877" xr:uid="{00000000-0005-0000-0000-0000A6270000}"/>
    <cellStyle name="Normal 2 61 8 12 2" xfId="24628" xr:uid="{00000000-0005-0000-0000-0000A7270000}"/>
    <cellStyle name="Normal 2 61 8 13" xfId="6878" xr:uid="{00000000-0005-0000-0000-0000A8270000}"/>
    <cellStyle name="Normal 2 61 8 13 2" xfId="24629" xr:uid="{00000000-0005-0000-0000-0000A9270000}"/>
    <cellStyle name="Normal 2 61 8 14" xfId="6879" xr:uid="{00000000-0005-0000-0000-0000AA270000}"/>
    <cellStyle name="Normal 2 61 8 14 2" xfId="24630" xr:uid="{00000000-0005-0000-0000-0000AB270000}"/>
    <cellStyle name="Normal 2 61 8 15" xfId="24625" xr:uid="{00000000-0005-0000-0000-0000AC270000}"/>
    <cellStyle name="Normal 2 61 8 2" xfId="6880" xr:uid="{00000000-0005-0000-0000-0000AD270000}"/>
    <cellStyle name="Normal 2 61 8 2 2" xfId="24631" xr:uid="{00000000-0005-0000-0000-0000AE270000}"/>
    <cellStyle name="Normal 2 61 8 3" xfId="6881" xr:uid="{00000000-0005-0000-0000-0000AF270000}"/>
    <cellStyle name="Normal 2 61 8 3 2" xfId="24632" xr:uid="{00000000-0005-0000-0000-0000B0270000}"/>
    <cellStyle name="Normal 2 61 8 4" xfId="6882" xr:uid="{00000000-0005-0000-0000-0000B1270000}"/>
    <cellStyle name="Normal 2 61 8 4 2" xfId="24633" xr:uid="{00000000-0005-0000-0000-0000B2270000}"/>
    <cellStyle name="Normal 2 61 8 5" xfId="6883" xr:uid="{00000000-0005-0000-0000-0000B3270000}"/>
    <cellStyle name="Normal 2 61 8 5 2" xfId="24634" xr:uid="{00000000-0005-0000-0000-0000B4270000}"/>
    <cellStyle name="Normal 2 61 8 6" xfId="6884" xr:uid="{00000000-0005-0000-0000-0000B5270000}"/>
    <cellStyle name="Normal 2 61 8 6 2" xfId="24635" xr:uid="{00000000-0005-0000-0000-0000B6270000}"/>
    <cellStyle name="Normal 2 61 8 7" xfId="6885" xr:uid="{00000000-0005-0000-0000-0000B7270000}"/>
    <cellStyle name="Normal 2 61 8 7 2" xfId="24636" xr:uid="{00000000-0005-0000-0000-0000B8270000}"/>
    <cellStyle name="Normal 2 61 8 8" xfId="6886" xr:uid="{00000000-0005-0000-0000-0000B9270000}"/>
    <cellStyle name="Normal 2 61 8 8 2" xfId="24637" xr:uid="{00000000-0005-0000-0000-0000BA270000}"/>
    <cellStyle name="Normal 2 61 8 9" xfId="6887" xr:uid="{00000000-0005-0000-0000-0000BB270000}"/>
    <cellStyle name="Normal 2 61 8 9 2" xfId="24638" xr:uid="{00000000-0005-0000-0000-0000BC270000}"/>
    <cellStyle name="Normal 2 61 9" xfId="6888" xr:uid="{00000000-0005-0000-0000-0000BD270000}"/>
    <cellStyle name="Normal 2 61 9 10" xfId="6889" xr:uid="{00000000-0005-0000-0000-0000BE270000}"/>
    <cellStyle name="Normal 2 61 9 10 2" xfId="24640" xr:uid="{00000000-0005-0000-0000-0000BF270000}"/>
    <cellStyle name="Normal 2 61 9 11" xfId="6890" xr:uid="{00000000-0005-0000-0000-0000C0270000}"/>
    <cellStyle name="Normal 2 61 9 11 2" xfId="24641" xr:uid="{00000000-0005-0000-0000-0000C1270000}"/>
    <cellStyle name="Normal 2 61 9 12" xfId="6891" xr:uid="{00000000-0005-0000-0000-0000C2270000}"/>
    <cellStyle name="Normal 2 61 9 12 2" xfId="24642" xr:uid="{00000000-0005-0000-0000-0000C3270000}"/>
    <cellStyle name="Normal 2 61 9 13" xfId="6892" xr:uid="{00000000-0005-0000-0000-0000C4270000}"/>
    <cellStyle name="Normal 2 61 9 13 2" xfId="24643" xr:uid="{00000000-0005-0000-0000-0000C5270000}"/>
    <cellStyle name="Normal 2 61 9 14" xfId="6893" xr:uid="{00000000-0005-0000-0000-0000C6270000}"/>
    <cellStyle name="Normal 2 61 9 14 2" xfId="24644" xr:uid="{00000000-0005-0000-0000-0000C7270000}"/>
    <cellStyle name="Normal 2 61 9 15" xfId="24639" xr:uid="{00000000-0005-0000-0000-0000C8270000}"/>
    <cellStyle name="Normal 2 61 9 2" xfId="6894" xr:uid="{00000000-0005-0000-0000-0000C9270000}"/>
    <cellStyle name="Normal 2 61 9 2 2" xfId="24645" xr:uid="{00000000-0005-0000-0000-0000CA270000}"/>
    <cellStyle name="Normal 2 61 9 3" xfId="6895" xr:uid="{00000000-0005-0000-0000-0000CB270000}"/>
    <cellStyle name="Normal 2 61 9 3 2" xfId="24646" xr:uid="{00000000-0005-0000-0000-0000CC270000}"/>
    <cellStyle name="Normal 2 61 9 4" xfId="6896" xr:uid="{00000000-0005-0000-0000-0000CD270000}"/>
    <cellStyle name="Normal 2 61 9 4 2" xfId="24647" xr:uid="{00000000-0005-0000-0000-0000CE270000}"/>
    <cellStyle name="Normal 2 61 9 5" xfId="6897" xr:uid="{00000000-0005-0000-0000-0000CF270000}"/>
    <cellStyle name="Normal 2 61 9 5 2" xfId="24648" xr:uid="{00000000-0005-0000-0000-0000D0270000}"/>
    <cellStyle name="Normal 2 61 9 6" xfId="6898" xr:uid="{00000000-0005-0000-0000-0000D1270000}"/>
    <cellStyle name="Normal 2 61 9 6 2" xfId="24649" xr:uid="{00000000-0005-0000-0000-0000D2270000}"/>
    <cellStyle name="Normal 2 61 9 7" xfId="6899" xr:uid="{00000000-0005-0000-0000-0000D3270000}"/>
    <cellStyle name="Normal 2 61 9 7 2" xfId="24650" xr:uid="{00000000-0005-0000-0000-0000D4270000}"/>
    <cellStyle name="Normal 2 61 9 8" xfId="6900" xr:uid="{00000000-0005-0000-0000-0000D5270000}"/>
    <cellStyle name="Normal 2 61 9 8 2" xfId="24651" xr:uid="{00000000-0005-0000-0000-0000D6270000}"/>
    <cellStyle name="Normal 2 61 9 9" xfId="6901" xr:uid="{00000000-0005-0000-0000-0000D7270000}"/>
    <cellStyle name="Normal 2 61 9 9 2" xfId="24652" xr:uid="{00000000-0005-0000-0000-0000D8270000}"/>
    <cellStyle name="Normal 2 62" xfId="6902" xr:uid="{00000000-0005-0000-0000-0000D9270000}"/>
    <cellStyle name="Normal 2 62 10" xfId="6903" xr:uid="{00000000-0005-0000-0000-0000DA270000}"/>
    <cellStyle name="Normal 2 62 10 10" xfId="6904" xr:uid="{00000000-0005-0000-0000-0000DB270000}"/>
    <cellStyle name="Normal 2 62 10 10 2" xfId="24655" xr:uid="{00000000-0005-0000-0000-0000DC270000}"/>
    <cellStyle name="Normal 2 62 10 11" xfId="6905" xr:uid="{00000000-0005-0000-0000-0000DD270000}"/>
    <cellStyle name="Normal 2 62 10 11 2" xfId="24656" xr:uid="{00000000-0005-0000-0000-0000DE270000}"/>
    <cellStyle name="Normal 2 62 10 12" xfId="6906" xr:uid="{00000000-0005-0000-0000-0000DF270000}"/>
    <cellStyle name="Normal 2 62 10 12 2" xfId="24657" xr:uid="{00000000-0005-0000-0000-0000E0270000}"/>
    <cellStyle name="Normal 2 62 10 13" xfId="6907" xr:uid="{00000000-0005-0000-0000-0000E1270000}"/>
    <cellStyle name="Normal 2 62 10 13 2" xfId="24658" xr:uid="{00000000-0005-0000-0000-0000E2270000}"/>
    <cellStyle name="Normal 2 62 10 14" xfId="6908" xr:uid="{00000000-0005-0000-0000-0000E3270000}"/>
    <cellStyle name="Normal 2 62 10 14 2" xfId="24659" xr:uid="{00000000-0005-0000-0000-0000E4270000}"/>
    <cellStyle name="Normal 2 62 10 15" xfId="24654" xr:uid="{00000000-0005-0000-0000-0000E5270000}"/>
    <cellStyle name="Normal 2 62 10 2" xfId="6909" xr:uid="{00000000-0005-0000-0000-0000E6270000}"/>
    <cellStyle name="Normal 2 62 10 2 2" xfId="24660" xr:uid="{00000000-0005-0000-0000-0000E7270000}"/>
    <cellStyle name="Normal 2 62 10 3" xfId="6910" xr:uid="{00000000-0005-0000-0000-0000E8270000}"/>
    <cellStyle name="Normal 2 62 10 3 2" xfId="24661" xr:uid="{00000000-0005-0000-0000-0000E9270000}"/>
    <cellStyle name="Normal 2 62 10 4" xfId="6911" xr:uid="{00000000-0005-0000-0000-0000EA270000}"/>
    <cellStyle name="Normal 2 62 10 4 2" xfId="24662" xr:uid="{00000000-0005-0000-0000-0000EB270000}"/>
    <cellStyle name="Normal 2 62 10 5" xfId="6912" xr:uid="{00000000-0005-0000-0000-0000EC270000}"/>
    <cellStyle name="Normal 2 62 10 5 2" xfId="24663" xr:uid="{00000000-0005-0000-0000-0000ED270000}"/>
    <cellStyle name="Normal 2 62 10 6" xfId="6913" xr:uid="{00000000-0005-0000-0000-0000EE270000}"/>
    <cellStyle name="Normal 2 62 10 6 2" xfId="24664" xr:uid="{00000000-0005-0000-0000-0000EF270000}"/>
    <cellStyle name="Normal 2 62 10 7" xfId="6914" xr:uid="{00000000-0005-0000-0000-0000F0270000}"/>
    <cellStyle name="Normal 2 62 10 7 2" xfId="24665" xr:uid="{00000000-0005-0000-0000-0000F1270000}"/>
    <cellStyle name="Normal 2 62 10 8" xfId="6915" xr:uid="{00000000-0005-0000-0000-0000F2270000}"/>
    <cellStyle name="Normal 2 62 10 8 2" xfId="24666" xr:uid="{00000000-0005-0000-0000-0000F3270000}"/>
    <cellStyle name="Normal 2 62 10 9" xfId="6916" xr:uid="{00000000-0005-0000-0000-0000F4270000}"/>
    <cellStyle name="Normal 2 62 10 9 2" xfId="24667" xr:uid="{00000000-0005-0000-0000-0000F5270000}"/>
    <cellStyle name="Normal 2 62 11" xfId="6917" xr:uid="{00000000-0005-0000-0000-0000F6270000}"/>
    <cellStyle name="Normal 2 62 11 2" xfId="24668" xr:uid="{00000000-0005-0000-0000-0000F7270000}"/>
    <cellStyle name="Normal 2 62 12" xfId="6918" xr:uid="{00000000-0005-0000-0000-0000F8270000}"/>
    <cellStyle name="Normal 2 62 12 2" xfId="24669" xr:uid="{00000000-0005-0000-0000-0000F9270000}"/>
    <cellStyle name="Normal 2 62 13" xfId="6919" xr:uid="{00000000-0005-0000-0000-0000FA270000}"/>
    <cellStyle name="Normal 2 62 13 2" xfId="24670" xr:uid="{00000000-0005-0000-0000-0000FB270000}"/>
    <cellStyle name="Normal 2 62 14" xfId="6920" xr:uid="{00000000-0005-0000-0000-0000FC270000}"/>
    <cellStyle name="Normal 2 62 14 2" xfId="24671" xr:uid="{00000000-0005-0000-0000-0000FD270000}"/>
    <cellStyle name="Normal 2 62 15" xfId="6921" xr:uid="{00000000-0005-0000-0000-0000FE270000}"/>
    <cellStyle name="Normal 2 62 15 2" xfId="24672" xr:uid="{00000000-0005-0000-0000-0000FF270000}"/>
    <cellStyle name="Normal 2 62 16" xfId="6922" xr:uid="{00000000-0005-0000-0000-000000280000}"/>
    <cellStyle name="Normal 2 62 16 2" xfId="24673" xr:uid="{00000000-0005-0000-0000-000001280000}"/>
    <cellStyle name="Normal 2 62 17" xfId="6923" xr:uid="{00000000-0005-0000-0000-000002280000}"/>
    <cellStyle name="Normal 2 62 17 2" xfId="24674" xr:uid="{00000000-0005-0000-0000-000003280000}"/>
    <cellStyle name="Normal 2 62 18" xfId="6924" xr:uid="{00000000-0005-0000-0000-000004280000}"/>
    <cellStyle name="Normal 2 62 18 2" xfId="24675" xr:uid="{00000000-0005-0000-0000-000005280000}"/>
    <cellStyle name="Normal 2 62 19" xfId="6925" xr:uid="{00000000-0005-0000-0000-000006280000}"/>
    <cellStyle name="Normal 2 62 19 2" xfId="24676" xr:uid="{00000000-0005-0000-0000-000007280000}"/>
    <cellStyle name="Normal 2 62 2" xfId="6926" xr:uid="{00000000-0005-0000-0000-000008280000}"/>
    <cellStyle name="Normal 2 62 2 10" xfId="6927" xr:uid="{00000000-0005-0000-0000-000009280000}"/>
    <cellStyle name="Normal 2 62 2 10 2" xfId="24678" xr:uid="{00000000-0005-0000-0000-00000A280000}"/>
    <cellStyle name="Normal 2 62 2 11" xfId="6928" xr:uid="{00000000-0005-0000-0000-00000B280000}"/>
    <cellStyle name="Normal 2 62 2 11 2" xfId="24679" xr:uid="{00000000-0005-0000-0000-00000C280000}"/>
    <cellStyle name="Normal 2 62 2 12" xfId="6929" xr:uid="{00000000-0005-0000-0000-00000D280000}"/>
    <cellStyle name="Normal 2 62 2 12 2" xfId="24680" xr:uid="{00000000-0005-0000-0000-00000E280000}"/>
    <cellStyle name="Normal 2 62 2 13" xfId="6930" xr:uid="{00000000-0005-0000-0000-00000F280000}"/>
    <cellStyle name="Normal 2 62 2 13 2" xfId="24681" xr:uid="{00000000-0005-0000-0000-000010280000}"/>
    <cellStyle name="Normal 2 62 2 14" xfId="6931" xr:uid="{00000000-0005-0000-0000-000011280000}"/>
    <cellStyle name="Normal 2 62 2 14 2" xfId="24682" xr:uid="{00000000-0005-0000-0000-000012280000}"/>
    <cellStyle name="Normal 2 62 2 15" xfId="6932" xr:uid="{00000000-0005-0000-0000-000013280000}"/>
    <cellStyle name="Normal 2 62 2 15 2" xfId="24683" xr:uid="{00000000-0005-0000-0000-000014280000}"/>
    <cellStyle name="Normal 2 62 2 16" xfId="24677" xr:uid="{00000000-0005-0000-0000-000015280000}"/>
    <cellStyle name="Normal 2 62 2 2" xfId="6933" xr:uid="{00000000-0005-0000-0000-000016280000}"/>
    <cellStyle name="Normal 2 62 2 2 10" xfId="6934" xr:uid="{00000000-0005-0000-0000-000017280000}"/>
    <cellStyle name="Normal 2 62 2 2 10 2" xfId="24685" xr:uid="{00000000-0005-0000-0000-000018280000}"/>
    <cellStyle name="Normal 2 62 2 2 11" xfId="6935" xr:uid="{00000000-0005-0000-0000-000019280000}"/>
    <cellStyle name="Normal 2 62 2 2 11 2" xfId="24686" xr:uid="{00000000-0005-0000-0000-00001A280000}"/>
    <cellStyle name="Normal 2 62 2 2 12" xfId="6936" xr:uid="{00000000-0005-0000-0000-00001B280000}"/>
    <cellStyle name="Normal 2 62 2 2 12 2" xfId="24687" xr:uid="{00000000-0005-0000-0000-00001C280000}"/>
    <cellStyle name="Normal 2 62 2 2 13" xfId="6937" xr:uid="{00000000-0005-0000-0000-00001D280000}"/>
    <cellStyle name="Normal 2 62 2 2 13 2" xfId="24688" xr:uid="{00000000-0005-0000-0000-00001E280000}"/>
    <cellStyle name="Normal 2 62 2 2 14" xfId="6938" xr:uid="{00000000-0005-0000-0000-00001F280000}"/>
    <cellStyle name="Normal 2 62 2 2 14 2" xfId="24689" xr:uid="{00000000-0005-0000-0000-000020280000}"/>
    <cellStyle name="Normal 2 62 2 2 15" xfId="24684" xr:uid="{00000000-0005-0000-0000-000021280000}"/>
    <cellStyle name="Normal 2 62 2 2 2" xfId="6939" xr:uid="{00000000-0005-0000-0000-000022280000}"/>
    <cellStyle name="Normal 2 62 2 2 2 2" xfId="24690" xr:uid="{00000000-0005-0000-0000-000023280000}"/>
    <cellStyle name="Normal 2 62 2 2 3" xfId="6940" xr:uid="{00000000-0005-0000-0000-000024280000}"/>
    <cellStyle name="Normal 2 62 2 2 3 2" xfId="24691" xr:uid="{00000000-0005-0000-0000-000025280000}"/>
    <cellStyle name="Normal 2 62 2 2 4" xfId="6941" xr:uid="{00000000-0005-0000-0000-000026280000}"/>
    <cellStyle name="Normal 2 62 2 2 4 2" xfId="24692" xr:uid="{00000000-0005-0000-0000-000027280000}"/>
    <cellStyle name="Normal 2 62 2 2 5" xfId="6942" xr:uid="{00000000-0005-0000-0000-000028280000}"/>
    <cellStyle name="Normal 2 62 2 2 5 2" xfId="24693" xr:uid="{00000000-0005-0000-0000-000029280000}"/>
    <cellStyle name="Normal 2 62 2 2 6" xfId="6943" xr:uid="{00000000-0005-0000-0000-00002A280000}"/>
    <cellStyle name="Normal 2 62 2 2 6 2" xfId="24694" xr:uid="{00000000-0005-0000-0000-00002B280000}"/>
    <cellStyle name="Normal 2 62 2 2 7" xfId="6944" xr:uid="{00000000-0005-0000-0000-00002C280000}"/>
    <cellStyle name="Normal 2 62 2 2 7 2" xfId="24695" xr:uid="{00000000-0005-0000-0000-00002D280000}"/>
    <cellStyle name="Normal 2 62 2 2 8" xfId="6945" xr:uid="{00000000-0005-0000-0000-00002E280000}"/>
    <cellStyle name="Normal 2 62 2 2 8 2" xfId="24696" xr:uid="{00000000-0005-0000-0000-00002F280000}"/>
    <cellStyle name="Normal 2 62 2 2 9" xfId="6946" xr:uid="{00000000-0005-0000-0000-000030280000}"/>
    <cellStyle name="Normal 2 62 2 2 9 2" xfId="24697" xr:uid="{00000000-0005-0000-0000-000031280000}"/>
    <cellStyle name="Normal 2 62 2 3" xfId="6947" xr:uid="{00000000-0005-0000-0000-000032280000}"/>
    <cellStyle name="Normal 2 62 2 3 2" xfId="24698" xr:uid="{00000000-0005-0000-0000-000033280000}"/>
    <cellStyle name="Normal 2 62 2 4" xfId="6948" xr:uid="{00000000-0005-0000-0000-000034280000}"/>
    <cellStyle name="Normal 2 62 2 4 2" xfId="24699" xr:uid="{00000000-0005-0000-0000-000035280000}"/>
    <cellStyle name="Normal 2 62 2 5" xfId="6949" xr:uid="{00000000-0005-0000-0000-000036280000}"/>
    <cellStyle name="Normal 2 62 2 5 2" xfId="24700" xr:uid="{00000000-0005-0000-0000-000037280000}"/>
    <cellStyle name="Normal 2 62 2 6" xfId="6950" xr:uid="{00000000-0005-0000-0000-000038280000}"/>
    <cellStyle name="Normal 2 62 2 6 2" xfId="24701" xr:uid="{00000000-0005-0000-0000-000039280000}"/>
    <cellStyle name="Normal 2 62 2 7" xfId="6951" xr:uid="{00000000-0005-0000-0000-00003A280000}"/>
    <cellStyle name="Normal 2 62 2 7 2" xfId="24702" xr:uid="{00000000-0005-0000-0000-00003B280000}"/>
    <cellStyle name="Normal 2 62 2 8" xfId="6952" xr:uid="{00000000-0005-0000-0000-00003C280000}"/>
    <cellStyle name="Normal 2 62 2 8 2" xfId="24703" xr:uid="{00000000-0005-0000-0000-00003D280000}"/>
    <cellStyle name="Normal 2 62 2 9" xfId="6953" xr:uid="{00000000-0005-0000-0000-00003E280000}"/>
    <cellStyle name="Normal 2 62 2 9 2" xfId="24704" xr:uid="{00000000-0005-0000-0000-00003F280000}"/>
    <cellStyle name="Normal 2 62 20" xfId="6954" xr:uid="{00000000-0005-0000-0000-000040280000}"/>
    <cellStyle name="Normal 2 62 20 2" xfId="24705" xr:uid="{00000000-0005-0000-0000-000041280000}"/>
    <cellStyle name="Normal 2 62 21" xfId="6955" xr:uid="{00000000-0005-0000-0000-000042280000}"/>
    <cellStyle name="Normal 2 62 21 2" xfId="24706" xr:uid="{00000000-0005-0000-0000-000043280000}"/>
    <cellStyle name="Normal 2 62 22" xfId="6956" xr:uid="{00000000-0005-0000-0000-000044280000}"/>
    <cellStyle name="Normal 2 62 22 2" xfId="24707" xr:uid="{00000000-0005-0000-0000-000045280000}"/>
    <cellStyle name="Normal 2 62 23" xfId="6957" xr:uid="{00000000-0005-0000-0000-000046280000}"/>
    <cellStyle name="Normal 2 62 23 2" xfId="24708" xr:uid="{00000000-0005-0000-0000-000047280000}"/>
    <cellStyle name="Normal 2 62 24" xfId="24653" xr:uid="{00000000-0005-0000-0000-000048280000}"/>
    <cellStyle name="Normal 2 62 3" xfId="6958" xr:uid="{00000000-0005-0000-0000-000049280000}"/>
    <cellStyle name="Normal 2 62 3 10" xfId="6959" xr:uid="{00000000-0005-0000-0000-00004A280000}"/>
    <cellStyle name="Normal 2 62 3 10 2" xfId="24710" xr:uid="{00000000-0005-0000-0000-00004B280000}"/>
    <cellStyle name="Normal 2 62 3 11" xfId="6960" xr:uid="{00000000-0005-0000-0000-00004C280000}"/>
    <cellStyle name="Normal 2 62 3 11 2" xfId="24711" xr:uid="{00000000-0005-0000-0000-00004D280000}"/>
    <cellStyle name="Normal 2 62 3 12" xfId="6961" xr:uid="{00000000-0005-0000-0000-00004E280000}"/>
    <cellStyle name="Normal 2 62 3 12 2" xfId="24712" xr:uid="{00000000-0005-0000-0000-00004F280000}"/>
    <cellStyle name="Normal 2 62 3 13" xfId="6962" xr:uid="{00000000-0005-0000-0000-000050280000}"/>
    <cellStyle name="Normal 2 62 3 13 2" xfId="24713" xr:uid="{00000000-0005-0000-0000-000051280000}"/>
    <cellStyle name="Normal 2 62 3 14" xfId="6963" xr:uid="{00000000-0005-0000-0000-000052280000}"/>
    <cellStyle name="Normal 2 62 3 14 2" xfId="24714" xr:uid="{00000000-0005-0000-0000-000053280000}"/>
    <cellStyle name="Normal 2 62 3 15" xfId="6964" xr:uid="{00000000-0005-0000-0000-000054280000}"/>
    <cellStyle name="Normal 2 62 3 15 2" xfId="24715" xr:uid="{00000000-0005-0000-0000-000055280000}"/>
    <cellStyle name="Normal 2 62 3 16" xfId="24709" xr:uid="{00000000-0005-0000-0000-000056280000}"/>
    <cellStyle name="Normal 2 62 3 2" xfId="6965" xr:uid="{00000000-0005-0000-0000-000057280000}"/>
    <cellStyle name="Normal 2 62 3 2 10" xfId="6966" xr:uid="{00000000-0005-0000-0000-000058280000}"/>
    <cellStyle name="Normal 2 62 3 2 10 2" xfId="24717" xr:uid="{00000000-0005-0000-0000-000059280000}"/>
    <cellStyle name="Normal 2 62 3 2 11" xfId="6967" xr:uid="{00000000-0005-0000-0000-00005A280000}"/>
    <cellStyle name="Normal 2 62 3 2 11 2" xfId="24718" xr:uid="{00000000-0005-0000-0000-00005B280000}"/>
    <cellStyle name="Normal 2 62 3 2 12" xfId="6968" xr:uid="{00000000-0005-0000-0000-00005C280000}"/>
    <cellStyle name="Normal 2 62 3 2 12 2" xfId="24719" xr:uid="{00000000-0005-0000-0000-00005D280000}"/>
    <cellStyle name="Normal 2 62 3 2 13" xfId="6969" xr:uid="{00000000-0005-0000-0000-00005E280000}"/>
    <cellStyle name="Normal 2 62 3 2 13 2" xfId="24720" xr:uid="{00000000-0005-0000-0000-00005F280000}"/>
    <cellStyle name="Normal 2 62 3 2 14" xfId="6970" xr:uid="{00000000-0005-0000-0000-000060280000}"/>
    <cellStyle name="Normal 2 62 3 2 14 2" xfId="24721" xr:uid="{00000000-0005-0000-0000-000061280000}"/>
    <cellStyle name="Normal 2 62 3 2 15" xfId="24716" xr:uid="{00000000-0005-0000-0000-000062280000}"/>
    <cellStyle name="Normal 2 62 3 2 2" xfId="6971" xr:uid="{00000000-0005-0000-0000-000063280000}"/>
    <cellStyle name="Normal 2 62 3 2 2 2" xfId="24722" xr:uid="{00000000-0005-0000-0000-000064280000}"/>
    <cellStyle name="Normal 2 62 3 2 3" xfId="6972" xr:uid="{00000000-0005-0000-0000-000065280000}"/>
    <cellStyle name="Normal 2 62 3 2 3 2" xfId="24723" xr:uid="{00000000-0005-0000-0000-000066280000}"/>
    <cellStyle name="Normal 2 62 3 2 4" xfId="6973" xr:uid="{00000000-0005-0000-0000-000067280000}"/>
    <cellStyle name="Normal 2 62 3 2 4 2" xfId="24724" xr:uid="{00000000-0005-0000-0000-000068280000}"/>
    <cellStyle name="Normal 2 62 3 2 5" xfId="6974" xr:uid="{00000000-0005-0000-0000-000069280000}"/>
    <cellStyle name="Normal 2 62 3 2 5 2" xfId="24725" xr:uid="{00000000-0005-0000-0000-00006A280000}"/>
    <cellStyle name="Normal 2 62 3 2 6" xfId="6975" xr:uid="{00000000-0005-0000-0000-00006B280000}"/>
    <cellStyle name="Normal 2 62 3 2 6 2" xfId="24726" xr:uid="{00000000-0005-0000-0000-00006C280000}"/>
    <cellStyle name="Normal 2 62 3 2 7" xfId="6976" xr:uid="{00000000-0005-0000-0000-00006D280000}"/>
    <cellStyle name="Normal 2 62 3 2 7 2" xfId="24727" xr:uid="{00000000-0005-0000-0000-00006E280000}"/>
    <cellStyle name="Normal 2 62 3 2 8" xfId="6977" xr:uid="{00000000-0005-0000-0000-00006F280000}"/>
    <cellStyle name="Normal 2 62 3 2 8 2" xfId="24728" xr:uid="{00000000-0005-0000-0000-000070280000}"/>
    <cellStyle name="Normal 2 62 3 2 9" xfId="6978" xr:uid="{00000000-0005-0000-0000-000071280000}"/>
    <cellStyle name="Normal 2 62 3 2 9 2" xfId="24729" xr:uid="{00000000-0005-0000-0000-000072280000}"/>
    <cellStyle name="Normal 2 62 3 3" xfId="6979" xr:uid="{00000000-0005-0000-0000-000073280000}"/>
    <cellStyle name="Normal 2 62 3 3 2" xfId="24730" xr:uid="{00000000-0005-0000-0000-000074280000}"/>
    <cellStyle name="Normal 2 62 3 4" xfId="6980" xr:uid="{00000000-0005-0000-0000-000075280000}"/>
    <cellStyle name="Normal 2 62 3 4 2" xfId="24731" xr:uid="{00000000-0005-0000-0000-000076280000}"/>
    <cellStyle name="Normal 2 62 3 5" xfId="6981" xr:uid="{00000000-0005-0000-0000-000077280000}"/>
    <cellStyle name="Normal 2 62 3 5 2" xfId="24732" xr:uid="{00000000-0005-0000-0000-000078280000}"/>
    <cellStyle name="Normal 2 62 3 6" xfId="6982" xr:uid="{00000000-0005-0000-0000-000079280000}"/>
    <cellStyle name="Normal 2 62 3 6 2" xfId="24733" xr:uid="{00000000-0005-0000-0000-00007A280000}"/>
    <cellStyle name="Normal 2 62 3 7" xfId="6983" xr:uid="{00000000-0005-0000-0000-00007B280000}"/>
    <cellStyle name="Normal 2 62 3 7 2" xfId="24734" xr:uid="{00000000-0005-0000-0000-00007C280000}"/>
    <cellStyle name="Normal 2 62 3 8" xfId="6984" xr:uid="{00000000-0005-0000-0000-00007D280000}"/>
    <cellStyle name="Normal 2 62 3 8 2" xfId="24735" xr:uid="{00000000-0005-0000-0000-00007E280000}"/>
    <cellStyle name="Normal 2 62 3 9" xfId="6985" xr:uid="{00000000-0005-0000-0000-00007F280000}"/>
    <cellStyle name="Normal 2 62 3 9 2" xfId="24736" xr:uid="{00000000-0005-0000-0000-000080280000}"/>
    <cellStyle name="Normal 2 62 4" xfId="6986" xr:uid="{00000000-0005-0000-0000-000081280000}"/>
    <cellStyle name="Normal 2 62 4 10" xfId="6987" xr:uid="{00000000-0005-0000-0000-000082280000}"/>
    <cellStyle name="Normal 2 62 4 10 2" xfId="24738" xr:uid="{00000000-0005-0000-0000-000083280000}"/>
    <cellStyle name="Normal 2 62 4 11" xfId="6988" xr:uid="{00000000-0005-0000-0000-000084280000}"/>
    <cellStyle name="Normal 2 62 4 11 2" xfId="24739" xr:uid="{00000000-0005-0000-0000-000085280000}"/>
    <cellStyle name="Normal 2 62 4 12" xfId="6989" xr:uid="{00000000-0005-0000-0000-000086280000}"/>
    <cellStyle name="Normal 2 62 4 12 2" xfId="24740" xr:uid="{00000000-0005-0000-0000-000087280000}"/>
    <cellStyle name="Normal 2 62 4 13" xfId="6990" xr:uid="{00000000-0005-0000-0000-000088280000}"/>
    <cellStyle name="Normal 2 62 4 13 2" xfId="24741" xr:uid="{00000000-0005-0000-0000-000089280000}"/>
    <cellStyle name="Normal 2 62 4 14" xfId="6991" xr:uid="{00000000-0005-0000-0000-00008A280000}"/>
    <cellStyle name="Normal 2 62 4 14 2" xfId="24742" xr:uid="{00000000-0005-0000-0000-00008B280000}"/>
    <cellStyle name="Normal 2 62 4 15" xfId="6992" xr:uid="{00000000-0005-0000-0000-00008C280000}"/>
    <cellStyle name="Normal 2 62 4 15 2" xfId="24743" xr:uid="{00000000-0005-0000-0000-00008D280000}"/>
    <cellStyle name="Normal 2 62 4 16" xfId="24737" xr:uid="{00000000-0005-0000-0000-00008E280000}"/>
    <cellStyle name="Normal 2 62 4 2" xfId="6993" xr:uid="{00000000-0005-0000-0000-00008F280000}"/>
    <cellStyle name="Normal 2 62 4 2 10" xfId="6994" xr:uid="{00000000-0005-0000-0000-000090280000}"/>
    <cellStyle name="Normal 2 62 4 2 10 2" xfId="24745" xr:uid="{00000000-0005-0000-0000-000091280000}"/>
    <cellStyle name="Normal 2 62 4 2 11" xfId="6995" xr:uid="{00000000-0005-0000-0000-000092280000}"/>
    <cellStyle name="Normal 2 62 4 2 11 2" xfId="24746" xr:uid="{00000000-0005-0000-0000-000093280000}"/>
    <cellStyle name="Normal 2 62 4 2 12" xfId="6996" xr:uid="{00000000-0005-0000-0000-000094280000}"/>
    <cellStyle name="Normal 2 62 4 2 12 2" xfId="24747" xr:uid="{00000000-0005-0000-0000-000095280000}"/>
    <cellStyle name="Normal 2 62 4 2 13" xfId="6997" xr:uid="{00000000-0005-0000-0000-000096280000}"/>
    <cellStyle name="Normal 2 62 4 2 13 2" xfId="24748" xr:uid="{00000000-0005-0000-0000-000097280000}"/>
    <cellStyle name="Normal 2 62 4 2 14" xfId="6998" xr:uid="{00000000-0005-0000-0000-000098280000}"/>
    <cellStyle name="Normal 2 62 4 2 14 2" xfId="24749" xr:uid="{00000000-0005-0000-0000-000099280000}"/>
    <cellStyle name="Normal 2 62 4 2 15" xfId="24744" xr:uid="{00000000-0005-0000-0000-00009A280000}"/>
    <cellStyle name="Normal 2 62 4 2 2" xfId="6999" xr:uid="{00000000-0005-0000-0000-00009B280000}"/>
    <cellStyle name="Normal 2 62 4 2 2 2" xfId="24750" xr:uid="{00000000-0005-0000-0000-00009C280000}"/>
    <cellStyle name="Normal 2 62 4 2 3" xfId="7000" xr:uid="{00000000-0005-0000-0000-00009D280000}"/>
    <cellStyle name="Normal 2 62 4 2 3 2" xfId="24751" xr:uid="{00000000-0005-0000-0000-00009E280000}"/>
    <cellStyle name="Normal 2 62 4 2 4" xfId="7001" xr:uid="{00000000-0005-0000-0000-00009F280000}"/>
    <cellStyle name="Normal 2 62 4 2 4 2" xfId="24752" xr:uid="{00000000-0005-0000-0000-0000A0280000}"/>
    <cellStyle name="Normal 2 62 4 2 5" xfId="7002" xr:uid="{00000000-0005-0000-0000-0000A1280000}"/>
    <cellStyle name="Normal 2 62 4 2 5 2" xfId="24753" xr:uid="{00000000-0005-0000-0000-0000A2280000}"/>
    <cellStyle name="Normal 2 62 4 2 6" xfId="7003" xr:uid="{00000000-0005-0000-0000-0000A3280000}"/>
    <cellStyle name="Normal 2 62 4 2 6 2" xfId="24754" xr:uid="{00000000-0005-0000-0000-0000A4280000}"/>
    <cellStyle name="Normal 2 62 4 2 7" xfId="7004" xr:uid="{00000000-0005-0000-0000-0000A5280000}"/>
    <cellStyle name="Normal 2 62 4 2 7 2" xfId="24755" xr:uid="{00000000-0005-0000-0000-0000A6280000}"/>
    <cellStyle name="Normal 2 62 4 2 8" xfId="7005" xr:uid="{00000000-0005-0000-0000-0000A7280000}"/>
    <cellStyle name="Normal 2 62 4 2 8 2" xfId="24756" xr:uid="{00000000-0005-0000-0000-0000A8280000}"/>
    <cellStyle name="Normal 2 62 4 2 9" xfId="7006" xr:uid="{00000000-0005-0000-0000-0000A9280000}"/>
    <cellStyle name="Normal 2 62 4 2 9 2" xfId="24757" xr:uid="{00000000-0005-0000-0000-0000AA280000}"/>
    <cellStyle name="Normal 2 62 4 3" xfId="7007" xr:uid="{00000000-0005-0000-0000-0000AB280000}"/>
    <cellStyle name="Normal 2 62 4 3 2" xfId="24758" xr:uid="{00000000-0005-0000-0000-0000AC280000}"/>
    <cellStyle name="Normal 2 62 4 4" xfId="7008" xr:uid="{00000000-0005-0000-0000-0000AD280000}"/>
    <cellStyle name="Normal 2 62 4 4 2" xfId="24759" xr:uid="{00000000-0005-0000-0000-0000AE280000}"/>
    <cellStyle name="Normal 2 62 4 5" xfId="7009" xr:uid="{00000000-0005-0000-0000-0000AF280000}"/>
    <cellStyle name="Normal 2 62 4 5 2" xfId="24760" xr:uid="{00000000-0005-0000-0000-0000B0280000}"/>
    <cellStyle name="Normal 2 62 4 6" xfId="7010" xr:uid="{00000000-0005-0000-0000-0000B1280000}"/>
    <cellStyle name="Normal 2 62 4 6 2" xfId="24761" xr:uid="{00000000-0005-0000-0000-0000B2280000}"/>
    <cellStyle name="Normal 2 62 4 7" xfId="7011" xr:uid="{00000000-0005-0000-0000-0000B3280000}"/>
    <cellStyle name="Normal 2 62 4 7 2" xfId="24762" xr:uid="{00000000-0005-0000-0000-0000B4280000}"/>
    <cellStyle name="Normal 2 62 4 8" xfId="7012" xr:uid="{00000000-0005-0000-0000-0000B5280000}"/>
    <cellStyle name="Normal 2 62 4 8 2" xfId="24763" xr:uid="{00000000-0005-0000-0000-0000B6280000}"/>
    <cellStyle name="Normal 2 62 4 9" xfId="7013" xr:uid="{00000000-0005-0000-0000-0000B7280000}"/>
    <cellStyle name="Normal 2 62 4 9 2" xfId="24764" xr:uid="{00000000-0005-0000-0000-0000B8280000}"/>
    <cellStyle name="Normal 2 62 5" xfId="7014" xr:uid="{00000000-0005-0000-0000-0000B9280000}"/>
    <cellStyle name="Normal 2 62 5 10" xfId="7015" xr:uid="{00000000-0005-0000-0000-0000BA280000}"/>
    <cellStyle name="Normal 2 62 5 10 2" xfId="24766" xr:uid="{00000000-0005-0000-0000-0000BB280000}"/>
    <cellStyle name="Normal 2 62 5 11" xfId="7016" xr:uid="{00000000-0005-0000-0000-0000BC280000}"/>
    <cellStyle name="Normal 2 62 5 11 2" xfId="24767" xr:uid="{00000000-0005-0000-0000-0000BD280000}"/>
    <cellStyle name="Normal 2 62 5 12" xfId="7017" xr:uid="{00000000-0005-0000-0000-0000BE280000}"/>
    <cellStyle name="Normal 2 62 5 12 2" xfId="24768" xr:uid="{00000000-0005-0000-0000-0000BF280000}"/>
    <cellStyle name="Normal 2 62 5 13" xfId="7018" xr:uid="{00000000-0005-0000-0000-0000C0280000}"/>
    <cellStyle name="Normal 2 62 5 13 2" xfId="24769" xr:uid="{00000000-0005-0000-0000-0000C1280000}"/>
    <cellStyle name="Normal 2 62 5 14" xfId="7019" xr:uid="{00000000-0005-0000-0000-0000C2280000}"/>
    <cellStyle name="Normal 2 62 5 14 2" xfId="24770" xr:uid="{00000000-0005-0000-0000-0000C3280000}"/>
    <cellStyle name="Normal 2 62 5 15" xfId="24765" xr:uid="{00000000-0005-0000-0000-0000C4280000}"/>
    <cellStyle name="Normal 2 62 5 2" xfId="7020" xr:uid="{00000000-0005-0000-0000-0000C5280000}"/>
    <cellStyle name="Normal 2 62 5 2 2" xfId="24771" xr:uid="{00000000-0005-0000-0000-0000C6280000}"/>
    <cellStyle name="Normal 2 62 5 3" xfId="7021" xr:uid="{00000000-0005-0000-0000-0000C7280000}"/>
    <cellStyle name="Normal 2 62 5 3 2" xfId="24772" xr:uid="{00000000-0005-0000-0000-0000C8280000}"/>
    <cellStyle name="Normal 2 62 5 4" xfId="7022" xr:uid="{00000000-0005-0000-0000-0000C9280000}"/>
    <cellStyle name="Normal 2 62 5 4 2" xfId="24773" xr:uid="{00000000-0005-0000-0000-0000CA280000}"/>
    <cellStyle name="Normal 2 62 5 5" xfId="7023" xr:uid="{00000000-0005-0000-0000-0000CB280000}"/>
    <cellStyle name="Normal 2 62 5 5 2" xfId="24774" xr:uid="{00000000-0005-0000-0000-0000CC280000}"/>
    <cellStyle name="Normal 2 62 5 6" xfId="7024" xr:uid="{00000000-0005-0000-0000-0000CD280000}"/>
    <cellStyle name="Normal 2 62 5 6 2" xfId="24775" xr:uid="{00000000-0005-0000-0000-0000CE280000}"/>
    <cellStyle name="Normal 2 62 5 7" xfId="7025" xr:uid="{00000000-0005-0000-0000-0000CF280000}"/>
    <cellStyle name="Normal 2 62 5 7 2" xfId="24776" xr:uid="{00000000-0005-0000-0000-0000D0280000}"/>
    <cellStyle name="Normal 2 62 5 8" xfId="7026" xr:uid="{00000000-0005-0000-0000-0000D1280000}"/>
    <cellStyle name="Normal 2 62 5 8 2" xfId="24777" xr:uid="{00000000-0005-0000-0000-0000D2280000}"/>
    <cellStyle name="Normal 2 62 5 9" xfId="7027" xr:uid="{00000000-0005-0000-0000-0000D3280000}"/>
    <cellStyle name="Normal 2 62 5 9 2" xfId="24778" xr:uid="{00000000-0005-0000-0000-0000D4280000}"/>
    <cellStyle name="Normal 2 62 6" xfId="7028" xr:uid="{00000000-0005-0000-0000-0000D5280000}"/>
    <cellStyle name="Normal 2 62 6 10" xfId="7029" xr:uid="{00000000-0005-0000-0000-0000D6280000}"/>
    <cellStyle name="Normal 2 62 6 10 2" xfId="24780" xr:uid="{00000000-0005-0000-0000-0000D7280000}"/>
    <cellStyle name="Normal 2 62 6 11" xfId="7030" xr:uid="{00000000-0005-0000-0000-0000D8280000}"/>
    <cellStyle name="Normal 2 62 6 11 2" xfId="24781" xr:uid="{00000000-0005-0000-0000-0000D9280000}"/>
    <cellStyle name="Normal 2 62 6 12" xfId="7031" xr:uid="{00000000-0005-0000-0000-0000DA280000}"/>
    <cellStyle name="Normal 2 62 6 12 2" xfId="24782" xr:uid="{00000000-0005-0000-0000-0000DB280000}"/>
    <cellStyle name="Normal 2 62 6 13" xfId="7032" xr:uid="{00000000-0005-0000-0000-0000DC280000}"/>
    <cellStyle name="Normal 2 62 6 13 2" xfId="24783" xr:uid="{00000000-0005-0000-0000-0000DD280000}"/>
    <cellStyle name="Normal 2 62 6 14" xfId="7033" xr:uid="{00000000-0005-0000-0000-0000DE280000}"/>
    <cellStyle name="Normal 2 62 6 14 2" xfId="24784" xr:uid="{00000000-0005-0000-0000-0000DF280000}"/>
    <cellStyle name="Normal 2 62 6 15" xfId="24779" xr:uid="{00000000-0005-0000-0000-0000E0280000}"/>
    <cellStyle name="Normal 2 62 6 2" xfId="7034" xr:uid="{00000000-0005-0000-0000-0000E1280000}"/>
    <cellStyle name="Normal 2 62 6 2 2" xfId="24785" xr:uid="{00000000-0005-0000-0000-0000E2280000}"/>
    <cellStyle name="Normal 2 62 6 3" xfId="7035" xr:uid="{00000000-0005-0000-0000-0000E3280000}"/>
    <cellStyle name="Normal 2 62 6 3 2" xfId="24786" xr:uid="{00000000-0005-0000-0000-0000E4280000}"/>
    <cellStyle name="Normal 2 62 6 4" xfId="7036" xr:uid="{00000000-0005-0000-0000-0000E5280000}"/>
    <cellStyle name="Normal 2 62 6 4 2" xfId="24787" xr:uid="{00000000-0005-0000-0000-0000E6280000}"/>
    <cellStyle name="Normal 2 62 6 5" xfId="7037" xr:uid="{00000000-0005-0000-0000-0000E7280000}"/>
    <cellStyle name="Normal 2 62 6 5 2" xfId="24788" xr:uid="{00000000-0005-0000-0000-0000E8280000}"/>
    <cellStyle name="Normal 2 62 6 6" xfId="7038" xr:uid="{00000000-0005-0000-0000-0000E9280000}"/>
    <cellStyle name="Normal 2 62 6 6 2" xfId="24789" xr:uid="{00000000-0005-0000-0000-0000EA280000}"/>
    <cellStyle name="Normal 2 62 6 7" xfId="7039" xr:uid="{00000000-0005-0000-0000-0000EB280000}"/>
    <cellStyle name="Normal 2 62 6 7 2" xfId="24790" xr:uid="{00000000-0005-0000-0000-0000EC280000}"/>
    <cellStyle name="Normal 2 62 6 8" xfId="7040" xr:uid="{00000000-0005-0000-0000-0000ED280000}"/>
    <cellStyle name="Normal 2 62 6 8 2" xfId="24791" xr:uid="{00000000-0005-0000-0000-0000EE280000}"/>
    <cellStyle name="Normal 2 62 6 9" xfId="7041" xr:uid="{00000000-0005-0000-0000-0000EF280000}"/>
    <cellStyle name="Normal 2 62 6 9 2" xfId="24792" xr:uid="{00000000-0005-0000-0000-0000F0280000}"/>
    <cellStyle name="Normal 2 62 7" xfId="7042" xr:uid="{00000000-0005-0000-0000-0000F1280000}"/>
    <cellStyle name="Normal 2 62 7 10" xfId="7043" xr:uid="{00000000-0005-0000-0000-0000F2280000}"/>
    <cellStyle name="Normal 2 62 7 10 2" xfId="24794" xr:uid="{00000000-0005-0000-0000-0000F3280000}"/>
    <cellStyle name="Normal 2 62 7 11" xfId="7044" xr:uid="{00000000-0005-0000-0000-0000F4280000}"/>
    <cellStyle name="Normal 2 62 7 11 2" xfId="24795" xr:uid="{00000000-0005-0000-0000-0000F5280000}"/>
    <cellStyle name="Normal 2 62 7 12" xfId="7045" xr:uid="{00000000-0005-0000-0000-0000F6280000}"/>
    <cellStyle name="Normal 2 62 7 12 2" xfId="24796" xr:uid="{00000000-0005-0000-0000-0000F7280000}"/>
    <cellStyle name="Normal 2 62 7 13" xfId="7046" xr:uid="{00000000-0005-0000-0000-0000F8280000}"/>
    <cellStyle name="Normal 2 62 7 13 2" xfId="24797" xr:uid="{00000000-0005-0000-0000-0000F9280000}"/>
    <cellStyle name="Normal 2 62 7 14" xfId="7047" xr:uid="{00000000-0005-0000-0000-0000FA280000}"/>
    <cellStyle name="Normal 2 62 7 14 2" xfId="24798" xr:uid="{00000000-0005-0000-0000-0000FB280000}"/>
    <cellStyle name="Normal 2 62 7 15" xfId="24793" xr:uid="{00000000-0005-0000-0000-0000FC280000}"/>
    <cellStyle name="Normal 2 62 7 2" xfId="7048" xr:uid="{00000000-0005-0000-0000-0000FD280000}"/>
    <cellStyle name="Normal 2 62 7 2 2" xfId="24799" xr:uid="{00000000-0005-0000-0000-0000FE280000}"/>
    <cellStyle name="Normal 2 62 7 3" xfId="7049" xr:uid="{00000000-0005-0000-0000-0000FF280000}"/>
    <cellStyle name="Normal 2 62 7 3 2" xfId="24800" xr:uid="{00000000-0005-0000-0000-000000290000}"/>
    <cellStyle name="Normal 2 62 7 4" xfId="7050" xr:uid="{00000000-0005-0000-0000-000001290000}"/>
    <cellStyle name="Normal 2 62 7 4 2" xfId="24801" xr:uid="{00000000-0005-0000-0000-000002290000}"/>
    <cellStyle name="Normal 2 62 7 5" xfId="7051" xr:uid="{00000000-0005-0000-0000-000003290000}"/>
    <cellStyle name="Normal 2 62 7 5 2" xfId="24802" xr:uid="{00000000-0005-0000-0000-000004290000}"/>
    <cellStyle name="Normal 2 62 7 6" xfId="7052" xr:uid="{00000000-0005-0000-0000-000005290000}"/>
    <cellStyle name="Normal 2 62 7 6 2" xfId="24803" xr:uid="{00000000-0005-0000-0000-000006290000}"/>
    <cellStyle name="Normal 2 62 7 7" xfId="7053" xr:uid="{00000000-0005-0000-0000-000007290000}"/>
    <cellStyle name="Normal 2 62 7 7 2" xfId="24804" xr:uid="{00000000-0005-0000-0000-000008290000}"/>
    <cellStyle name="Normal 2 62 7 8" xfId="7054" xr:uid="{00000000-0005-0000-0000-000009290000}"/>
    <cellStyle name="Normal 2 62 7 8 2" xfId="24805" xr:uid="{00000000-0005-0000-0000-00000A290000}"/>
    <cellStyle name="Normal 2 62 7 9" xfId="7055" xr:uid="{00000000-0005-0000-0000-00000B290000}"/>
    <cellStyle name="Normal 2 62 7 9 2" xfId="24806" xr:uid="{00000000-0005-0000-0000-00000C290000}"/>
    <cellStyle name="Normal 2 62 8" xfId="7056" xr:uid="{00000000-0005-0000-0000-00000D290000}"/>
    <cellStyle name="Normal 2 62 8 10" xfId="7057" xr:uid="{00000000-0005-0000-0000-00000E290000}"/>
    <cellStyle name="Normal 2 62 8 10 2" xfId="24808" xr:uid="{00000000-0005-0000-0000-00000F290000}"/>
    <cellStyle name="Normal 2 62 8 11" xfId="7058" xr:uid="{00000000-0005-0000-0000-000010290000}"/>
    <cellStyle name="Normal 2 62 8 11 2" xfId="24809" xr:uid="{00000000-0005-0000-0000-000011290000}"/>
    <cellStyle name="Normal 2 62 8 12" xfId="7059" xr:uid="{00000000-0005-0000-0000-000012290000}"/>
    <cellStyle name="Normal 2 62 8 12 2" xfId="24810" xr:uid="{00000000-0005-0000-0000-000013290000}"/>
    <cellStyle name="Normal 2 62 8 13" xfId="7060" xr:uid="{00000000-0005-0000-0000-000014290000}"/>
    <cellStyle name="Normal 2 62 8 13 2" xfId="24811" xr:uid="{00000000-0005-0000-0000-000015290000}"/>
    <cellStyle name="Normal 2 62 8 14" xfId="7061" xr:uid="{00000000-0005-0000-0000-000016290000}"/>
    <cellStyle name="Normal 2 62 8 14 2" xfId="24812" xr:uid="{00000000-0005-0000-0000-000017290000}"/>
    <cellStyle name="Normal 2 62 8 15" xfId="24807" xr:uid="{00000000-0005-0000-0000-000018290000}"/>
    <cellStyle name="Normal 2 62 8 2" xfId="7062" xr:uid="{00000000-0005-0000-0000-000019290000}"/>
    <cellStyle name="Normal 2 62 8 2 2" xfId="24813" xr:uid="{00000000-0005-0000-0000-00001A290000}"/>
    <cellStyle name="Normal 2 62 8 3" xfId="7063" xr:uid="{00000000-0005-0000-0000-00001B290000}"/>
    <cellStyle name="Normal 2 62 8 3 2" xfId="24814" xr:uid="{00000000-0005-0000-0000-00001C290000}"/>
    <cellStyle name="Normal 2 62 8 4" xfId="7064" xr:uid="{00000000-0005-0000-0000-00001D290000}"/>
    <cellStyle name="Normal 2 62 8 4 2" xfId="24815" xr:uid="{00000000-0005-0000-0000-00001E290000}"/>
    <cellStyle name="Normal 2 62 8 5" xfId="7065" xr:uid="{00000000-0005-0000-0000-00001F290000}"/>
    <cellStyle name="Normal 2 62 8 5 2" xfId="24816" xr:uid="{00000000-0005-0000-0000-000020290000}"/>
    <cellStyle name="Normal 2 62 8 6" xfId="7066" xr:uid="{00000000-0005-0000-0000-000021290000}"/>
    <cellStyle name="Normal 2 62 8 6 2" xfId="24817" xr:uid="{00000000-0005-0000-0000-000022290000}"/>
    <cellStyle name="Normal 2 62 8 7" xfId="7067" xr:uid="{00000000-0005-0000-0000-000023290000}"/>
    <cellStyle name="Normal 2 62 8 7 2" xfId="24818" xr:uid="{00000000-0005-0000-0000-000024290000}"/>
    <cellStyle name="Normal 2 62 8 8" xfId="7068" xr:uid="{00000000-0005-0000-0000-000025290000}"/>
    <cellStyle name="Normal 2 62 8 8 2" xfId="24819" xr:uid="{00000000-0005-0000-0000-000026290000}"/>
    <cellStyle name="Normal 2 62 8 9" xfId="7069" xr:uid="{00000000-0005-0000-0000-000027290000}"/>
    <cellStyle name="Normal 2 62 8 9 2" xfId="24820" xr:uid="{00000000-0005-0000-0000-000028290000}"/>
    <cellStyle name="Normal 2 62 9" xfId="7070" xr:uid="{00000000-0005-0000-0000-000029290000}"/>
    <cellStyle name="Normal 2 62 9 10" xfId="7071" xr:uid="{00000000-0005-0000-0000-00002A290000}"/>
    <cellStyle name="Normal 2 62 9 10 2" xfId="24822" xr:uid="{00000000-0005-0000-0000-00002B290000}"/>
    <cellStyle name="Normal 2 62 9 11" xfId="7072" xr:uid="{00000000-0005-0000-0000-00002C290000}"/>
    <cellStyle name="Normal 2 62 9 11 2" xfId="24823" xr:uid="{00000000-0005-0000-0000-00002D290000}"/>
    <cellStyle name="Normal 2 62 9 12" xfId="7073" xr:uid="{00000000-0005-0000-0000-00002E290000}"/>
    <cellStyle name="Normal 2 62 9 12 2" xfId="24824" xr:uid="{00000000-0005-0000-0000-00002F290000}"/>
    <cellStyle name="Normal 2 62 9 13" xfId="7074" xr:uid="{00000000-0005-0000-0000-000030290000}"/>
    <cellStyle name="Normal 2 62 9 13 2" xfId="24825" xr:uid="{00000000-0005-0000-0000-000031290000}"/>
    <cellStyle name="Normal 2 62 9 14" xfId="7075" xr:uid="{00000000-0005-0000-0000-000032290000}"/>
    <cellStyle name="Normal 2 62 9 14 2" xfId="24826" xr:uid="{00000000-0005-0000-0000-000033290000}"/>
    <cellStyle name="Normal 2 62 9 15" xfId="24821" xr:uid="{00000000-0005-0000-0000-000034290000}"/>
    <cellStyle name="Normal 2 62 9 2" xfId="7076" xr:uid="{00000000-0005-0000-0000-000035290000}"/>
    <cellStyle name="Normal 2 62 9 2 2" xfId="24827" xr:uid="{00000000-0005-0000-0000-000036290000}"/>
    <cellStyle name="Normal 2 62 9 3" xfId="7077" xr:uid="{00000000-0005-0000-0000-000037290000}"/>
    <cellStyle name="Normal 2 62 9 3 2" xfId="24828" xr:uid="{00000000-0005-0000-0000-000038290000}"/>
    <cellStyle name="Normal 2 62 9 4" xfId="7078" xr:uid="{00000000-0005-0000-0000-000039290000}"/>
    <cellStyle name="Normal 2 62 9 4 2" xfId="24829" xr:uid="{00000000-0005-0000-0000-00003A290000}"/>
    <cellStyle name="Normal 2 62 9 5" xfId="7079" xr:uid="{00000000-0005-0000-0000-00003B290000}"/>
    <cellStyle name="Normal 2 62 9 5 2" xfId="24830" xr:uid="{00000000-0005-0000-0000-00003C290000}"/>
    <cellStyle name="Normal 2 62 9 6" xfId="7080" xr:uid="{00000000-0005-0000-0000-00003D290000}"/>
    <cellStyle name="Normal 2 62 9 6 2" xfId="24831" xr:uid="{00000000-0005-0000-0000-00003E290000}"/>
    <cellStyle name="Normal 2 62 9 7" xfId="7081" xr:uid="{00000000-0005-0000-0000-00003F290000}"/>
    <cellStyle name="Normal 2 62 9 7 2" xfId="24832" xr:uid="{00000000-0005-0000-0000-000040290000}"/>
    <cellStyle name="Normal 2 62 9 8" xfId="7082" xr:uid="{00000000-0005-0000-0000-000041290000}"/>
    <cellStyle name="Normal 2 62 9 8 2" xfId="24833" xr:uid="{00000000-0005-0000-0000-000042290000}"/>
    <cellStyle name="Normal 2 62 9 9" xfId="7083" xr:uid="{00000000-0005-0000-0000-000043290000}"/>
    <cellStyle name="Normal 2 62 9 9 2" xfId="24834" xr:uid="{00000000-0005-0000-0000-000044290000}"/>
    <cellStyle name="Normal 2 63" xfId="7084" xr:uid="{00000000-0005-0000-0000-000045290000}"/>
    <cellStyle name="Normal 2 64" xfId="7085" xr:uid="{00000000-0005-0000-0000-000046290000}"/>
    <cellStyle name="Normal 2 65" xfId="7086" xr:uid="{00000000-0005-0000-0000-000047290000}"/>
    <cellStyle name="Normal 2 66" xfId="7087" xr:uid="{00000000-0005-0000-0000-000048290000}"/>
    <cellStyle name="Normal 2 66 10" xfId="7088" xr:uid="{00000000-0005-0000-0000-000049290000}"/>
    <cellStyle name="Normal 2 66 10 2" xfId="24836" xr:uid="{00000000-0005-0000-0000-00004A290000}"/>
    <cellStyle name="Normal 2 66 11" xfId="7089" xr:uid="{00000000-0005-0000-0000-00004B290000}"/>
    <cellStyle name="Normal 2 66 11 2" xfId="24837" xr:uid="{00000000-0005-0000-0000-00004C290000}"/>
    <cellStyle name="Normal 2 66 12" xfId="7090" xr:uid="{00000000-0005-0000-0000-00004D290000}"/>
    <cellStyle name="Normal 2 66 12 2" xfId="24838" xr:uid="{00000000-0005-0000-0000-00004E290000}"/>
    <cellStyle name="Normal 2 66 13" xfId="7091" xr:uid="{00000000-0005-0000-0000-00004F290000}"/>
    <cellStyle name="Normal 2 66 13 2" xfId="24839" xr:uid="{00000000-0005-0000-0000-000050290000}"/>
    <cellStyle name="Normal 2 66 14" xfId="7092" xr:uid="{00000000-0005-0000-0000-000051290000}"/>
    <cellStyle name="Normal 2 66 14 2" xfId="24840" xr:uid="{00000000-0005-0000-0000-000052290000}"/>
    <cellStyle name="Normal 2 66 15" xfId="7093" xr:uid="{00000000-0005-0000-0000-000053290000}"/>
    <cellStyle name="Normal 2 66 15 2" xfId="24841" xr:uid="{00000000-0005-0000-0000-000054290000}"/>
    <cellStyle name="Normal 2 66 16" xfId="24835" xr:uid="{00000000-0005-0000-0000-000055290000}"/>
    <cellStyle name="Normal 2 66 2" xfId="7094" xr:uid="{00000000-0005-0000-0000-000056290000}"/>
    <cellStyle name="Normal 2 66 2 10" xfId="7095" xr:uid="{00000000-0005-0000-0000-000057290000}"/>
    <cellStyle name="Normal 2 66 2 10 2" xfId="24843" xr:uid="{00000000-0005-0000-0000-000058290000}"/>
    <cellStyle name="Normal 2 66 2 11" xfId="7096" xr:uid="{00000000-0005-0000-0000-000059290000}"/>
    <cellStyle name="Normal 2 66 2 11 2" xfId="24844" xr:uid="{00000000-0005-0000-0000-00005A290000}"/>
    <cellStyle name="Normal 2 66 2 12" xfId="7097" xr:uid="{00000000-0005-0000-0000-00005B290000}"/>
    <cellStyle name="Normal 2 66 2 12 2" xfId="24845" xr:uid="{00000000-0005-0000-0000-00005C290000}"/>
    <cellStyle name="Normal 2 66 2 13" xfId="7098" xr:uid="{00000000-0005-0000-0000-00005D290000}"/>
    <cellStyle name="Normal 2 66 2 13 2" xfId="24846" xr:uid="{00000000-0005-0000-0000-00005E290000}"/>
    <cellStyle name="Normal 2 66 2 14" xfId="7099" xr:uid="{00000000-0005-0000-0000-00005F290000}"/>
    <cellStyle name="Normal 2 66 2 14 2" xfId="24847" xr:uid="{00000000-0005-0000-0000-000060290000}"/>
    <cellStyle name="Normal 2 66 2 15" xfId="24842" xr:uid="{00000000-0005-0000-0000-000061290000}"/>
    <cellStyle name="Normal 2 66 2 2" xfId="7100" xr:uid="{00000000-0005-0000-0000-000062290000}"/>
    <cellStyle name="Normal 2 66 2 2 2" xfId="24848" xr:uid="{00000000-0005-0000-0000-000063290000}"/>
    <cellStyle name="Normal 2 66 2 3" xfId="7101" xr:uid="{00000000-0005-0000-0000-000064290000}"/>
    <cellStyle name="Normal 2 66 2 3 2" xfId="24849" xr:uid="{00000000-0005-0000-0000-000065290000}"/>
    <cellStyle name="Normal 2 66 2 4" xfId="7102" xr:uid="{00000000-0005-0000-0000-000066290000}"/>
    <cellStyle name="Normal 2 66 2 4 2" xfId="24850" xr:uid="{00000000-0005-0000-0000-000067290000}"/>
    <cellStyle name="Normal 2 66 2 5" xfId="7103" xr:uid="{00000000-0005-0000-0000-000068290000}"/>
    <cellStyle name="Normal 2 66 2 5 2" xfId="24851" xr:uid="{00000000-0005-0000-0000-000069290000}"/>
    <cellStyle name="Normal 2 66 2 6" xfId="7104" xr:uid="{00000000-0005-0000-0000-00006A290000}"/>
    <cellStyle name="Normal 2 66 2 6 2" xfId="24852" xr:uid="{00000000-0005-0000-0000-00006B290000}"/>
    <cellStyle name="Normal 2 66 2 7" xfId="7105" xr:uid="{00000000-0005-0000-0000-00006C290000}"/>
    <cellStyle name="Normal 2 66 2 7 2" xfId="24853" xr:uid="{00000000-0005-0000-0000-00006D290000}"/>
    <cellStyle name="Normal 2 66 2 8" xfId="7106" xr:uid="{00000000-0005-0000-0000-00006E290000}"/>
    <cellStyle name="Normal 2 66 2 8 2" xfId="24854" xr:uid="{00000000-0005-0000-0000-00006F290000}"/>
    <cellStyle name="Normal 2 66 2 9" xfId="7107" xr:uid="{00000000-0005-0000-0000-000070290000}"/>
    <cellStyle name="Normal 2 66 2 9 2" xfId="24855" xr:uid="{00000000-0005-0000-0000-000071290000}"/>
    <cellStyle name="Normal 2 66 3" xfId="7108" xr:uid="{00000000-0005-0000-0000-000072290000}"/>
    <cellStyle name="Normal 2 66 3 2" xfId="24856" xr:uid="{00000000-0005-0000-0000-000073290000}"/>
    <cellStyle name="Normal 2 66 4" xfId="7109" xr:uid="{00000000-0005-0000-0000-000074290000}"/>
    <cellStyle name="Normal 2 66 4 2" xfId="24857" xr:uid="{00000000-0005-0000-0000-000075290000}"/>
    <cellStyle name="Normal 2 66 5" xfId="7110" xr:uid="{00000000-0005-0000-0000-000076290000}"/>
    <cellStyle name="Normal 2 66 5 2" xfId="24858" xr:uid="{00000000-0005-0000-0000-000077290000}"/>
    <cellStyle name="Normal 2 66 6" xfId="7111" xr:uid="{00000000-0005-0000-0000-000078290000}"/>
    <cellStyle name="Normal 2 66 6 2" xfId="24859" xr:uid="{00000000-0005-0000-0000-000079290000}"/>
    <cellStyle name="Normal 2 66 7" xfId="7112" xr:uid="{00000000-0005-0000-0000-00007A290000}"/>
    <cellStyle name="Normal 2 66 7 2" xfId="24860" xr:uid="{00000000-0005-0000-0000-00007B290000}"/>
    <cellStyle name="Normal 2 66 8" xfId="7113" xr:uid="{00000000-0005-0000-0000-00007C290000}"/>
    <cellStyle name="Normal 2 66 8 2" xfId="24861" xr:uid="{00000000-0005-0000-0000-00007D290000}"/>
    <cellStyle name="Normal 2 66 9" xfId="7114" xr:uid="{00000000-0005-0000-0000-00007E290000}"/>
    <cellStyle name="Normal 2 66 9 2" xfId="24862" xr:uid="{00000000-0005-0000-0000-00007F290000}"/>
    <cellStyle name="Normal 2 67" xfId="7115" xr:uid="{00000000-0005-0000-0000-000080290000}"/>
    <cellStyle name="Normal 2 67 10" xfId="7116" xr:uid="{00000000-0005-0000-0000-000081290000}"/>
    <cellStyle name="Normal 2 67 10 2" xfId="24864" xr:uid="{00000000-0005-0000-0000-000082290000}"/>
    <cellStyle name="Normal 2 67 11" xfId="7117" xr:uid="{00000000-0005-0000-0000-000083290000}"/>
    <cellStyle name="Normal 2 67 11 2" xfId="24865" xr:uid="{00000000-0005-0000-0000-000084290000}"/>
    <cellStyle name="Normal 2 67 12" xfId="7118" xr:uid="{00000000-0005-0000-0000-000085290000}"/>
    <cellStyle name="Normal 2 67 12 2" xfId="24866" xr:uid="{00000000-0005-0000-0000-000086290000}"/>
    <cellStyle name="Normal 2 67 13" xfId="7119" xr:uid="{00000000-0005-0000-0000-000087290000}"/>
    <cellStyle name="Normal 2 67 13 2" xfId="24867" xr:uid="{00000000-0005-0000-0000-000088290000}"/>
    <cellStyle name="Normal 2 67 14" xfId="7120" xr:uid="{00000000-0005-0000-0000-000089290000}"/>
    <cellStyle name="Normal 2 67 14 2" xfId="24868" xr:uid="{00000000-0005-0000-0000-00008A290000}"/>
    <cellStyle name="Normal 2 67 15" xfId="7121" xr:uid="{00000000-0005-0000-0000-00008B290000}"/>
    <cellStyle name="Normal 2 67 15 2" xfId="24869" xr:uid="{00000000-0005-0000-0000-00008C290000}"/>
    <cellStyle name="Normal 2 67 16" xfId="24863" xr:uid="{00000000-0005-0000-0000-00008D290000}"/>
    <cellStyle name="Normal 2 67 2" xfId="7122" xr:uid="{00000000-0005-0000-0000-00008E290000}"/>
    <cellStyle name="Normal 2 67 2 10" xfId="7123" xr:uid="{00000000-0005-0000-0000-00008F290000}"/>
    <cellStyle name="Normal 2 67 2 10 2" xfId="24871" xr:uid="{00000000-0005-0000-0000-000090290000}"/>
    <cellStyle name="Normal 2 67 2 11" xfId="7124" xr:uid="{00000000-0005-0000-0000-000091290000}"/>
    <cellStyle name="Normal 2 67 2 11 2" xfId="24872" xr:uid="{00000000-0005-0000-0000-000092290000}"/>
    <cellStyle name="Normal 2 67 2 12" xfId="7125" xr:uid="{00000000-0005-0000-0000-000093290000}"/>
    <cellStyle name="Normal 2 67 2 12 2" xfId="24873" xr:uid="{00000000-0005-0000-0000-000094290000}"/>
    <cellStyle name="Normal 2 67 2 13" xfId="7126" xr:uid="{00000000-0005-0000-0000-000095290000}"/>
    <cellStyle name="Normal 2 67 2 13 2" xfId="24874" xr:uid="{00000000-0005-0000-0000-000096290000}"/>
    <cellStyle name="Normal 2 67 2 14" xfId="7127" xr:uid="{00000000-0005-0000-0000-000097290000}"/>
    <cellStyle name="Normal 2 67 2 14 2" xfId="24875" xr:uid="{00000000-0005-0000-0000-000098290000}"/>
    <cellStyle name="Normal 2 67 2 15" xfId="24870" xr:uid="{00000000-0005-0000-0000-000099290000}"/>
    <cellStyle name="Normal 2 67 2 2" xfId="7128" xr:uid="{00000000-0005-0000-0000-00009A290000}"/>
    <cellStyle name="Normal 2 67 2 2 2" xfId="24876" xr:uid="{00000000-0005-0000-0000-00009B290000}"/>
    <cellStyle name="Normal 2 67 2 3" xfId="7129" xr:uid="{00000000-0005-0000-0000-00009C290000}"/>
    <cellStyle name="Normal 2 67 2 3 2" xfId="24877" xr:uid="{00000000-0005-0000-0000-00009D290000}"/>
    <cellStyle name="Normal 2 67 2 4" xfId="7130" xr:uid="{00000000-0005-0000-0000-00009E290000}"/>
    <cellStyle name="Normal 2 67 2 4 2" xfId="24878" xr:uid="{00000000-0005-0000-0000-00009F290000}"/>
    <cellStyle name="Normal 2 67 2 5" xfId="7131" xr:uid="{00000000-0005-0000-0000-0000A0290000}"/>
    <cellStyle name="Normal 2 67 2 5 2" xfId="24879" xr:uid="{00000000-0005-0000-0000-0000A1290000}"/>
    <cellStyle name="Normal 2 67 2 6" xfId="7132" xr:uid="{00000000-0005-0000-0000-0000A2290000}"/>
    <cellStyle name="Normal 2 67 2 6 2" xfId="24880" xr:uid="{00000000-0005-0000-0000-0000A3290000}"/>
    <cellStyle name="Normal 2 67 2 7" xfId="7133" xr:uid="{00000000-0005-0000-0000-0000A4290000}"/>
    <cellStyle name="Normal 2 67 2 7 2" xfId="24881" xr:uid="{00000000-0005-0000-0000-0000A5290000}"/>
    <cellStyle name="Normal 2 67 2 8" xfId="7134" xr:uid="{00000000-0005-0000-0000-0000A6290000}"/>
    <cellStyle name="Normal 2 67 2 8 2" xfId="24882" xr:uid="{00000000-0005-0000-0000-0000A7290000}"/>
    <cellStyle name="Normal 2 67 2 9" xfId="7135" xr:uid="{00000000-0005-0000-0000-0000A8290000}"/>
    <cellStyle name="Normal 2 67 2 9 2" xfId="24883" xr:uid="{00000000-0005-0000-0000-0000A9290000}"/>
    <cellStyle name="Normal 2 67 3" xfId="7136" xr:uid="{00000000-0005-0000-0000-0000AA290000}"/>
    <cellStyle name="Normal 2 67 3 2" xfId="24884" xr:uid="{00000000-0005-0000-0000-0000AB290000}"/>
    <cellStyle name="Normal 2 67 4" xfId="7137" xr:uid="{00000000-0005-0000-0000-0000AC290000}"/>
    <cellStyle name="Normal 2 67 4 2" xfId="24885" xr:uid="{00000000-0005-0000-0000-0000AD290000}"/>
    <cellStyle name="Normal 2 67 5" xfId="7138" xr:uid="{00000000-0005-0000-0000-0000AE290000}"/>
    <cellStyle name="Normal 2 67 5 2" xfId="24886" xr:uid="{00000000-0005-0000-0000-0000AF290000}"/>
    <cellStyle name="Normal 2 67 6" xfId="7139" xr:uid="{00000000-0005-0000-0000-0000B0290000}"/>
    <cellStyle name="Normal 2 67 6 2" xfId="24887" xr:uid="{00000000-0005-0000-0000-0000B1290000}"/>
    <cellStyle name="Normal 2 67 7" xfId="7140" xr:uid="{00000000-0005-0000-0000-0000B2290000}"/>
    <cellStyle name="Normal 2 67 7 2" xfId="24888" xr:uid="{00000000-0005-0000-0000-0000B3290000}"/>
    <cellStyle name="Normal 2 67 8" xfId="7141" xr:uid="{00000000-0005-0000-0000-0000B4290000}"/>
    <cellStyle name="Normal 2 67 8 2" xfId="24889" xr:uid="{00000000-0005-0000-0000-0000B5290000}"/>
    <cellStyle name="Normal 2 67 9" xfId="7142" xr:uid="{00000000-0005-0000-0000-0000B6290000}"/>
    <cellStyle name="Normal 2 67 9 2" xfId="24890" xr:uid="{00000000-0005-0000-0000-0000B7290000}"/>
    <cellStyle name="Normal 2 68" xfId="7143" xr:uid="{00000000-0005-0000-0000-0000B8290000}"/>
    <cellStyle name="Normal 2 68 10" xfId="7144" xr:uid="{00000000-0005-0000-0000-0000B9290000}"/>
    <cellStyle name="Normal 2 68 10 2" xfId="24892" xr:uid="{00000000-0005-0000-0000-0000BA290000}"/>
    <cellStyle name="Normal 2 68 11" xfId="7145" xr:uid="{00000000-0005-0000-0000-0000BB290000}"/>
    <cellStyle name="Normal 2 68 11 2" xfId="24893" xr:uid="{00000000-0005-0000-0000-0000BC290000}"/>
    <cellStyle name="Normal 2 68 12" xfId="7146" xr:uid="{00000000-0005-0000-0000-0000BD290000}"/>
    <cellStyle name="Normal 2 68 12 2" xfId="24894" xr:uid="{00000000-0005-0000-0000-0000BE290000}"/>
    <cellStyle name="Normal 2 68 13" xfId="7147" xr:uid="{00000000-0005-0000-0000-0000BF290000}"/>
    <cellStyle name="Normal 2 68 13 2" xfId="24895" xr:uid="{00000000-0005-0000-0000-0000C0290000}"/>
    <cellStyle name="Normal 2 68 14" xfId="7148" xr:uid="{00000000-0005-0000-0000-0000C1290000}"/>
    <cellStyle name="Normal 2 68 14 2" xfId="24896" xr:uid="{00000000-0005-0000-0000-0000C2290000}"/>
    <cellStyle name="Normal 2 68 15" xfId="7149" xr:uid="{00000000-0005-0000-0000-0000C3290000}"/>
    <cellStyle name="Normal 2 68 15 2" xfId="24897" xr:uid="{00000000-0005-0000-0000-0000C4290000}"/>
    <cellStyle name="Normal 2 68 16" xfId="24891" xr:uid="{00000000-0005-0000-0000-0000C5290000}"/>
    <cellStyle name="Normal 2 68 2" xfId="7150" xr:uid="{00000000-0005-0000-0000-0000C6290000}"/>
    <cellStyle name="Normal 2 68 2 10" xfId="7151" xr:uid="{00000000-0005-0000-0000-0000C7290000}"/>
    <cellStyle name="Normal 2 68 2 10 2" xfId="24899" xr:uid="{00000000-0005-0000-0000-0000C8290000}"/>
    <cellStyle name="Normal 2 68 2 11" xfId="7152" xr:uid="{00000000-0005-0000-0000-0000C9290000}"/>
    <cellStyle name="Normal 2 68 2 11 2" xfId="24900" xr:uid="{00000000-0005-0000-0000-0000CA290000}"/>
    <cellStyle name="Normal 2 68 2 12" xfId="7153" xr:uid="{00000000-0005-0000-0000-0000CB290000}"/>
    <cellStyle name="Normal 2 68 2 12 2" xfId="24901" xr:uid="{00000000-0005-0000-0000-0000CC290000}"/>
    <cellStyle name="Normal 2 68 2 13" xfId="7154" xr:uid="{00000000-0005-0000-0000-0000CD290000}"/>
    <cellStyle name="Normal 2 68 2 13 2" xfId="24902" xr:uid="{00000000-0005-0000-0000-0000CE290000}"/>
    <cellStyle name="Normal 2 68 2 14" xfId="7155" xr:uid="{00000000-0005-0000-0000-0000CF290000}"/>
    <cellStyle name="Normal 2 68 2 14 2" xfId="24903" xr:uid="{00000000-0005-0000-0000-0000D0290000}"/>
    <cellStyle name="Normal 2 68 2 15" xfId="24898" xr:uid="{00000000-0005-0000-0000-0000D1290000}"/>
    <cellStyle name="Normal 2 68 2 2" xfId="7156" xr:uid="{00000000-0005-0000-0000-0000D2290000}"/>
    <cellStyle name="Normal 2 68 2 2 2" xfId="24904" xr:uid="{00000000-0005-0000-0000-0000D3290000}"/>
    <cellStyle name="Normal 2 68 2 3" xfId="7157" xr:uid="{00000000-0005-0000-0000-0000D4290000}"/>
    <cellStyle name="Normal 2 68 2 3 2" xfId="24905" xr:uid="{00000000-0005-0000-0000-0000D5290000}"/>
    <cellStyle name="Normal 2 68 2 4" xfId="7158" xr:uid="{00000000-0005-0000-0000-0000D6290000}"/>
    <cellStyle name="Normal 2 68 2 4 2" xfId="24906" xr:uid="{00000000-0005-0000-0000-0000D7290000}"/>
    <cellStyle name="Normal 2 68 2 5" xfId="7159" xr:uid="{00000000-0005-0000-0000-0000D8290000}"/>
    <cellStyle name="Normal 2 68 2 5 2" xfId="24907" xr:uid="{00000000-0005-0000-0000-0000D9290000}"/>
    <cellStyle name="Normal 2 68 2 6" xfId="7160" xr:uid="{00000000-0005-0000-0000-0000DA290000}"/>
    <cellStyle name="Normal 2 68 2 6 2" xfId="24908" xr:uid="{00000000-0005-0000-0000-0000DB290000}"/>
    <cellStyle name="Normal 2 68 2 7" xfId="7161" xr:uid="{00000000-0005-0000-0000-0000DC290000}"/>
    <cellStyle name="Normal 2 68 2 7 2" xfId="24909" xr:uid="{00000000-0005-0000-0000-0000DD290000}"/>
    <cellStyle name="Normal 2 68 2 8" xfId="7162" xr:uid="{00000000-0005-0000-0000-0000DE290000}"/>
    <cellStyle name="Normal 2 68 2 8 2" xfId="24910" xr:uid="{00000000-0005-0000-0000-0000DF290000}"/>
    <cellStyle name="Normal 2 68 2 9" xfId="7163" xr:uid="{00000000-0005-0000-0000-0000E0290000}"/>
    <cellStyle name="Normal 2 68 2 9 2" xfId="24911" xr:uid="{00000000-0005-0000-0000-0000E1290000}"/>
    <cellStyle name="Normal 2 68 3" xfId="7164" xr:uid="{00000000-0005-0000-0000-0000E2290000}"/>
    <cellStyle name="Normal 2 68 3 2" xfId="24912" xr:uid="{00000000-0005-0000-0000-0000E3290000}"/>
    <cellStyle name="Normal 2 68 4" xfId="7165" xr:uid="{00000000-0005-0000-0000-0000E4290000}"/>
    <cellStyle name="Normal 2 68 4 2" xfId="24913" xr:uid="{00000000-0005-0000-0000-0000E5290000}"/>
    <cellStyle name="Normal 2 68 5" xfId="7166" xr:uid="{00000000-0005-0000-0000-0000E6290000}"/>
    <cellStyle name="Normal 2 68 5 2" xfId="24914" xr:uid="{00000000-0005-0000-0000-0000E7290000}"/>
    <cellStyle name="Normal 2 68 6" xfId="7167" xr:uid="{00000000-0005-0000-0000-0000E8290000}"/>
    <cellStyle name="Normal 2 68 6 2" xfId="24915" xr:uid="{00000000-0005-0000-0000-0000E9290000}"/>
    <cellStyle name="Normal 2 68 7" xfId="7168" xr:uid="{00000000-0005-0000-0000-0000EA290000}"/>
    <cellStyle name="Normal 2 68 7 2" xfId="24916" xr:uid="{00000000-0005-0000-0000-0000EB290000}"/>
    <cellStyle name="Normal 2 68 8" xfId="7169" xr:uid="{00000000-0005-0000-0000-0000EC290000}"/>
    <cellStyle name="Normal 2 68 8 2" xfId="24917" xr:uid="{00000000-0005-0000-0000-0000ED290000}"/>
    <cellStyle name="Normal 2 68 9" xfId="7170" xr:uid="{00000000-0005-0000-0000-0000EE290000}"/>
    <cellStyle name="Normal 2 68 9 2" xfId="24918" xr:uid="{00000000-0005-0000-0000-0000EF290000}"/>
    <cellStyle name="Normal 2 69" xfId="7171" xr:uid="{00000000-0005-0000-0000-0000F0290000}"/>
    <cellStyle name="Normal 2 69 10" xfId="7172" xr:uid="{00000000-0005-0000-0000-0000F1290000}"/>
    <cellStyle name="Normal 2 69 10 2" xfId="24920" xr:uid="{00000000-0005-0000-0000-0000F2290000}"/>
    <cellStyle name="Normal 2 69 11" xfId="7173" xr:uid="{00000000-0005-0000-0000-0000F3290000}"/>
    <cellStyle name="Normal 2 69 11 2" xfId="24921" xr:uid="{00000000-0005-0000-0000-0000F4290000}"/>
    <cellStyle name="Normal 2 69 12" xfId="7174" xr:uid="{00000000-0005-0000-0000-0000F5290000}"/>
    <cellStyle name="Normal 2 69 12 2" xfId="24922" xr:uid="{00000000-0005-0000-0000-0000F6290000}"/>
    <cellStyle name="Normal 2 69 13" xfId="7175" xr:uid="{00000000-0005-0000-0000-0000F7290000}"/>
    <cellStyle name="Normal 2 69 13 2" xfId="24923" xr:uid="{00000000-0005-0000-0000-0000F8290000}"/>
    <cellStyle name="Normal 2 69 14" xfId="7176" xr:uid="{00000000-0005-0000-0000-0000F9290000}"/>
    <cellStyle name="Normal 2 69 14 2" xfId="24924" xr:uid="{00000000-0005-0000-0000-0000FA290000}"/>
    <cellStyle name="Normal 2 69 15" xfId="24919" xr:uid="{00000000-0005-0000-0000-0000FB290000}"/>
    <cellStyle name="Normal 2 69 2" xfId="7177" xr:uid="{00000000-0005-0000-0000-0000FC290000}"/>
    <cellStyle name="Normal 2 69 2 2" xfId="24925" xr:uid="{00000000-0005-0000-0000-0000FD290000}"/>
    <cellStyle name="Normal 2 69 3" xfId="7178" xr:uid="{00000000-0005-0000-0000-0000FE290000}"/>
    <cellStyle name="Normal 2 69 3 2" xfId="24926" xr:uid="{00000000-0005-0000-0000-0000FF290000}"/>
    <cellStyle name="Normal 2 69 4" xfId="7179" xr:uid="{00000000-0005-0000-0000-0000002A0000}"/>
    <cellStyle name="Normal 2 69 4 2" xfId="24927" xr:uid="{00000000-0005-0000-0000-0000012A0000}"/>
    <cellStyle name="Normal 2 69 5" xfId="7180" xr:uid="{00000000-0005-0000-0000-0000022A0000}"/>
    <cellStyle name="Normal 2 69 5 2" xfId="24928" xr:uid="{00000000-0005-0000-0000-0000032A0000}"/>
    <cellStyle name="Normal 2 69 6" xfId="7181" xr:uid="{00000000-0005-0000-0000-0000042A0000}"/>
    <cellStyle name="Normal 2 69 6 2" xfId="24929" xr:uid="{00000000-0005-0000-0000-0000052A0000}"/>
    <cellStyle name="Normal 2 69 7" xfId="7182" xr:uid="{00000000-0005-0000-0000-0000062A0000}"/>
    <cellStyle name="Normal 2 69 7 2" xfId="24930" xr:uid="{00000000-0005-0000-0000-0000072A0000}"/>
    <cellStyle name="Normal 2 69 8" xfId="7183" xr:uid="{00000000-0005-0000-0000-0000082A0000}"/>
    <cellStyle name="Normal 2 69 8 2" xfId="24931" xr:uid="{00000000-0005-0000-0000-0000092A0000}"/>
    <cellStyle name="Normal 2 69 9" xfId="7184" xr:uid="{00000000-0005-0000-0000-00000A2A0000}"/>
    <cellStyle name="Normal 2 69 9 2" xfId="24932" xr:uid="{00000000-0005-0000-0000-00000B2A0000}"/>
    <cellStyle name="Normal 2 7" xfId="303" xr:uid="{00000000-0005-0000-0000-00000C2A0000}"/>
    <cellStyle name="Normal 2 7 2" xfId="387" xr:uid="{00000000-0005-0000-0000-00000D2A0000}"/>
    <cellStyle name="Normal 2 7 2 2" xfId="579" xr:uid="{00000000-0005-0000-0000-00000E2A0000}"/>
    <cellStyle name="Normal 2 7 2 2 2" xfId="7188" xr:uid="{00000000-0005-0000-0000-00000F2A0000}"/>
    <cellStyle name="Normal 2 7 2 2 3" xfId="7187" xr:uid="{00000000-0005-0000-0000-0000102A0000}"/>
    <cellStyle name="Normal 2 7 2 3" xfId="7189" xr:uid="{00000000-0005-0000-0000-0000112A0000}"/>
    <cellStyle name="Normal 2 7 2 3 2" xfId="7190" xr:uid="{00000000-0005-0000-0000-0000122A0000}"/>
    <cellStyle name="Normal 2 7 2 4" xfId="7191" xr:uid="{00000000-0005-0000-0000-0000132A0000}"/>
    <cellStyle name="Normal 2 7 2 4 2" xfId="7192" xr:uid="{00000000-0005-0000-0000-0000142A0000}"/>
    <cellStyle name="Normal 2 7 2 5" xfId="7193" xr:uid="{00000000-0005-0000-0000-0000152A0000}"/>
    <cellStyle name="Normal 2 7 2 5 2" xfId="7194" xr:uid="{00000000-0005-0000-0000-0000162A0000}"/>
    <cellStyle name="Normal 2 7 2 6" xfId="7195" xr:uid="{00000000-0005-0000-0000-0000172A0000}"/>
    <cellStyle name="Normal 2 7 2 6 2" xfId="7196" xr:uid="{00000000-0005-0000-0000-0000182A0000}"/>
    <cellStyle name="Normal 2 7 2 7" xfId="7197" xr:uid="{00000000-0005-0000-0000-0000192A0000}"/>
    <cellStyle name="Normal 2 7 2 7 2" xfId="7198" xr:uid="{00000000-0005-0000-0000-00001A2A0000}"/>
    <cellStyle name="Normal 2 7 2 8" xfId="7186" xr:uid="{00000000-0005-0000-0000-00001B2A0000}"/>
    <cellStyle name="Normal 2 7 3" xfId="520" xr:uid="{00000000-0005-0000-0000-00001C2A0000}"/>
    <cellStyle name="Normal 2 7 3 2" xfId="7199" xr:uid="{00000000-0005-0000-0000-00001D2A0000}"/>
    <cellStyle name="Normal 2 7 4" xfId="7200" xr:uid="{00000000-0005-0000-0000-00001E2A0000}"/>
    <cellStyle name="Normal 2 7 5" xfId="7201" xr:uid="{00000000-0005-0000-0000-00001F2A0000}"/>
    <cellStyle name="Normal 2 7 6" xfId="7202" xr:uid="{00000000-0005-0000-0000-0000202A0000}"/>
    <cellStyle name="Normal 2 7 7" xfId="7203" xr:uid="{00000000-0005-0000-0000-0000212A0000}"/>
    <cellStyle name="Normal 2 7 8" xfId="7204" xr:uid="{00000000-0005-0000-0000-0000222A0000}"/>
    <cellStyle name="Normal 2 7 9" xfId="7185" xr:uid="{00000000-0005-0000-0000-0000232A0000}"/>
    <cellStyle name="Normal 2 70" xfId="7205" xr:uid="{00000000-0005-0000-0000-0000242A0000}"/>
    <cellStyle name="Normal 2 70 10" xfId="7206" xr:uid="{00000000-0005-0000-0000-0000252A0000}"/>
    <cellStyle name="Normal 2 70 10 2" xfId="24934" xr:uid="{00000000-0005-0000-0000-0000262A0000}"/>
    <cellStyle name="Normal 2 70 11" xfId="7207" xr:uid="{00000000-0005-0000-0000-0000272A0000}"/>
    <cellStyle name="Normal 2 70 11 2" xfId="24935" xr:uid="{00000000-0005-0000-0000-0000282A0000}"/>
    <cellStyle name="Normal 2 70 12" xfId="7208" xr:uid="{00000000-0005-0000-0000-0000292A0000}"/>
    <cellStyle name="Normal 2 70 12 2" xfId="24936" xr:uid="{00000000-0005-0000-0000-00002A2A0000}"/>
    <cellStyle name="Normal 2 70 13" xfId="7209" xr:uid="{00000000-0005-0000-0000-00002B2A0000}"/>
    <cellStyle name="Normal 2 70 13 2" xfId="24937" xr:uid="{00000000-0005-0000-0000-00002C2A0000}"/>
    <cellStyle name="Normal 2 70 14" xfId="7210" xr:uid="{00000000-0005-0000-0000-00002D2A0000}"/>
    <cellStyle name="Normal 2 70 14 2" xfId="24938" xr:uid="{00000000-0005-0000-0000-00002E2A0000}"/>
    <cellStyle name="Normal 2 70 15" xfId="24933" xr:uid="{00000000-0005-0000-0000-00002F2A0000}"/>
    <cellStyle name="Normal 2 70 2" xfId="7211" xr:uid="{00000000-0005-0000-0000-0000302A0000}"/>
    <cellStyle name="Normal 2 70 2 2" xfId="24939" xr:uid="{00000000-0005-0000-0000-0000312A0000}"/>
    <cellStyle name="Normal 2 70 3" xfId="7212" xr:uid="{00000000-0005-0000-0000-0000322A0000}"/>
    <cellStyle name="Normal 2 70 3 2" xfId="24940" xr:uid="{00000000-0005-0000-0000-0000332A0000}"/>
    <cellStyle name="Normal 2 70 4" xfId="7213" xr:uid="{00000000-0005-0000-0000-0000342A0000}"/>
    <cellStyle name="Normal 2 70 4 2" xfId="24941" xr:uid="{00000000-0005-0000-0000-0000352A0000}"/>
    <cellStyle name="Normal 2 70 5" xfId="7214" xr:uid="{00000000-0005-0000-0000-0000362A0000}"/>
    <cellStyle name="Normal 2 70 5 2" xfId="24942" xr:uid="{00000000-0005-0000-0000-0000372A0000}"/>
    <cellStyle name="Normal 2 70 6" xfId="7215" xr:uid="{00000000-0005-0000-0000-0000382A0000}"/>
    <cellStyle name="Normal 2 70 6 2" xfId="24943" xr:uid="{00000000-0005-0000-0000-0000392A0000}"/>
    <cellStyle name="Normal 2 70 7" xfId="7216" xr:uid="{00000000-0005-0000-0000-00003A2A0000}"/>
    <cellStyle name="Normal 2 70 7 2" xfId="24944" xr:uid="{00000000-0005-0000-0000-00003B2A0000}"/>
    <cellStyle name="Normal 2 70 8" xfId="7217" xr:uid="{00000000-0005-0000-0000-00003C2A0000}"/>
    <cellStyle name="Normal 2 70 8 2" xfId="24945" xr:uid="{00000000-0005-0000-0000-00003D2A0000}"/>
    <cellStyle name="Normal 2 70 9" xfId="7218" xr:uid="{00000000-0005-0000-0000-00003E2A0000}"/>
    <cellStyle name="Normal 2 70 9 2" xfId="24946" xr:uid="{00000000-0005-0000-0000-00003F2A0000}"/>
    <cellStyle name="Normal 2 71" xfId="7219" xr:uid="{00000000-0005-0000-0000-0000402A0000}"/>
    <cellStyle name="Normal 2 71 10" xfId="7220" xr:uid="{00000000-0005-0000-0000-0000412A0000}"/>
    <cellStyle name="Normal 2 71 10 2" xfId="24948" xr:uid="{00000000-0005-0000-0000-0000422A0000}"/>
    <cellStyle name="Normal 2 71 11" xfId="7221" xr:uid="{00000000-0005-0000-0000-0000432A0000}"/>
    <cellStyle name="Normal 2 71 11 2" xfId="24949" xr:uid="{00000000-0005-0000-0000-0000442A0000}"/>
    <cellStyle name="Normal 2 71 12" xfId="7222" xr:uid="{00000000-0005-0000-0000-0000452A0000}"/>
    <cellStyle name="Normal 2 71 12 2" xfId="24950" xr:uid="{00000000-0005-0000-0000-0000462A0000}"/>
    <cellStyle name="Normal 2 71 13" xfId="7223" xr:uid="{00000000-0005-0000-0000-0000472A0000}"/>
    <cellStyle name="Normal 2 71 13 2" xfId="24951" xr:uid="{00000000-0005-0000-0000-0000482A0000}"/>
    <cellStyle name="Normal 2 71 14" xfId="7224" xr:uid="{00000000-0005-0000-0000-0000492A0000}"/>
    <cellStyle name="Normal 2 71 14 2" xfId="24952" xr:uid="{00000000-0005-0000-0000-00004A2A0000}"/>
    <cellStyle name="Normal 2 71 15" xfId="24947" xr:uid="{00000000-0005-0000-0000-00004B2A0000}"/>
    <cellStyle name="Normal 2 71 2" xfId="7225" xr:uid="{00000000-0005-0000-0000-00004C2A0000}"/>
    <cellStyle name="Normal 2 71 2 2" xfId="24953" xr:uid="{00000000-0005-0000-0000-00004D2A0000}"/>
    <cellStyle name="Normal 2 71 3" xfId="7226" xr:uid="{00000000-0005-0000-0000-00004E2A0000}"/>
    <cellStyle name="Normal 2 71 3 2" xfId="24954" xr:uid="{00000000-0005-0000-0000-00004F2A0000}"/>
    <cellStyle name="Normal 2 71 4" xfId="7227" xr:uid="{00000000-0005-0000-0000-0000502A0000}"/>
    <cellStyle name="Normal 2 71 4 2" xfId="24955" xr:uid="{00000000-0005-0000-0000-0000512A0000}"/>
    <cellStyle name="Normal 2 71 5" xfId="7228" xr:uid="{00000000-0005-0000-0000-0000522A0000}"/>
    <cellStyle name="Normal 2 71 5 2" xfId="24956" xr:uid="{00000000-0005-0000-0000-0000532A0000}"/>
    <cellStyle name="Normal 2 71 6" xfId="7229" xr:uid="{00000000-0005-0000-0000-0000542A0000}"/>
    <cellStyle name="Normal 2 71 6 2" xfId="24957" xr:uid="{00000000-0005-0000-0000-0000552A0000}"/>
    <cellStyle name="Normal 2 71 7" xfId="7230" xr:uid="{00000000-0005-0000-0000-0000562A0000}"/>
    <cellStyle name="Normal 2 71 7 2" xfId="24958" xr:uid="{00000000-0005-0000-0000-0000572A0000}"/>
    <cellStyle name="Normal 2 71 8" xfId="7231" xr:uid="{00000000-0005-0000-0000-0000582A0000}"/>
    <cellStyle name="Normal 2 71 8 2" xfId="24959" xr:uid="{00000000-0005-0000-0000-0000592A0000}"/>
    <cellStyle name="Normal 2 71 9" xfId="7232" xr:uid="{00000000-0005-0000-0000-00005A2A0000}"/>
    <cellStyle name="Normal 2 71 9 2" xfId="24960" xr:uid="{00000000-0005-0000-0000-00005B2A0000}"/>
    <cellStyle name="Normal 2 72" xfId="7233" xr:uid="{00000000-0005-0000-0000-00005C2A0000}"/>
    <cellStyle name="Normal 2 72 10" xfId="7234" xr:uid="{00000000-0005-0000-0000-00005D2A0000}"/>
    <cellStyle name="Normal 2 72 10 2" xfId="24962" xr:uid="{00000000-0005-0000-0000-00005E2A0000}"/>
    <cellStyle name="Normal 2 72 11" xfId="7235" xr:uid="{00000000-0005-0000-0000-00005F2A0000}"/>
    <cellStyle name="Normal 2 72 11 2" xfId="24963" xr:uid="{00000000-0005-0000-0000-0000602A0000}"/>
    <cellStyle name="Normal 2 72 12" xfId="7236" xr:uid="{00000000-0005-0000-0000-0000612A0000}"/>
    <cellStyle name="Normal 2 72 12 2" xfId="24964" xr:uid="{00000000-0005-0000-0000-0000622A0000}"/>
    <cellStyle name="Normal 2 72 13" xfId="7237" xr:uid="{00000000-0005-0000-0000-0000632A0000}"/>
    <cellStyle name="Normal 2 72 13 2" xfId="24965" xr:uid="{00000000-0005-0000-0000-0000642A0000}"/>
    <cellStyle name="Normal 2 72 14" xfId="7238" xr:uid="{00000000-0005-0000-0000-0000652A0000}"/>
    <cellStyle name="Normal 2 72 14 2" xfId="24966" xr:uid="{00000000-0005-0000-0000-0000662A0000}"/>
    <cellStyle name="Normal 2 72 15" xfId="24961" xr:uid="{00000000-0005-0000-0000-0000672A0000}"/>
    <cellStyle name="Normal 2 72 2" xfId="7239" xr:uid="{00000000-0005-0000-0000-0000682A0000}"/>
    <cellStyle name="Normal 2 72 2 2" xfId="24967" xr:uid="{00000000-0005-0000-0000-0000692A0000}"/>
    <cellStyle name="Normal 2 72 3" xfId="7240" xr:uid="{00000000-0005-0000-0000-00006A2A0000}"/>
    <cellStyle name="Normal 2 72 3 2" xfId="24968" xr:uid="{00000000-0005-0000-0000-00006B2A0000}"/>
    <cellStyle name="Normal 2 72 4" xfId="7241" xr:uid="{00000000-0005-0000-0000-00006C2A0000}"/>
    <cellStyle name="Normal 2 72 4 2" xfId="24969" xr:uid="{00000000-0005-0000-0000-00006D2A0000}"/>
    <cellStyle name="Normal 2 72 5" xfId="7242" xr:uid="{00000000-0005-0000-0000-00006E2A0000}"/>
    <cellStyle name="Normal 2 72 5 2" xfId="24970" xr:uid="{00000000-0005-0000-0000-00006F2A0000}"/>
    <cellStyle name="Normal 2 72 6" xfId="7243" xr:uid="{00000000-0005-0000-0000-0000702A0000}"/>
    <cellStyle name="Normal 2 72 6 2" xfId="24971" xr:uid="{00000000-0005-0000-0000-0000712A0000}"/>
    <cellStyle name="Normal 2 72 7" xfId="7244" xr:uid="{00000000-0005-0000-0000-0000722A0000}"/>
    <cellStyle name="Normal 2 72 7 2" xfId="24972" xr:uid="{00000000-0005-0000-0000-0000732A0000}"/>
    <cellStyle name="Normal 2 72 8" xfId="7245" xr:uid="{00000000-0005-0000-0000-0000742A0000}"/>
    <cellStyle name="Normal 2 72 8 2" xfId="24973" xr:uid="{00000000-0005-0000-0000-0000752A0000}"/>
    <cellStyle name="Normal 2 72 9" xfId="7246" xr:uid="{00000000-0005-0000-0000-0000762A0000}"/>
    <cellStyle name="Normal 2 72 9 2" xfId="24974" xr:uid="{00000000-0005-0000-0000-0000772A0000}"/>
    <cellStyle name="Normal 2 73" xfId="7247" xr:uid="{00000000-0005-0000-0000-0000782A0000}"/>
    <cellStyle name="Normal 2 73 10" xfId="7248" xr:uid="{00000000-0005-0000-0000-0000792A0000}"/>
    <cellStyle name="Normal 2 73 10 2" xfId="24976" xr:uid="{00000000-0005-0000-0000-00007A2A0000}"/>
    <cellStyle name="Normal 2 73 11" xfId="7249" xr:uid="{00000000-0005-0000-0000-00007B2A0000}"/>
    <cellStyle name="Normal 2 73 11 2" xfId="24977" xr:uid="{00000000-0005-0000-0000-00007C2A0000}"/>
    <cellStyle name="Normal 2 73 12" xfId="7250" xr:uid="{00000000-0005-0000-0000-00007D2A0000}"/>
    <cellStyle name="Normal 2 73 12 2" xfId="24978" xr:uid="{00000000-0005-0000-0000-00007E2A0000}"/>
    <cellStyle name="Normal 2 73 13" xfId="7251" xr:uid="{00000000-0005-0000-0000-00007F2A0000}"/>
    <cellStyle name="Normal 2 73 13 2" xfId="24979" xr:uid="{00000000-0005-0000-0000-0000802A0000}"/>
    <cellStyle name="Normal 2 73 14" xfId="7252" xr:uid="{00000000-0005-0000-0000-0000812A0000}"/>
    <cellStyle name="Normal 2 73 14 2" xfId="24980" xr:uid="{00000000-0005-0000-0000-0000822A0000}"/>
    <cellStyle name="Normal 2 73 15" xfId="24975" xr:uid="{00000000-0005-0000-0000-0000832A0000}"/>
    <cellStyle name="Normal 2 73 2" xfId="7253" xr:uid="{00000000-0005-0000-0000-0000842A0000}"/>
    <cellStyle name="Normal 2 73 2 2" xfId="24981" xr:uid="{00000000-0005-0000-0000-0000852A0000}"/>
    <cellStyle name="Normal 2 73 3" xfId="7254" xr:uid="{00000000-0005-0000-0000-0000862A0000}"/>
    <cellStyle name="Normal 2 73 3 2" xfId="24982" xr:uid="{00000000-0005-0000-0000-0000872A0000}"/>
    <cellStyle name="Normal 2 73 4" xfId="7255" xr:uid="{00000000-0005-0000-0000-0000882A0000}"/>
    <cellStyle name="Normal 2 73 4 2" xfId="24983" xr:uid="{00000000-0005-0000-0000-0000892A0000}"/>
    <cellStyle name="Normal 2 73 5" xfId="7256" xr:uid="{00000000-0005-0000-0000-00008A2A0000}"/>
    <cellStyle name="Normal 2 73 5 2" xfId="24984" xr:uid="{00000000-0005-0000-0000-00008B2A0000}"/>
    <cellStyle name="Normal 2 73 6" xfId="7257" xr:uid="{00000000-0005-0000-0000-00008C2A0000}"/>
    <cellStyle name="Normal 2 73 6 2" xfId="24985" xr:uid="{00000000-0005-0000-0000-00008D2A0000}"/>
    <cellStyle name="Normal 2 73 7" xfId="7258" xr:uid="{00000000-0005-0000-0000-00008E2A0000}"/>
    <cellStyle name="Normal 2 73 7 2" xfId="24986" xr:uid="{00000000-0005-0000-0000-00008F2A0000}"/>
    <cellStyle name="Normal 2 73 8" xfId="7259" xr:uid="{00000000-0005-0000-0000-0000902A0000}"/>
    <cellStyle name="Normal 2 73 8 2" xfId="24987" xr:uid="{00000000-0005-0000-0000-0000912A0000}"/>
    <cellStyle name="Normal 2 73 9" xfId="7260" xr:uid="{00000000-0005-0000-0000-0000922A0000}"/>
    <cellStyle name="Normal 2 73 9 2" xfId="24988" xr:uid="{00000000-0005-0000-0000-0000932A0000}"/>
    <cellStyle name="Normal 2 74" xfId="7261" xr:uid="{00000000-0005-0000-0000-0000942A0000}"/>
    <cellStyle name="Normal 2 74 10" xfId="7262" xr:uid="{00000000-0005-0000-0000-0000952A0000}"/>
    <cellStyle name="Normal 2 74 10 2" xfId="24990" xr:uid="{00000000-0005-0000-0000-0000962A0000}"/>
    <cellStyle name="Normal 2 74 11" xfId="7263" xr:uid="{00000000-0005-0000-0000-0000972A0000}"/>
    <cellStyle name="Normal 2 74 11 2" xfId="24991" xr:uid="{00000000-0005-0000-0000-0000982A0000}"/>
    <cellStyle name="Normal 2 74 12" xfId="7264" xr:uid="{00000000-0005-0000-0000-0000992A0000}"/>
    <cellStyle name="Normal 2 74 12 2" xfId="24992" xr:uid="{00000000-0005-0000-0000-00009A2A0000}"/>
    <cellStyle name="Normal 2 74 13" xfId="7265" xr:uid="{00000000-0005-0000-0000-00009B2A0000}"/>
    <cellStyle name="Normal 2 74 13 2" xfId="24993" xr:uid="{00000000-0005-0000-0000-00009C2A0000}"/>
    <cellStyle name="Normal 2 74 14" xfId="7266" xr:uid="{00000000-0005-0000-0000-00009D2A0000}"/>
    <cellStyle name="Normal 2 74 14 2" xfId="24994" xr:uid="{00000000-0005-0000-0000-00009E2A0000}"/>
    <cellStyle name="Normal 2 74 15" xfId="24989" xr:uid="{00000000-0005-0000-0000-00009F2A0000}"/>
    <cellStyle name="Normal 2 74 2" xfId="7267" xr:uid="{00000000-0005-0000-0000-0000A02A0000}"/>
    <cellStyle name="Normal 2 74 2 2" xfId="24995" xr:uid="{00000000-0005-0000-0000-0000A12A0000}"/>
    <cellStyle name="Normal 2 74 3" xfId="7268" xr:uid="{00000000-0005-0000-0000-0000A22A0000}"/>
    <cellStyle name="Normal 2 74 3 2" xfId="24996" xr:uid="{00000000-0005-0000-0000-0000A32A0000}"/>
    <cellStyle name="Normal 2 74 4" xfId="7269" xr:uid="{00000000-0005-0000-0000-0000A42A0000}"/>
    <cellStyle name="Normal 2 74 4 2" xfId="24997" xr:uid="{00000000-0005-0000-0000-0000A52A0000}"/>
    <cellStyle name="Normal 2 74 5" xfId="7270" xr:uid="{00000000-0005-0000-0000-0000A62A0000}"/>
    <cellStyle name="Normal 2 74 5 2" xfId="24998" xr:uid="{00000000-0005-0000-0000-0000A72A0000}"/>
    <cellStyle name="Normal 2 74 6" xfId="7271" xr:uid="{00000000-0005-0000-0000-0000A82A0000}"/>
    <cellStyle name="Normal 2 74 6 2" xfId="24999" xr:uid="{00000000-0005-0000-0000-0000A92A0000}"/>
    <cellStyle name="Normal 2 74 7" xfId="7272" xr:uid="{00000000-0005-0000-0000-0000AA2A0000}"/>
    <cellStyle name="Normal 2 74 7 2" xfId="25000" xr:uid="{00000000-0005-0000-0000-0000AB2A0000}"/>
    <cellStyle name="Normal 2 74 8" xfId="7273" xr:uid="{00000000-0005-0000-0000-0000AC2A0000}"/>
    <cellStyle name="Normal 2 74 8 2" xfId="25001" xr:uid="{00000000-0005-0000-0000-0000AD2A0000}"/>
    <cellStyle name="Normal 2 74 9" xfId="7274" xr:uid="{00000000-0005-0000-0000-0000AE2A0000}"/>
    <cellStyle name="Normal 2 74 9 2" xfId="25002" xr:uid="{00000000-0005-0000-0000-0000AF2A0000}"/>
    <cellStyle name="Normal 2 75" xfId="7275" xr:uid="{00000000-0005-0000-0000-0000B02A0000}"/>
    <cellStyle name="Normal 2 75 10" xfId="7276" xr:uid="{00000000-0005-0000-0000-0000B12A0000}"/>
    <cellStyle name="Normal 2 75 10 2" xfId="25004" xr:uid="{00000000-0005-0000-0000-0000B22A0000}"/>
    <cellStyle name="Normal 2 75 11" xfId="7277" xr:uid="{00000000-0005-0000-0000-0000B32A0000}"/>
    <cellStyle name="Normal 2 75 11 2" xfId="25005" xr:uid="{00000000-0005-0000-0000-0000B42A0000}"/>
    <cellStyle name="Normal 2 75 12" xfId="7278" xr:uid="{00000000-0005-0000-0000-0000B52A0000}"/>
    <cellStyle name="Normal 2 75 12 2" xfId="25006" xr:uid="{00000000-0005-0000-0000-0000B62A0000}"/>
    <cellStyle name="Normal 2 75 13" xfId="7279" xr:uid="{00000000-0005-0000-0000-0000B72A0000}"/>
    <cellStyle name="Normal 2 75 13 2" xfId="25007" xr:uid="{00000000-0005-0000-0000-0000B82A0000}"/>
    <cellStyle name="Normal 2 75 14" xfId="7280" xr:uid="{00000000-0005-0000-0000-0000B92A0000}"/>
    <cellStyle name="Normal 2 75 14 2" xfId="25008" xr:uid="{00000000-0005-0000-0000-0000BA2A0000}"/>
    <cellStyle name="Normal 2 75 15" xfId="25003" xr:uid="{00000000-0005-0000-0000-0000BB2A0000}"/>
    <cellStyle name="Normal 2 75 2" xfId="7281" xr:uid="{00000000-0005-0000-0000-0000BC2A0000}"/>
    <cellStyle name="Normal 2 75 2 2" xfId="25009" xr:uid="{00000000-0005-0000-0000-0000BD2A0000}"/>
    <cellStyle name="Normal 2 75 3" xfId="7282" xr:uid="{00000000-0005-0000-0000-0000BE2A0000}"/>
    <cellStyle name="Normal 2 75 3 2" xfId="25010" xr:uid="{00000000-0005-0000-0000-0000BF2A0000}"/>
    <cellStyle name="Normal 2 75 4" xfId="7283" xr:uid="{00000000-0005-0000-0000-0000C02A0000}"/>
    <cellStyle name="Normal 2 75 4 2" xfId="25011" xr:uid="{00000000-0005-0000-0000-0000C12A0000}"/>
    <cellStyle name="Normal 2 75 5" xfId="7284" xr:uid="{00000000-0005-0000-0000-0000C22A0000}"/>
    <cellStyle name="Normal 2 75 5 2" xfId="25012" xr:uid="{00000000-0005-0000-0000-0000C32A0000}"/>
    <cellStyle name="Normal 2 75 6" xfId="7285" xr:uid="{00000000-0005-0000-0000-0000C42A0000}"/>
    <cellStyle name="Normal 2 75 6 2" xfId="25013" xr:uid="{00000000-0005-0000-0000-0000C52A0000}"/>
    <cellStyle name="Normal 2 75 7" xfId="7286" xr:uid="{00000000-0005-0000-0000-0000C62A0000}"/>
    <cellStyle name="Normal 2 75 7 2" xfId="25014" xr:uid="{00000000-0005-0000-0000-0000C72A0000}"/>
    <cellStyle name="Normal 2 75 8" xfId="7287" xr:uid="{00000000-0005-0000-0000-0000C82A0000}"/>
    <cellStyle name="Normal 2 75 8 2" xfId="25015" xr:uid="{00000000-0005-0000-0000-0000C92A0000}"/>
    <cellStyle name="Normal 2 75 9" xfId="7288" xr:uid="{00000000-0005-0000-0000-0000CA2A0000}"/>
    <cellStyle name="Normal 2 75 9 2" xfId="25016" xr:uid="{00000000-0005-0000-0000-0000CB2A0000}"/>
    <cellStyle name="Normal 2 76" xfId="7289" xr:uid="{00000000-0005-0000-0000-0000CC2A0000}"/>
    <cellStyle name="Normal 2 76 10" xfId="7290" xr:uid="{00000000-0005-0000-0000-0000CD2A0000}"/>
    <cellStyle name="Normal 2 76 10 2" xfId="25018" xr:uid="{00000000-0005-0000-0000-0000CE2A0000}"/>
    <cellStyle name="Normal 2 76 11" xfId="7291" xr:uid="{00000000-0005-0000-0000-0000CF2A0000}"/>
    <cellStyle name="Normal 2 76 11 2" xfId="25019" xr:uid="{00000000-0005-0000-0000-0000D02A0000}"/>
    <cellStyle name="Normal 2 76 12" xfId="7292" xr:uid="{00000000-0005-0000-0000-0000D12A0000}"/>
    <cellStyle name="Normal 2 76 12 2" xfId="25020" xr:uid="{00000000-0005-0000-0000-0000D22A0000}"/>
    <cellStyle name="Normal 2 76 13" xfId="7293" xr:uid="{00000000-0005-0000-0000-0000D32A0000}"/>
    <cellStyle name="Normal 2 76 13 2" xfId="25021" xr:uid="{00000000-0005-0000-0000-0000D42A0000}"/>
    <cellStyle name="Normal 2 76 14" xfId="7294" xr:uid="{00000000-0005-0000-0000-0000D52A0000}"/>
    <cellStyle name="Normal 2 76 14 2" xfId="25022" xr:uid="{00000000-0005-0000-0000-0000D62A0000}"/>
    <cellStyle name="Normal 2 76 15" xfId="25017" xr:uid="{00000000-0005-0000-0000-0000D72A0000}"/>
    <cellStyle name="Normal 2 76 2" xfId="7295" xr:uid="{00000000-0005-0000-0000-0000D82A0000}"/>
    <cellStyle name="Normal 2 76 2 2" xfId="25023" xr:uid="{00000000-0005-0000-0000-0000D92A0000}"/>
    <cellStyle name="Normal 2 76 3" xfId="7296" xr:uid="{00000000-0005-0000-0000-0000DA2A0000}"/>
    <cellStyle name="Normal 2 76 3 2" xfId="25024" xr:uid="{00000000-0005-0000-0000-0000DB2A0000}"/>
    <cellStyle name="Normal 2 76 4" xfId="7297" xr:uid="{00000000-0005-0000-0000-0000DC2A0000}"/>
    <cellStyle name="Normal 2 76 4 2" xfId="25025" xr:uid="{00000000-0005-0000-0000-0000DD2A0000}"/>
    <cellStyle name="Normal 2 76 5" xfId="7298" xr:uid="{00000000-0005-0000-0000-0000DE2A0000}"/>
    <cellStyle name="Normal 2 76 5 2" xfId="25026" xr:uid="{00000000-0005-0000-0000-0000DF2A0000}"/>
    <cellStyle name="Normal 2 76 6" xfId="7299" xr:uid="{00000000-0005-0000-0000-0000E02A0000}"/>
    <cellStyle name="Normal 2 76 6 2" xfId="25027" xr:uid="{00000000-0005-0000-0000-0000E12A0000}"/>
    <cellStyle name="Normal 2 76 7" xfId="7300" xr:uid="{00000000-0005-0000-0000-0000E22A0000}"/>
    <cellStyle name="Normal 2 76 7 2" xfId="25028" xr:uid="{00000000-0005-0000-0000-0000E32A0000}"/>
    <cellStyle name="Normal 2 76 8" xfId="7301" xr:uid="{00000000-0005-0000-0000-0000E42A0000}"/>
    <cellStyle name="Normal 2 76 8 2" xfId="25029" xr:uid="{00000000-0005-0000-0000-0000E52A0000}"/>
    <cellStyle name="Normal 2 76 9" xfId="7302" xr:uid="{00000000-0005-0000-0000-0000E62A0000}"/>
    <cellStyle name="Normal 2 76 9 2" xfId="25030" xr:uid="{00000000-0005-0000-0000-0000E72A0000}"/>
    <cellStyle name="Normal 2 77" xfId="7303" xr:uid="{00000000-0005-0000-0000-0000E82A0000}"/>
    <cellStyle name="Normal 2 77 10" xfId="7304" xr:uid="{00000000-0005-0000-0000-0000E92A0000}"/>
    <cellStyle name="Normal 2 77 10 2" xfId="25032" xr:uid="{00000000-0005-0000-0000-0000EA2A0000}"/>
    <cellStyle name="Normal 2 77 11" xfId="7305" xr:uid="{00000000-0005-0000-0000-0000EB2A0000}"/>
    <cellStyle name="Normal 2 77 11 2" xfId="25033" xr:uid="{00000000-0005-0000-0000-0000EC2A0000}"/>
    <cellStyle name="Normal 2 77 12" xfId="7306" xr:uid="{00000000-0005-0000-0000-0000ED2A0000}"/>
    <cellStyle name="Normal 2 77 12 2" xfId="25034" xr:uid="{00000000-0005-0000-0000-0000EE2A0000}"/>
    <cellStyle name="Normal 2 77 13" xfId="7307" xr:uid="{00000000-0005-0000-0000-0000EF2A0000}"/>
    <cellStyle name="Normal 2 77 13 2" xfId="25035" xr:uid="{00000000-0005-0000-0000-0000F02A0000}"/>
    <cellStyle name="Normal 2 77 14" xfId="7308" xr:uid="{00000000-0005-0000-0000-0000F12A0000}"/>
    <cellStyle name="Normal 2 77 14 2" xfId="25036" xr:uid="{00000000-0005-0000-0000-0000F22A0000}"/>
    <cellStyle name="Normal 2 77 15" xfId="25031" xr:uid="{00000000-0005-0000-0000-0000F32A0000}"/>
    <cellStyle name="Normal 2 77 2" xfId="7309" xr:uid="{00000000-0005-0000-0000-0000F42A0000}"/>
    <cellStyle name="Normal 2 77 2 2" xfId="25037" xr:uid="{00000000-0005-0000-0000-0000F52A0000}"/>
    <cellStyle name="Normal 2 77 3" xfId="7310" xr:uid="{00000000-0005-0000-0000-0000F62A0000}"/>
    <cellStyle name="Normal 2 77 3 2" xfId="25038" xr:uid="{00000000-0005-0000-0000-0000F72A0000}"/>
    <cellStyle name="Normal 2 77 4" xfId="7311" xr:uid="{00000000-0005-0000-0000-0000F82A0000}"/>
    <cellStyle name="Normal 2 77 4 2" xfId="25039" xr:uid="{00000000-0005-0000-0000-0000F92A0000}"/>
    <cellStyle name="Normal 2 77 5" xfId="7312" xr:uid="{00000000-0005-0000-0000-0000FA2A0000}"/>
    <cellStyle name="Normal 2 77 5 2" xfId="25040" xr:uid="{00000000-0005-0000-0000-0000FB2A0000}"/>
    <cellStyle name="Normal 2 77 6" xfId="7313" xr:uid="{00000000-0005-0000-0000-0000FC2A0000}"/>
    <cellStyle name="Normal 2 77 6 2" xfId="25041" xr:uid="{00000000-0005-0000-0000-0000FD2A0000}"/>
    <cellStyle name="Normal 2 77 7" xfId="7314" xr:uid="{00000000-0005-0000-0000-0000FE2A0000}"/>
    <cellStyle name="Normal 2 77 7 2" xfId="25042" xr:uid="{00000000-0005-0000-0000-0000FF2A0000}"/>
    <cellStyle name="Normal 2 77 8" xfId="7315" xr:uid="{00000000-0005-0000-0000-0000002B0000}"/>
    <cellStyle name="Normal 2 77 8 2" xfId="25043" xr:uid="{00000000-0005-0000-0000-0000012B0000}"/>
    <cellStyle name="Normal 2 77 9" xfId="7316" xr:uid="{00000000-0005-0000-0000-0000022B0000}"/>
    <cellStyle name="Normal 2 77 9 2" xfId="25044" xr:uid="{00000000-0005-0000-0000-0000032B0000}"/>
    <cellStyle name="Normal 2 78" xfId="7317" xr:uid="{00000000-0005-0000-0000-0000042B0000}"/>
    <cellStyle name="Normal 2 78 10" xfId="7318" xr:uid="{00000000-0005-0000-0000-0000052B0000}"/>
    <cellStyle name="Normal 2 78 10 2" xfId="25046" xr:uid="{00000000-0005-0000-0000-0000062B0000}"/>
    <cellStyle name="Normal 2 78 11" xfId="7319" xr:uid="{00000000-0005-0000-0000-0000072B0000}"/>
    <cellStyle name="Normal 2 78 11 2" xfId="25047" xr:uid="{00000000-0005-0000-0000-0000082B0000}"/>
    <cellStyle name="Normal 2 78 12" xfId="7320" xr:uid="{00000000-0005-0000-0000-0000092B0000}"/>
    <cellStyle name="Normal 2 78 12 2" xfId="25048" xr:uid="{00000000-0005-0000-0000-00000A2B0000}"/>
    <cellStyle name="Normal 2 78 13" xfId="7321" xr:uid="{00000000-0005-0000-0000-00000B2B0000}"/>
    <cellStyle name="Normal 2 78 13 2" xfId="25049" xr:uid="{00000000-0005-0000-0000-00000C2B0000}"/>
    <cellStyle name="Normal 2 78 14" xfId="7322" xr:uid="{00000000-0005-0000-0000-00000D2B0000}"/>
    <cellStyle name="Normal 2 78 14 2" xfId="25050" xr:uid="{00000000-0005-0000-0000-00000E2B0000}"/>
    <cellStyle name="Normal 2 78 15" xfId="25045" xr:uid="{00000000-0005-0000-0000-00000F2B0000}"/>
    <cellStyle name="Normal 2 78 2" xfId="7323" xr:uid="{00000000-0005-0000-0000-0000102B0000}"/>
    <cellStyle name="Normal 2 78 2 2" xfId="25051" xr:uid="{00000000-0005-0000-0000-0000112B0000}"/>
    <cellStyle name="Normal 2 78 3" xfId="7324" xr:uid="{00000000-0005-0000-0000-0000122B0000}"/>
    <cellStyle name="Normal 2 78 3 2" xfId="25052" xr:uid="{00000000-0005-0000-0000-0000132B0000}"/>
    <cellStyle name="Normal 2 78 4" xfId="7325" xr:uid="{00000000-0005-0000-0000-0000142B0000}"/>
    <cellStyle name="Normal 2 78 4 2" xfId="25053" xr:uid="{00000000-0005-0000-0000-0000152B0000}"/>
    <cellStyle name="Normal 2 78 5" xfId="7326" xr:uid="{00000000-0005-0000-0000-0000162B0000}"/>
    <cellStyle name="Normal 2 78 5 2" xfId="25054" xr:uid="{00000000-0005-0000-0000-0000172B0000}"/>
    <cellStyle name="Normal 2 78 6" xfId="7327" xr:uid="{00000000-0005-0000-0000-0000182B0000}"/>
    <cellStyle name="Normal 2 78 6 2" xfId="25055" xr:uid="{00000000-0005-0000-0000-0000192B0000}"/>
    <cellStyle name="Normal 2 78 7" xfId="7328" xr:uid="{00000000-0005-0000-0000-00001A2B0000}"/>
    <cellStyle name="Normal 2 78 7 2" xfId="25056" xr:uid="{00000000-0005-0000-0000-00001B2B0000}"/>
    <cellStyle name="Normal 2 78 8" xfId="7329" xr:uid="{00000000-0005-0000-0000-00001C2B0000}"/>
    <cellStyle name="Normal 2 78 8 2" xfId="25057" xr:uid="{00000000-0005-0000-0000-00001D2B0000}"/>
    <cellStyle name="Normal 2 78 9" xfId="7330" xr:uid="{00000000-0005-0000-0000-00001E2B0000}"/>
    <cellStyle name="Normal 2 78 9 2" xfId="25058" xr:uid="{00000000-0005-0000-0000-00001F2B0000}"/>
    <cellStyle name="Normal 2 79" xfId="7331" xr:uid="{00000000-0005-0000-0000-0000202B0000}"/>
    <cellStyle name="Normal 2 8" xfId="183" xr:uid="{00000000-0005-0000-0000-0000212B0000}"/>
    <cellStyle name="Normal 2 8 2" xfId="557" xr:uid="{00000000-0005-0000-0000-0000222B0000}"/>
    <cellStyle name="Normal 2 8 2 2" xfId="7334" xr:uid="{00000000-0005-0000-0000-0000232B0000}"/>
    <cellStyle name="Normal 2 8 2 3" xfId="7333" xr:uid="{00000000-0005-0000-0000-0000242B0000}"/>
    <cellStyle name="Normal 2 8 3" xfId="7335" xr:uid="{00000000-0005-0000-0000-0000252B0000}"/>
    <cellStyle name="Normal 2 8 3 2" xfId="7336" xr:uid="{00000000-0005-0000-0000-0000262B0000}"/>
    <cellStyle name="Normal 2 8 4" xfId="7337" xr:uid="{00000000-0005-0000-0000-0000272B0000}"/>
    <cellStyle name="Normal 2 8 4 2" xfId="7338" xr:uid="{00000000-0005-0000-0000-0000282B0000}"/>
    <cellStyle name="Normal 2 8 5" xfId="7339" xr:uid="{00000000-0005-0000-0000-0000292B0000}"/>
    <cellStyle name="Normal 2 8 5 2" xfId="7340" xr:uid="{00000000-0005-0000-0000-00002A2B0000}"/>
    <cellStyle name="Normal 2 8 6" xfId="7341" xr:uid="{00000000-0005-0000-0000-00002B2B0000}"/>
    <cellStyle name="Normal 2 8 6 2" xfId="7342" xr:uid="{00000000-0005-0000-0000-00002C2B0000}"/>
    <cellStyle name="Normal 2 8 7" xfId="7343" xr:uid="{00000000-0005-0000-0000-00002D2B0000}"/>
    <cellStyle name="Normal 2 8 7 2" xfId="7344" xr:uid="{00000000-0005-0000-0000-00002E2B0000}"/>
    <cellStyle name="Normal 2 8 8" xfId="7345" xr:uid="{00000000-0005-0000-0000-00002F2B0000}"/>
    <cellStyle name="Normal 2 8 9" xfId="7332" xr:uid="{00000000-0005-0000-0000-0000302B0000}"/>
    <cellStyle name="Normal 2 80" xfId="7346" xr:uid="{00000000-0005-0000-0000-0000312B0000}"/>
    <cellStyle name="Normal 2 80 10" xfId="7347" xr:uid="{00000000-0005-0000-0000-0000322B0000}"/>
    <cellStyle name="Normal 2 80 10 2" xfId="25060" xr:uid="{00000000-0005-0000-0000-0000332B0000}"/>
    <cellStyle name="Normal 2 80 11" xfId="7348" xr:uid="{00000000-0005-0000-0000-0000342B0000}"/>
    <cellStyle name="Normal 2 80 11 2" xfId="25061" xr:uid="{00000000-0005-0000-0000-0000352B0000}"/>
    <cellStyle name="Normal 2 80 12" xfId="7349" xr:uid="{00000000-0005-0000-0000-0000362B0000}"/>
    <cellStyle name="Normal 2 80 12 2" xfId="25062" xr:uid="{00000000-0005-0000-0000-0000372B0000}"/>
    <cellStyle name="Normal 2 80 13" xfId="7350" xr:uid="{00000000-0005-0000-0000-0000382B0000}"/>
    <cellStyle name="Normal 2 80 13 2" xfId="25063" xr:uid="{00000000-0005-0000-0000-0000392B0000}"/>
    <cellStyle name="Normal 2 80 14" xfId="7351" xr:uid="{00000000-0005-0000-0000-00003A2B0000}"/>
    <cellStyle name="Normal 2 80 14 2" xfId="25064" xr:uid="{00000000-0005-0000-0000-00003B2B0000}"/>
    <cellStyle name="Normal 2 80 15" xfId="25059" xr:uid="{00000000-0005-0000-0000-00003C2B0000}"/>
    <cellStyle name="Normal 2 80 2" xfId="7352" xr:uid="{00000000-0005-0000-0000-00003D2B0000}"/>
    <cellStyle name="Normal 2 80 2 2" xfId="25065" xr:uid="{00000000-0005-0000-0000-00003E2B0000}"/>
    <cellStyle name="Normal 2 80 3" xfId="7353" xr:uid="{00000000-0005-0000-0000-00003F2B0000}"/>
    <cellStyle name="Normal 2 80 3 2" xfId="25066" xr:uid="{00000000-0005-0000-0000-0000402B0000}"/>
    <cellStyle name="Normal 2 80 4" xfId="7354" xr:uid="{00000000-0005-0000-0000-0000412B0000}"/>
    <cellStyle name="Normal 2 80 4 2" xfId="25067" xr:uid="{00000000-0005-0000-0000-0000422B0000}"/>
    <cellStyle name="Normal 2 80 5" xfId="7355" xr:uid="{00000000-0005-0000-0000-0000432B0000}"/>
    <cellStyle name="Normal 2 80 5 2" xfId="25068" xr:uid="{00000000-0005-0000-0000-0000442B0000}"/>
    <cellStyle name="Normal 2 80 6" xfId="7356" xr:uid="{00000000-0005-0000-0000-0000452B0000}"/>
    <cellStyle name="Normal 2 80 6 2" xfId="25069" xr:uid="{00000000-0005-0000-0000-0000462B0000}"/>
    <cellStyle name="Normal 2 80 7" xfId="7357" xr:uid="{00000000-0005-0000-0000-0000472B0000}"/>
    <cellStyle name="Normal 2 80 7 2" xfId="25070" xr:uid="{00000000-0005-0000-0000-0000482B0000}"/>
    <cellStyle name="Normal 2 80 8" xfId="7358" xr:uid="{00000000-0005-0000-0000-0000492B0000}"/>
    <cellStyle name="Normal 2 80 8 2" xfId="25071" xr:uid="{00000000-0005-0000-0000-00004A2B0000}"/>
    <cellStyle name="Normal 2 80 9" xfId="7359" xr:uid="{00000000-0005-0000-0000-00004B2B0000}"/>
    <cellStyle name="Normal 2 80 9 2" xfId="25072" xr:uid="{00000000-0005-0000-0000-00004C2B0000}"/>
    <cellStyle name="Normal 2 81" xfId="7360" xr:uid="{00000000-0005-0000-0000-00004D2B0000}"/>
    <cellStyle name="Normal 2 81 10" xfId="7361" xr:uid="{00000000-0005-0000-0000-00004E2B0000}"/>
    <cellStyle name="Normal 2 81 10 2" xfId="25074" xr:uid="{00000000-0005-0000-0000-00004F2B0000}"/>
    <cellStyle name="Normal 2 81 11" xfId="7362" xr:uid="{00000000-0005-0000-0000-0000502B0000}"/>
    <cellStyle name="Normal 2 81 11 2" xfId="25075" xr:uid="{00000000-0005-0000-0000-0000512B0000}"/>
    <cellStyle name="Normal 2 81 12" xfId="7363" xr:uid="{00000000-0005-0000-0000-0000522B0000}"/>
    <cellStyle name="Normal 2 81 12 2" xfId="25076" xr:uid="{00000000-0005-0000-0000-0000532B0000}"/>
    <cellStyle name="Normal 2 81 13" xfId="7364" xr:uid="{00000000-0005-0000-0000-0000542B0000}"/>
    <cellStyle name="Normal 2 81 13 2" xfId="25077" xr:uid="{00000000-0005-0000-0000-0000552B0000}"/>
    <cellStyle name="Normal 2 81 14" xfId="7365" xr:uid="{00000000-0005-0000-0000-0000562B0000}"/>
    <cellStyle name="Normal 2 81 14 2" xfId="25078" xr:uid="{00000000-0005-0000-0000-0000572B0000}"/>
    <cellStyle name="Normal 2 81 15" xfId="25073" xr:uid="{00000000-0005-0000-0000-0000582B0000}"/>
    <cellStyle name="Normal 2 81 2" xfId="7366" xr:uid="{00000000-0005-0000-0000-0000592B0000}"/>
    <cellStyle name="Normal 2 81 2 2" xfId="25079" xr:uid="{00000000-0005-0000-0000-00005A2B0000}"/>
    <cellStyle name="Normal 2 81 3" xfId="7367" xr:uid="{00000000-0005-0000-0000-00005B2B0000}"/>
    <cellStyle name="Normal 2 81 3 2" xfId="25080" xr:uid="{00000000-0005-0000-0000-00005C2B0000}"/>
    <cellStyle name="Normal 2 81 4" xfId="7368" xr:uid="{00000000-0005-0000-0000-00005D2B0000}"/>
    <cellStyle name="Normal 2 81 4 2" xfId="25081" xr:uid="{00000000-0005-0000-0000-00005E2B0000}"/>
    <cellStyle name="Normal 2 81 5" xfId="7369" xr:uid="{00000000-0005-0000-0000-00005F2B0000}"/>
    <cellStyle name="Normal 2 81 5 2" xfId="25082" xr:uid="{00000000-0005-0000-0000-0000602B0000}"/>
    <cellStyle name="Normal 2 81 6" xfId="7370" xr:uid="{00000000-0005-0000-0000-0000612B0000}"/>
    <cellStyle name="Normal 2 81 6 2" xfId="25083" xr:uid="{00000000-0005-0000-0000-0000622B0000}"/>
    <cellStyle name="Normal 2 81 7" xfId="7371" xr:uid="{00000000-0005-0000-0000-0000632B0000}"/>
    <cellStyle name="Normal 2 81 7 2" xfId="25084" xr:uid="{00000000-0005-0000-0000-0000642B0000}"/>
    <cellStyle name="Normal 2 81 8" xfId="7372" xr:uid="{00000000-0005-0000-0000-0000652B0000}"/>
    <cellStyle name="Normal 2 81 8 2" xfId="25085" xr:uid="{00000000-0005-0000-0000-0000662B0000}"/>
    <cellStyle name="Normal 2 81 9" xfId="7373" xr:uid="{00000000-0005-0000-0000-0000672B0000}"/>
    <cellStyle name="Normal 2 81 9 2" xfId="25086" xr:uid="{00000000-0005-0000-0000-0000682B0000}"/>
    <cellStyle name="Normal 2 9" xfId="468" xr:uid="{00000000-0005-0000-0000-0000692B0000}"/>
    <cellStyle name="Normal 2 9 2" xfId="7375" xr:uid="{00000000-0005-0000-0000-00006A2B0000}"/>
    <cellStyle name="Normal 2 9 2 2" xfId="7376" xr:uid="{00000000-0005-0000-0000-00006B2B0000}"/>
    <cellStyle name="Normal 2 9 3" xfId="7377" xr:uid="{00000000-0005-0000-0000-00006C2B0000}"/>
    <cellStyle name="Normal 2 9 3 2" xfId="7378" xr:uid="{00000000-0005-0000-0000-00006D2B0000}"/>
    <cellStyle name="Normal 2 9 4" xfId="7379" xr:uid="{00000000-0005-0000-0000-00006E2B0000}"/>
    <cellStyle name="Normal 2 9 4 2" xfId="7380" xr:uid="{00000000-0005-0000-0000-00006F2B0000}"/>
    <cellStyle name="Normal 2 9 5" xfId="7381" xr:uid="{00000000-0005-0000-0000-0000702B0000}"/>
    <cellStyle name="Normal 2 9 5 2" xfId="7382" xr:uid="{00000000-0005-0000-0000-0000712B0000}"/>
    <cellStyle name="Normal 2 9 6" xfId="7383" xr:uid="{00000000-0005-0000-0000-0000722B0000}"/>
    <cellStyle name="Normal 2 9 6 2" xfId="7384" xr:uid="{00000000-0005-0000-0000-0000732B0000}"/>
    <cellStyle name="Normal 2 9 7" xfId="7385" xr:uid="{00000000-0005-0000-0000-0000742B0000}"/>
    <cellStyle name="Normal 2 9 7 2" xfId="7386" xr:uid="{00000000-0005-0000-0000-0000752B0000}"/>
    <cellStyle name="Normal 2 9 8" xfId="7387" xr:uid="{00000000-0005-0000-0000-0000762B0000}"/>
    <cellStyle name="Normal 2 9 9" xfId="7374" xr:uid="{00000000-0005-0000-0000-0000772B0000}"/>
    <cellStyle name="Normal 20" xfId="329" xr:uid="{00000000-0005-0000-0000-0000782B0000}"/>
    <cellStyle name="Normal 20 10" xfId="7388" xr:uid="{00000000-0005-0000-0000-0000792B0000}"/>
    <cellStyle name="Normal 20 2" xfId="463" xr:uid="{00000000-0005-0000-0000-00007A2B0000}"/>
    <cellStyle name="Normal 20 2 2" xfId="7389" xr:uid="{00000000-0005-0000-0000-00007B2B0000}"/>
    <cellStyle name="Normal 20 3" xfId="7390" xr:uid="{00000000-0005-0000-0000-00007C2B0000}"/>
    <cellStyle name="Normal 20 4" xfId="7391" xr:uid="{00000000-0005-0000-0000-00007D2B0000}"/>
    <cellStyle name="Normal 20 5" xfId="7392" xr:uid="{00000000-0005-0000-0000-00007E2B0000}"/>
    <cellStyle name="Normal 20 6" xfId="7393" xr:uid="{00000000-0005-0000-0000-00007F2B0000}"/>
    <cellStyle name="Normal 20 7" xfId="7394" xr:uid="{00000000-0005-0000-0000-0000802B0000}"/>
    <cellStyle name="Normal 20 8" xfId="7395" xr:uid="{00000000-0005-0000-0000-0000812B0000}"/>
    <cellStyle name="Normal 20 9" xfId="7396" xr:uid="{00000000-0005-0000-0000-0000822B0000}"/>
    <cellStyle name="Normal 21" xfId="332" xr:uid="{00000000-0005-0000-0000-0000832B0000}"/>
    <cellStyle name="Normal 21 10" xfId="7397" xr:uid="{00000000-0005-0000-0000-0000842B0000}"/>
    <cellStyle name="Normal 21 2" xfId="522" xr:uid="{00000000-0005-0000-0000-0000852B0000}"/>
    <cellStyle name="Normal 21 2 2" xfId="7398" xr:uid="{00000000-0005-0000-0000-0000862B0000}"/>
    <cellStyle name="Normal 21 3" xfId="7399" xr:uid="{00000000-0005-0000-0000-0000872B0000}"/>
    <cellStyle name="Normal 21 4" xfId="7400" xr:uid="{00000000-0005-0000-0000-0000882B0000}"/>
    <cellStyle name="Normal 21 5" xfId="7401" xr:uid="{00000000-0005-0000-0000-0000892B0000}"/>
    <cellStyle name="Normal 21 6" xfId="7402" xr:uid="{00000000-0005-0000-0000-00008A2B0000}"/>
    <cellStyle name="Normal 21 7" xfId="7403" xr:uid="{00000000-0005-0000-0000-00008B2B0000}"/>
    <cellStyle name="Normal 21 8" xfId="7404" xr:uid="{00000000-0005-0000-0000-00008C2B0000}"/>
    <cellStyle name="Normal 21 9" xfId="7405" xr:uid="{00000000-0005-0000-0000-00008D2B0000}"/>
    <cellStyle name="Normal 22" xfId="348" xr:uid="{00000000-0005-0000-0000-00008E2B0000}"/>
    <cellStyle name="Normal 22 2" xfId="538" xr:uid="{00000000-0005-0000-0000-00008F2B0000}"/>
    <cellStyle name="Normal 22 2 2" xfId="7407" xr:uid="{00000000-0005-0000-0000-0000902B0000}"/>
    <cellStyle name="Normal 22 3" xfId="7406" xr:uid="{00000000-0005-0000-0000-0000912B0000}"/>
    <cellStyle name="Normal 23" xfId="389" xr:uid="{00000000-0005-0000-0000-0000922B0000}"/>
    <cellStyle name="Normal 23 2" xfId="581" xr:uid="{00000000-0005-0000-0000-0000932B0000}"/>
    <cellStyle name="Normal 24" xfId="430" xr:uid="{00000000-0005-0000-0000-0000942B0000}"/>
    <cellStyle name="Normal 24 2" xfId="587" xr:uid="{00000000-0005-0000-0000-0000952B0000}"/>
    <cellStyle name="Normal 24 2 2" xfId="7409" xr:uid="{00000000-0005-0000-0000-0000962B0000}"/>
    <cellStyle name="Normal 24 3" xfId="7408" xr:uid="{00000000-0005-0000-0000-0000972B0000}"/>
    <cellStyle name="Normal 25" xfId="433" xr:uid="{00000000-0005-0000-0000-0000982B0000}"/>
    <cellStyle name="Normal 25 2" xfId="591" xr:uid="{00000000-0005-0000-0000-0000992B0000}"/>
    <cellStyle name="Normal 25 2 2" xfId="7411" xr:uid="{00000000-0005-0000-0000-00009A2B0000}"/>
    <cellStyle name="Normal 25 3" xfId="7410" xr:uid="{00000000-0005-0000-0000-00009B2B0000}"/>
    <cellStyle name="Normal 26" xfId="49" xr:uid="{00000000-0005-0000-0000-00009C2B0000}"/>
    <cellStyle name="Normal 26 2" xfId="203" xr:uid="{00000000-0005-0000-0000-00009D2B0000}"/>
    <cellStyle name="Normal 26 3" xfId="7412" xr:uid="{00000000-0005-0000-0000-00009E2B0000}"/>
    <cellStyle name="Normal 26 4" xfId="7413" xr:uid="{00000000-0005-0000-0000-00009F2B0000}"/>
    <cellStyle name="Normal 26 5" xfId="7414" xr:uid="{00000000-0005-0000-0000-0000A02B0000}"/>
    <cellStyle name="Normal 26 6" xfId="7415" xr:uid="{00000000-0005-0000-0000-0000A12B0000}"/>
    <cellStyle name="Normal 26 7" xfId="7416" xr:uid="{00000000-0005-0000-0000-0000A22B0000}"/>
    <cellStyle name="Normal 27" xfId="50" xr:uid="{00000000-0005-0000-0000-0000A32B0000}"/>
    <cellStyle name="Normal 27 2" xfId="204" xr:uid="{00000000-0005-0000-0000-0000A42B0000}"/>
    <cellStyle name="Normal 27 3" xfId="7417" xr:uid="{00000000-0005-0000-0000-0000A52B0000}"/>
    <cellStyle name="Normal 27 4" xfId="7418" xr:uid="{00000000-0005-0000-0000-0000A62B0000}"/>
    <cellStyle name="Normal 27 5" xfId="7419" xr:uid="{00000000-0005-0000-0000-0000A72B0000}"/>
    <cellStyle name="Normal 27 6" xfId="7420" xr:uid="{00000000-0005-0000-0000-0000A82B0000}"/>
    <cellStyle name="Normal 27 7" xfId="7421" xr:uid="{00000000-0005-0000-0000-0000A92B0000}"/>
    <cellStyle name="Normal 27 8" xfId="7422" xr:uid="{00000000-0005-0000-0000-0000AA2B0000}"/>
    <cellStyle name="Normal 28" xfId="51" xr:uid="{00000000-0005-0000-0000-0000AB2B0000}"/>
    <cellStyle name="Normal 28 2" xfId="223" xr:uid="{00000000-0005-0000-0000-0000AC2B0000}"/>
    <cellStyle name="Normal 28 3" xfId="7423" xr:uid="{00000000-0005-0000-0000-0000AD2B0000}"/>
    <cellStyle name="Normal 28 3 10" xfId="7424" xr:uid="{00000000-0005-0000-0000-0000AE2B0000}"/>
    <cellStyle name="Normal 28 3 10 10" xfId="7425" xr:uid="{00000000-0005-0000-0000-0000AF2B0000}"/>
    <cellStyle name="Normal 28 3 10 10 2" xfId="25089" xr:uid="{00000000-0005-0000-0000-0000B02B0000}"/>
    <cellStyle name="Normal 28 3 10 11" xfId="7426" xr:uid="{00000000-0005-0000-0000-0000B12B0000}"/>
    <cellStyle name="Normal 28 3 10 11 2" xfId="25090" xr:uid="{00000000-0005-0000-0000-0000B22B0000}"/>
    <cellStyle name="Normal 28 3 10 12" xfId="7427" xr:uid="{00000000-0005-0000-0000-0000B32B0000}"/>
    <cellStyle name="Normal 28 3 10 12 2" xfId="25091" xr:uid="{00000000-0005-0000-0000-0000B42B0000}"/>
    <cellStyle name="Normal 28 3 10 13" xfId="7428" xr:uid="{00000000-0005-0000-0000-0000B52B0000}"/>
    <cellStyle name="Normal 28 3 10 13 2" xfId="25092" xr:uid="{00000000-0005-0000-0000-0000B62B0000}"/>
    <cellStyle name="Normal 28 3 10 14" xfId="7429" xr:uid="{00000000-0005-0000-0000-0000B72B0000}"/>
    <cellStyle name="Normal 28 3 10 14 2" xfId="25093" xr:uid="{00000000-0005-0000-0000-0000B82B0000}"/>
    <cellStyle name="Normal 28 3 10 15" xfId="25088" xr:uid="{00000000-0005-0000-0000-0000B92B0000}"/>
    <cellStyle name="Normal 28 3 10 2" xfId="7430" xr:uid="{00000000-0005-0000-0000-0000BA2B0000}"/>
    <cellStyle name="Normal 28 3 10 2 2" xfId="25094" xr:uid="{00000000-0005-0000-0000-0000BB2B0000}"/>
    <cellStyle name="Normal 28 3 10 3" xfId="7431" xr:uid="{00000000-0005-0000-0000-0000BC2B0000}"/>
    <cellStyle name="Normal 28 3 10 3 2" xfId="25095" xr:uid="{00000000-0005-0000-0000-0000BD2B0000}"/>
    <cellStyle name="Normal 28 3 10 4" xfId="7432" xr:uid="{00000000-0005-0000-0000-0000BE2B0000}"/>
    <cellStyle name="Normal 28 3 10 4 2" xfId="25096" xr:uid="{00000000-0005-0000-0000-0000BF2B0000}"/>
    <cellStyle name="Normal 28 3 10 5" xfId="7433" xr:uid="{00000000-0005-0000-0000-0000C02B0000}"/>
    <cellStyle name="Normal 28 3 10 5 2" xfId="25097" xr:uid="{00000000-0005-0000-0000-0000C12B0000}"/>
    <cellStyle name="Normal 28 3 10 6" xfId="7434" xr:uid="{00000000-0005-0000-0000-0000C22B0000}"/>
    <cellStyle name="Normal 28 3 10 6 2" xfId="25098" xr:uid="{00000000-0005-0000-0000-0000C32B0000}"/>
    <cellStyle name="Normal 28 3 10 7" xfId="7435" xr:uid="{00000000-0005-0000-0000-0000C42B0000}"/>
    <cellStyle name="Normal 28 3 10 7 2" xfId="25099" xr:uid="{00000000-0005-0000-0000-0000C52B0000}"/>
    <cellStyle name="Normal 28 3 10 8" xfId="7436" xr:uid="{00000000-0005-0000-0000-0000C62B0000}"/>
    <cellStyle name="Normal 28 3 10 8 2" xfId="25100" xr:uid="{00000000-0005-0000-0000-0000C72B0000}"/>
    <cellStyle name="Normal 28 3 10 9" xfId="7437" xr:uid="{00000000-0005-0000-0000-0000C82B0000}"/>
    <cellStyle name="Normal 28 3 10 9 2" xfId="25101" xr:uid="{00000000-0005-0000-0000-0000C92B0000}"/>
    <cellStyle name="Normal 28 3 11" xfId="7438" xr:uid="{00000000-0005-0000-0000-0000CA2B0000}"/>
    <cellStyle name="Normal 28 3 11 10" xfId="7439" xr:uid="{00000000-0005-0000-0000-0000CB2B0000}"/>
    <cellStyle name="Normal 28 3 11 10 2" xfId="25103" xr:uid="{00000000-0005-0000-0000-0000CC2B0000}"/>
    <cellStyle name="Normal 28 3 11 11" xfId="7440" xr:uid="{00000000-0005-0000-0000-0000CD2B0000}"/>
    <cellStyle name="Normal 28 3 11 11 2" xfId="25104" xr:uid="{00000000-0005-0000-0000-0000CE2B0000}"/>
    <cellStyle name="Normal 28 3 11 12" xfId="7441" xr:uid="{00000000-0005-0000-0000-0000CF2B0000}"/>
    <cellStyle name="Normal 28 3 11 12 2" xfId="25105" xr:uid="{00000000-0005-0000-0000-0000D02B0000}"/>
    <cellStyle name="Normal 28 3 11 13" xfId="7442" xr:uid="{00000000-0005-0000-0000-0000D12B0000}"/>
    <cellStyle name="Normal 28 3 11 13 2" xfId="25106" xr:uid="{00000000-0005-0000-0000-0000D22B0000}"/>
    <cellStyle name="Normal 28 3 11 14" xfId="7443" xr:uid="{00000000-0005-0000-0000-0000D32B0000}"/>
    <cellStyle name="Normal 28 3 11 14 2" xfId="25107" xr:uid="{00000000-0005-0000-0000-0000D42B0000}"/>
    <cellStyle name="Normal 28 3 11 15" xfId="25102" xr:uid="{00000000-0005-0000-0000-0000D52B0000}"/>
    <cellStyle name="Normal 28 3 11 2" xfId="7444" xr:uid="{00000000-0005-0000-0000-0000D62B0000}"/>
    <cellStyle name="Normal 28 3 11 2 2" xfId="25108" xr:uid="{00000000-0005-0000-0000-0000D72B0000}"/>
    <cellStyle name="Normal 28 3 11 3" xfId="7445" xr:uid="{00000000-0005-0000-0000-0000D82B0000}"/>
    <cellStyle name="Normal 28 3 11 3 2" xfId="25109" xr:uid="{00000000-0005-0000-0000-0000D92B0000}"/>
    <cellStyle name="Normal 28 3 11 4" xfId="7446" xr:uid="{00000000-0005-0000-0000-0000DA2B0000}"/>
    <cellStyle name="Normal 28 3 11 4 2" xfId="25110" xr:uid="{00000000-0005-0000-0000-0000DB2B0000}"/>
    <cellStyle name="Normal 28 3 11 5" xfId="7447" xr:uid="{00000000-0005-0000-0000-0000DC2B0000}"/>
    <cellStyle name="Normal 28 3 11 5 2" xfId="25111" xr:uid="{00000000-0005-0000-0000-0000DD2B0000}"/>
    <cellStyle name="Normal 28 3 11 6" xfId="7448" xr:uid="{00000000-0005-0000-0000-0000DE2B0000}"/>
    <cellStyle name="Normal 28 3 11 6 2" xfId="25112" xr:uid="{00000000-0005-0000-0000-0000DF2B0000}"/>
    <cellStyle name="Normal 28 3 11 7" xfId="7449" xr:uid="{00000000-0005-0000-0000-0000E02B0000}"/>
    <cellStyle name="Normal 28 3 11 7 2" xfId="25113" xr:uid="{00000000-0005-0000-0000-0000E12B0000}"/>
    <cellStyle name="Normal 28 3 11 8" xfId="7450" xr:uid="{00000000-0005-0000-0000-0000E22B0000}"/>
    <cellStyle name="Normal 28 3 11 8 2" xfId="25114" xr:uid="{00000000-0005-0000-0000-0000E32B0000}"/>
    <cellStyle name="Normal 28 3 11 9" xfId="7451" xr:uid="{00000000-0005-0000-0000-0000E42B0000}"/>
    <cellStyle name="Normal 28 3 11 9 2" xfId="25115" xr:uid="{00000000-0005-0000-0000-0000E52B0000}"/>
    <cellStyle name="Normal 28 3 12" xfId="7452" xr:uid="{00000000-0005-0000-0000-0000E62B0000}"/>
    <cellStyle name="Normal 28 3 12 10" xfId="7453" xr:uid="{00000000-0005-0000-0000-0000E72B0000}"/>
    <cellStyle name="Normal 28 3 12 10 2" xfId="25117" xr:uid="{00000000-0005-0000-0000-0000E82B0000}"/>
    <cellStyle name="Normal 28 3 12 11" xfId="7454" xr:uid="{00000000-0005-0000-0000-0000E92B0000}"/>
    <cellStyle name="Normal 28 3 12 11 2" xfId="25118" xr:uid="{00000000-0005-0000-0000-0000EA2B0000}"/>
    <cellStyle name="Normal 28 3 12 12" xfId="7455" xr:uid="{00000000-0005-0000-0000-0000EB2B0000}"/>
    <cellStyle name="Normal 28 3 12 12 2" xfId="25119" xr:uid="{00000000-0005-0000-0000-0000EC2B0000}"/>
    <cellStyle name="Normal 28 3 12 13" xfId="7456" xr:uid="{00000000-0005-0000-0000-0000ED2B0000}"/>
    <cellStyle name="Normal 28 3 12 13 2" xfId="25120" xr:uid="{00000000-0005-0000-0000-0000EE2B0000}"/>
    <cellStyle name="Normal 28 3 12 14" xfId="7457" xr:uid="{00000000-0005-0000-0000-0000EF2B0000}"/>
    <cellStyle name="Normal 28 3 12 14 2" xfId="25121" xr:uid="{00000000-0005-0000-0000-0000F02B0000}"/>
    <cellStyle name="Normal 28 3 12 15" xfId="25116" xr:uid="{00000000-0005-0000-0000-0000F12B0000}"/>
    <cellStyle name="Normal 28 3 12 2" xfId="7458" xr:uid="{00000000-0005-0000-0000-0000F22B0000}"/>
    <cellStyle name="Normal 28 3 12 2 2" xfId="25122" xr:uid="{00000000-0005-0000-0000-0000F32B0000}"/>
    <cellStyle name="Normal 28 3 12 3" xfId="7459" xr:uid="{00000000-0005-0000-0000-0000F42B0000}"/>
    <cellStyle name="Normal 28 3 12 3 2" xfId="25123" xr:uid="{00000000-0005-0000-0000-0000F52B0000}"/>
    <cellStyle name="Normal 28 3 12 4" xfId="7460" xr:uid="{00000000-0005-0000-0000-0000F62B0000}"/>
    <cellStyle name="Normal 28 3 12 4 2" xfId="25124" xr:uid="{00000000-0005-0000-0000-0000F72B0000}"/>
    <cellStyle name="Normal 28 3 12 5" xfId="7461" xr:uid="{00000000-0005-0000-0000-0000F82B0000}"/>
    <cellStyle name="Normal 28 3 12 5 2" xfId="25125" xr:uid="{00000000-0005-0000-0000-0000F92B0000}"/>
    <cellStyle name="Normal 28 3 12 6" xfId="7462" xr:uid="{00000000-0005-0000-0000-0000FA2B0000}"/>
    <cellStyle name="Normal 28 3 12 6 2" xfId="25126" xr:uid="{00000000-0005-0000-0000-0000FB2B0000}"/>
    <cellStyle name="Normal 28 3 12 7" xfId="7463" xr:uid="{00000000-0005-0000-0000-0000FC2B0000}"/>
    <cellStyle name="Normal 28 3 12 7 2" xfId="25127" xr:uid="{00000000-0005-0000-0000-0000FD2B0000}"/>
    <cellStyle name="Normal 28 3 12 8" xfId="7464" xr:uid="{00000000-0005-0000-0000-0000FE2B0000}"/>
    <cellStyle name="Normal 28 3 12 8 2" xfId="25128" xr:uid="{00000000-0005-0000-0000-0000FF2B0000}"/>
    <cellStyle name="Normal 28 3 12 9" xfId="7465" xr:uid="{00000000-0005-0000-0000-0000002C0000}"/>
    <cellStyle name="Normal 28 3 12 9 2" xfId="25129" xr:uid="{00000000-0005-0000-0000-0000012C0000}"/>
    <cellStyle name="Normal 28 3 13" xfId="7466" xr:uid="{00000000-0005-0000-0000-0000022C0000}"/>
    <cellStyle name="Normal 28 3 13 10" xfId="7467" xr:uid="{00000000-0005-0000-0000-0000032C0000}"/>
    <cellStyle name="Normal 28 3 13 10 2" xfId="25131" xr:uid="{00000000-0005-0000-0000-0000042C0000}"/>
    <cellStyle name="Normal 28 3 13 11" xfId="7468" xr:uid="{00000000-0005-0000-0000-0000052C0000}"/>
    <cellStyle name="Normal 28 3 13 11 2" xfId="25132" xr:uid="{00000000-0005-0000-0000-0000062C0000}"/>
    <cellStyle name="Normal 28 3 13 12" xfId="7469" xr:uid="{00000000-0005-0000-0000-0000072C0000}"/>
    <cellStyle name="Normal 28 3 13 12 2" xfId="25133" xr:uid="{00000000-0005-0000-0000-0000082C0000}"/>
    <cellStyle name="Normal 28 3 13 13" xfId="7470" xr:uid="{00000000-0005-0000-0000-0000092C0000}"/>
    <cellStyle name="Normal 28 3 13 13 2" xfId="25134" xr:uid="{00000000-0005-0000-0000-00000A2C0000}"/>
    <cellStyle name="Normal 28 3 13 14" xfId="7471" xr:uid="{00000000-0005-0000-0000-00000B2C0000}"/>
    <cellStyle name="Normal 28 3 13 14 2" xfId="25135" xr:uid="{00000000-0005-0000-0000-00000C2C0000}"/>
    <cellStyle name="Normal 28 3 13 15" xfId="25130" xr:uid="{00000000-0005-0000-0000-00000D2C0000}"/>
    <cellStyle name="Normal 28 3 13 2" xfId="7472" xr:uid="{00000000-0005-0000-0000-00000E2C0000}"/>
    <cellStyle name="Normal 28 3 13 2 2" xfId="25136" xr:uid="{00000000-0005-0000-0000-00000F2C0000}"/>
    <cellStyle name="Normal 28 3 13 3" xfId="7473" xr:uid="{00000000-0005-0000-0000-0000102C0000}"/>
    <cellStyle name="Normal 28 3 13 3 2" xfId="25137" xr:uid="{00000000-0005-0000-0000-0000112C0000}"/>
    <cellStyle name="Normal 28 3 13 4" xfId="7474" xr:uid="{00000000-0005-0000-0000-0000122C0000}"/>
    <cellStyle name="Normal 28 3 13 4 2" xfId="25138" xr:uid="{00000000-0005-0000-0000-0000132C0000}"/>
    <cellStyle name="Normal 28 3 13 5" xfId="7475" xr:uid="{00000000-0005-0000-0000-0000142C0000}"/>
    <cellStyle name="Normal 28 3 13 5 2" xfId="25139" xr:uid="{00000000-0005-0000-0000-0000152C0000}"/>
    <cellStyle name="Normal 28 3 13 6" xfId="7476" xr:uid="{00000000-0005-0000-0000-0000162C0000}"/>
    <cellStyle name="Normal 28 3 13 6 2" xfId="25140" xr:uid="{00000000-0005-0000-0000-0000172C0000}"/>
    <cellStyle name="Normal 28 3 13 7" xfId="7477" xr:uid="{00000000-0005-0000-0000-0000182C0000}"/>
    <cellStyle name="Normal 28 3 13 7 2" xfId="25141" xr:uid="{00000000-0005-0000-0000-0000192C0000}"/>
    <cellStyle name="Normal 28 3 13 8" xfId="7478" xr:uid="{00000000-0005-0000-0000-00001A2C0000}"/>
    <cellStyle name="Normal 28 3 13 8 2" xfId="25142" xr:uid="{00000000-0005-0000-0000-00001B2C0000}"/>
    <cellStyle name="Normal 28 3 13 9" xfId="7479" xr:uid="{00000000-0005-0000-0000-00001C2C0000}"/>
    <cellStyle name="Normal 28 3 13 9 2" xfId="25143" xr:uid="{00000000-0005-0000-0000-00001D2C0000}"/>
    <cellStyle name="Normal 28 3 14" xfId="7480" xr:uid="{00000000-0005-0000-0000-00001E2C0000}"/>
    <cellStyle name="Normal 28 3 14 10" xfId="7481" xr:uid="{00000000-0005-0000-0000-00001F2C0000}"/>
    <cellStyle name="Normal 28 3 14 10 2" xfId="25145" xr:uid="{00000000-0005-0000-0000-0000202C0000}"/>
    <cellStyle name="Normal 28 3 14 11" xfId="7482" xr:uid="{00000000-0005-0000-0000-0000212C0000}"/>
    <cellStyle name="Normal 28 3 14 11 2" xfId="25146" xr:uid="{00000000-0005-0000-0000-0000222C0000}"/>
    <cellStyle name="Normal 28 3 14 12" xfId="7483" xr:uid="{00000000-0005-0000-0000-0000232C0000}"/>
    <cellStyle name="Normal 28 3 14 12 2" xfId="25147" xr:uid="{00000000-0005-0000-0000-0000242C0000}"/>
    <cellStyle name="Normal 28 3 14 13" xfId="7484" xr:uid="{00000000-0005-0000-0000-0000252C0000}"/>
    <cellStyle name="Normal 28 3 14 13 2" xfId="25148" xr:uid="{00000000-0005-0000-0000-0000262C0000}"/>
    <cellStyle name="Normal 28 3 14 14" xfId="7485" xr:uid="{00000000-0005-0000-0000-0000272C0000}"/>
    <cellStyle name="Normal 28 3 14 14 2" xfId="25149" xr:uid="{00000000-0005-0000-0000-0000282C0000}"/>
    <cellStyle name="Normal 28 3 14 15" xfId="25144" xr:uid="{00000000-0005-0000-0000-0000292C0000}"/>
    <cellStyle name="Normal 28 3 14 2" xfId="7486" xr:uid="{00000000-0005-0000-0000-00002A2C0000}"/>
    <cellStyle name="Normal 28 3 14 2 2" xfId="25150" xr:uid="{00000000-0005-0000-0000-00002B2C0000}"/>
    <cellStyle name="Normal 28 3 14 3" xfId="7487" xr:uid="{00000000-0005-0000-0000-00002C2C0000}"/>
    <cellStyle name="Normal 28 3 14 3 2" xfId="25151" xr:uid="{00000000-0005-0000-0000-00002D2C0000}"/>
    <cellStyle name="Normal 28 3 14 4" xfId="7488" xr:uid="{00000000-0005-0000-0000-00002E2C0000}"/>
    <cellStyle name="Normal 28 3 14 4 2" xfId="25152" xr:uid="{00000000-0005-0000-0000-00002F2C0000}"/>
    <cellStyle name="Normal 28 3 14 5" xfId="7489" xr:uid="{00000000-0005-0000-0000-0000302C0000}"/>
    <cellStyle name="Normal 28 3 14 5 2" xfId="25153" xr:uid="{00000000-0005-0000-0000-0000312C0000}"/>
    <cellStyle name="Normal 28 3 14 6" xfId="7490" xr:uid="{00000000-0005-0000-0000-0000322C0000}"/>
    <cellStyle name="Normal 28 3 14 6 2" xfId="25154" xr:uid="{00000000-0005-0000-0000-0000332C0000}"/>
    <cellStyle name="Normal 28 3 14 7" xfId="7491" xr:uid="{00000000-0005-0000-0000-0000342C0000}"/>
    <cellStyle name="Normal 28 3 14 7 2" xfId="25155" xr:uid="{00000000-0005-0000-0000-0000352C0000}"/>
    <cellStyle name="Normal 28 3 14 8" xfId="7492" xr:uid="{00000000-0005-0000-0000-0000362C0000}"/>
    <cellStyle name="Normal 28 3 14 8 2" xfId="25156" xr:uid="{00000000-0005-0000-0000-0000372C0000}"/>
    <cellStyle name="Normal 28 3 14 9" xfId="7493" xr:uid="{00000000-0005-0000-0000-0000382C0000}"/>
    <cellStyle name="Normal 28 3 14 9 2" xfId="25157" xr:uid="{00000000-0005-0000-0000-0000392C0000}"/>
    <cellStyle name="Normal 28 3 15" xfId="7494" xr:uid="{00000000-0005-0000-0000-00003A2C0000}"/>
    <cellStyle name="Normal 28 3 15 10" xfId="7495" xr:uid="{00000000-0005-0000-0000-00003B2C0000}"/>
    <cellStyle name="Normal 28 3 15 10 2" xfId="25159" xr:uid="{00000000-0005-0000-0000-00003C2C0000}"/>
    <cellStyle name="Normal 28 3 15 11" xfId="7496" xr:uid="{00000000-0005-0000-0000-00003D2C0000}"/>
    <cellStyle name="Normal 28 3 15 11 2" xfId="25160" xr:uid="{00000000-0005-0000-0000-00003E2C0000}"/>
    <cellStyle name="Normal 28 3 15 12" xfId="7497" xr:uid="{00000000-0005-0000-0000-00003F2C0000}"/>
    <cellStyle name="Normal 28 3 15 12 2" xfId="25161" xr:uid="{00000000-0005-0000-0000-0000402C0000}"/>
    <cellStyle name="Normal 28 3 15 13" xfId="7498" xr:uid="{00000000-0005-0000-0000-0000412C0000}"/>
    <cellStyle name="Normal 28 3 15 13 2" xfId="25162" xr:uid="{00000000-0005-0000-0000-0000422C0000}"/>
    <cellStyle name="Normal 28 3 15 14" xfId="7499" xr:uid="{00000000-0005-0000-0000-0000432C0000}"/>
    <cellStyle name="Normal 28 3 15 14 2" xfId="25163" xr:uid="{00000000-0005-0000-0000-0000442C0000}"/>
    <cellStyle name="Normal 28 3 15 15" xfId="25158" xr:uid="{00000000-0005-0000-0000-0000452C0000}"/>
    <cellStyle name="Normal 28 3 15 2" xfId="7500" xr:uid="{00000000-0005-0000-0000-0000462C0000}"/>
    <cellStyle name="Normal 28 3 15 2 2" xfId="25164" xr:uid="{00000000-0005-0000-0000-0000472C0000}"/>
    <cellStyle name="Normal 28 3 15 3" xfId="7501" xr:uid="{00000000-0005-0000-0000-0000482C0000}"/>
    <cellStyle name="Normal 28 3 15 3 2" xfId="25165" xr:uid="{00000000-0005-0000-0000-0000492C0000}"/>
    <cellStyle name="Normal 28 3 15 4" xfId="7502" xr:uid="{00000000-0005-0000-0000-00004A2C0000}"/>
    <cellStyle name="Normal 28 3 15 4 2" xfId="25166" xr:uid="{00000000-0005-0000-0000-00004B2C0000}"/>
    <cellStyle name="Normal 28 3 15 5" xfId="7503" xr:uid="{00000000-0005-0000-0000-00004C2C0000}"/>
    <cellStyle name="Normal 28 3 15 5 2" xfId="25167" xr:uid="{00000000-0005-0000-0000-00004D2C0000}"/>
    <cellStyle name="Normal 28 3 15 6" xfId="7504" xr:uid="{00000000-0005-0000-0000-00004E2C0000}"/>
    <cellStyle name="Normal 28 3 15 6 2" xfId="25168" xr:uid="{00000000-0005-0000-0000-00004F2C0000}"/>
    <cellStyle name="Normal 28 3 15 7" xfId="7505" xr:uid="{00000000-0005-0000-0000-0000502C0000}"/>
    <cellStyle name="Normal 28 3 15 7 2" xfId="25169" xr:uid="{00000000-0005-0000-0000-0000512C0000}"/>
    <cellStyle name="Normal 28 3 15 8" xfId="7506" xr:uid="{00000000-0005-0000-0000-0000522C0000}"/>
    <cellStyle name="Normal 28 3 15 8 2" xfId="25170" xr:uid="{00000000-0005-0000-0000-0000532C0000}"/>
    <cellStyle name="Normal 28 3 15 9" xfId="7507" xr:uid="{00000000-0005-0000-0000-0000542C0000}"/>
    <cellStyle name="Normal 28 3 15 9 2" xfId="25171" xr:uid="{00000000-0005-0000-0000-0000552C0000}"/>
    <cellStyle name="Normal 28 3 16" xfId="7508" xr:uid="{00000000-0005-0000-0000-0000562C0000}"/>
    <cellStyle name="Normal 28 3 16 2" xfId="25172" xr:uid="{00000000-0005-0000-0000-0000572C0000}"/>
    <cellStyle name="Normal 28 3 17" xfId="7509" xr:uid="{00000000-0005-0000-0000-0000582C0000}"/>
    <cellStyle name="Normal 28 3 17 2" xfId="25173" xr:uid="{00000000-0005-0000-0000-0000592C0000}"/>
    <cellStyle name="Normal 28 3 18" xfId="7510" xr:uid="{00000000-0005-0000-0000-00005A2C0000}"/>
    <cellStyle name="Normal 28 3 18 2" xfId="25174" xr:uid="{00000000-0005-0000-0000-00005B2C0000}"/>
    <cellStyle name="Normal 28 3 19" xfId="7511" xr:uid="{00000000-0005-0000-0000-00005C2C0000}"/>
    <cellStyle name="Normal 28 3 19 2" xfId="25175" xr:uid="{00000000-0005-0000-0000-00005D2C0000}"/>
    <cellStyle name="Normal 28 3 2" xfId="7512" xr:uid="{00000000-0005-0000-0000-00005E2C0000}"/>
    <cellStyle name="Normal 28 3 2 10" xfId="7513" xr:uid="{00000000-0005-0000-0000-00005F2C0000}"/>
    <cellStyle name="Normal 28 3 2 10 2" xfId="25177" xr:uid="{00000000-0005-0000-0000-0000602C0000}"/>
    <cellStyle name="Normal 28 3 2 11" xfId="7514" xr:uid="{00000000-0005-0000-0000-0000612C0000}"/>
    <cellStyle name="Normal 28 3 2 11 2" xfId="25178" xr:uid="{00000000-0005-0000-0000-0000622C0000}"/>
    <cellStyle name="Normal 28 3 2 12" xfId="7515" xr:uid="{00000000-0005-0000-0000-0000632C0000}"/>
    <cellStyle name="Normal 28 3 2 12 2" xfId="25179" xr:uid="{00000000-0005-0000-0000-0000642C0000}"/>
    <cellStyle name="Normal 28 3 2 13" xfId="7516" xr:uid="{00000000-0005-0000-0000-0000652C0000}"/>
    <cellStyle name="Normal 28 3 2 13 2" xfId="25180" xr:uid="{00000000-0005-0000-0000-0000662C0000}"/>
    <cellStyle name="Normal 28 3 2 14" xfId="7517" xr:uid="{00000000-0005-0000-0000-0000672C0000}"/>
    <cellStyle name="Normal 28 3 2 14 2" xfId="25181" xr:uid="{00000000-0005-0000-0000-0000682C0000}"/>
    <cellStyle name="Normal 28 3 2 15" xfId="7518" xr:uid="{00000000-0005-0000-0000-0000692C0000}"/>
    <cellStyle name="Normal 28 3 2 15 2" xfId="25182" xr:uid="{00000000-0005-0000-0000-00006A2C0000}"/>
    <cellStyle name="Normal 28 3 2 16" xfId="25176" xr:uid="{00000000-0005-0000-0000-00006B2C0000}"/>
    <cellStyle name="Normal 28 3 2 2" xfId="7519" xr:uid="{00000000-0005-0000-0000-00006C2C0000}"/>
    <cellStyle name="Normal 28 3 2 2 10" xfId="7520" xr:uid="{00000000-0005-0000-0000-00006D2C0000}"/>
    <cellStyle name="Normal 28 3 2 2 10 2" xfId="25184" xr:uid="{00000000-0005-0000-0000-00006E2C0000}"/>
    <cellStyle name="Normal 28 3 2 2 11" xfId="7521" xr:uid="{00000000-0005-0000-0000-00006F2C0000}"/>
    <cellStyle name="Normal 28 3 2 2 11 2" xfId="25185" xr:uid="{00000000-0005-0000-0000-0000702C0000}"/>
    <cellStyle name="Normal 28 3 2 2 12" xfId="7522" xr:uid="{00000000-0005-0000-0000-0000712C0000}"/>
    <cellStyle name="Normal 28 3 2 2 12 2" xfId="25186" xr:uid="{00000000-0005-0000-0000-0000722C0000}"/>
    <cellStyle name="Normal 28 3 2 2 13" xfId="7523" xr:uid="{00000000-0005-0000-0000-0000732C0000}"/>
    <cellStyle name="Normal 28 3 2 2 13 2" xfId="25187" xr:uid="{00000000-0005-0000-0000-0000742C0000}"/>
    <cellStyle name="Normal 28 3 2 2 14" xfId="7524" xr:uid="{00000000-0005-0000-0000-0000752C0000}"/>
    <cellStyle name="Normal 28 3 2 2 14 2" xfId="25188" xr:uid="{00000000-0005-0000-0000-0000762C0000}"/>
    <cellStyle name="Normal 28 3 2 2 15" xfId="25183" xr:uid="{00000000-0005-0000-0000-0000772C0000}"/>
    <cellStyle name="Normal 28 3 2 2 2" xfId="7525" xr:uid="{00000000-0005-0000-0000-0000782C0000}"/>
    <cellStyle name="Normal 28 3 2 2 2 2" xfId="25189" xr:uid="{00000000-0005-0000-0000-0000792C0000}"/>
    <cellStyle name="Normal 28 3 2 2 3" xfId="7526" xr:uid="{00000000-0005-0000-0000-00007A2C0000}"/>
    <cellStyle name="Normal 28 3 2 2 3 2" xfId="25190" xr:uid="{00000000-0005-0000-0000-00007B2C0000}"/>
    <cellStyle name="Normal 28 3 2 2 4" xfId="7527" xr:uid="{00000000-0005-0000-0000-00007C2C0000}"/>
    <cellStyle name="Normal 28 3 2 2 4 2" xfId="25191" xr:uid="{00000000-0005-0000-0000-00007D2C0000}"/>
    <cellStyle name="Normal 28 3 2 2 5" xfId="7528" xr:uid="{00000000-0005-0000-0000-00007E2C0000}"/>
    <cellStyle name="Normal 28 3 2 2 5 2" xfId="25192" xr:uid="{00000000-0005-0000-0000-00007F2C0000}"/>
    <cellStyle name="Normal 28 3 2 2 6" xfId="7529" xr:uid="{00000000-0005-0000-0000-0000802C0000}"/>
    <cellStyle name="Normal 28 3 2 2 6 2" xfId="25193" xr:uid="{00000000-0005-0000-0000-0000812C0000}"/>
    <cellStyle name="Normal 28 3 2 2 7" xfId="7530" xr:uid="{00000000-0005-0000-0000-0000822C0000}"/>
    <cellStyle name="Normal 28 3 2 2 7 2" xfId="25194" xr:uid="{00000000-0005-0000-0000-0000832C0000}"/>
    <cellStyle name="Normal 28 3 2 2 8" xfId="7531" xr:uid="{00000000-0005-0000-0000-0000842C0000}"/>
    <cellStyle name="Normal 28 3 2 2 8 2" xfId="25195" xr:uid="{00000000-0005-0000-0000-0000852C0000}"/>
    <cellStyle name="Normal 28 3 2 2 9" xfId="7532" xr:uid="{00000000-0005-0000-0000-0000862C0000}"/>
    <cellStyle name="Normal 28 3 2 2 9 2" xfId="25196" xr:uid="{00000000-0005-0000-0000-0000872C0000}"/>
    <cellStyle name="Normal 28 3 2 3" xfId="7533" xr:uid="{00000000-0005-0000-0000-0000882C0000}"/>
    <cellStyle name="Normal 28 3 2 3 2" xfId="25197" xr:uid="{00000000-0005-0000-0000-0000892C0000}"/>
    <cellStyle name="Normal 28 3 2 4" xfId="7534" xr:uid="{00000000-0005-0000-0000-00008A2C0000}"/>
    <cellStyle name="Normal 28 3 2 4 2" xfId="25198" xr:uid="{00000000-0005-0000-0000-00008B2C0000}"/>
    <cellStyle name="Normal 28 3 2 5" xfId="7535" xr:uid="{00000000-0005-0000-0000-00008C2C0000}"/>
    <cellStyle name="Normal 28 3 2 5 2" xfId="25199" xr:uid="{00000000-0005-0000-0000-00008D2C0000}"/>
    <cellStyle name="Normal 28 3 2 6" xfId="7536" xr:uid="{00000000-0005-0000-0000-00008E2C0000}"/>
    <cellStyle name="Normal 28 3 2 6 2" xfId="25200" xr:uid="{00000000-0005-0000-0000-00008F2C0000}"/>
    <cellStyle name="Normal 28 3 2 7" xfId="7537" xr:uid="{00000000-0005-0000-0000-0000902C0000}"/>
    <cellStyle name="Normal 28 3 2 7 2" xfId="25201" xr:uid="{00000000-0005-0000-0000-0000912C0000}"/>
    <cellStyle name="Normal 28 3 2 8" xfId="7538" xr:uid="{00000000-0005-0000-0000-0000922C0000}"/>
    <cellStyle name="Normal 28 3 2 8 2" xfId="25202" xr:uid="{00000000-0005-0000-0000-0000932C0000}"/>
    <cellStyle name="Normal 28 3 2 9" xfId="7539" xr:uid="{00000000-0005-0000-0000-0000942C0000}"/>
    <cellStyle name="Normal 28 3 2 9 2" xfId="25203" xr:uid="{00000000-0005-0000-0000-0000952C0000}"/>
    <cellStyle name="Normal 28 3 20" xfId="7540" xr:uid="{00000000-0005-0000-0000-0000962C0000}"/>
    <cellStyle name="Normal 28 3 20 2" xfId="25204" xr:uid="{00000000-0005-0000-0000-0000972C0000}"/>
    <cellStyle name="Normal 28 3 21" xfId="7541" xr:uid="{00000000-0005-0000-0000-0000982C0000}"/>
    <cellStyle name="Normal 28 3 21 2" xfId="25205" xr:uid="{00000000-0005-0000-0000-0000992C0000}"/>
    <cellStyle name="Normal 28 3 22" xfId="7542" xr:uid="{00000000-0005-0000-0000-00009A2C0000}"/>
    <cellStyle name="Normal 28 3 22 2" xfId="25206" xr:uid="{00000000-0005-0000-0000-00009B2C0000}"/>
    <cellStyle name="Normal 28 3 23" xfId="7543" xr:uid="{00000000-0005-0000-0000-00009C2C0000}"/>
    <cellStyle name="Normal 28 3 23 2" xfId="25207" xr:uid="{00000000-0005-0000-0000-00009D2C0000}"/>
    <cellStyle name="Normal 28 3 24" xfId="7544" xr:uid="{00000000-0005-0000-0000-00009E2C0000}"/>
    <cellStyle name="Normal 28 3 24 2" xfId="25208" xr:uid="{00000000-0005-0000-0000-00009F2C0000}"/>
    <cellStyle name="Normal 28 3 25" xfId="7545" xr:uid="{00000000-0005-0000-0000-0000A02C0000}"/>
    <cellStyle name="Normal 28 3 25 2" xfId="25209" xr:uid="{00000000-0005-0000-0000-0000A12C0000}"/>
    <cellStyle name="Normal 28 3 26" xfId="7546" xr:uid="{00000000-0005-0000-0000-0000A22C0000}"/>
    <cellStyle name="Normal 28 3 26 2" xfId="25210" xr:uid="{00000000-0005-0000-0000-0000A32C0000}"/>
    <cellStyle name="Normal 28 3 27" xfId="7547" xr:uid="{00000000-0005-0000-0000-0000A42C0000}"/>
    <cellStyle name="Normal 28 3 27 2" xfId="25211" xr:uid="{00000000-0005-0000-0000-0000A52C0000}"/>
    <cellStyle name="Normal 28 3 28" xfId="7548" xr:uid="{00000000-0005-0000-0000-0000A62C0000}"/>
    <cellStyle name="Normal 28 3 28 2" xfId="25212" xr:uid="{00000000-0005-0000-0000-0000A72C0000}"/>
    <cellStyle name="Normal 28 3 29" xfId="25087" xr:uid="{00000000-0005-0000-0000-0000A82C0000}"/>
    <cellStyle name="Normal 28 3 3" xfId="7549" xr:uid="{00000000-0005-0000-0000-0000A92C0000}"/>
    <cellStyle name="Normal 28 3 3 10" xfId="7550" xr:uid="{00000000-0005-0000-0000-0000AA2C0000}"/>
    <cellStyle name="Normal 28 3 3 10 2" xfId="25214" xr:uid="{00000000-0005-0000-0000-0000AB2C0000}"/>
    <cellStyle name="Normal 28 3 3 11" xfId="7551" xr:uid="{00000000-0005-0000-0000-0000AC2C0000}"/>
    <cellStyle name="Normal 28 3 3 11 2" xfId="25215" xr:uid="{00000000-0005-0000-0000-0000AD2C0000}"/>
    <cellStyle name="Normal 28 3 3 12" xfId="7552" xr:uid="{00000000-0005-0000-0000-0000AE2C0000}"/>
    <cellStyle name="Normal 28 3 3 12 2" xfId="25216" xr:uid="{00000000-0005-0000-0000-0000AF2C0000}"/>
    <cellStyle name="Normal 28 3 3 13" xfId="7553" xr:uid="{00000000-0005-0000-0000-0000B02C0000}"/>
    <cellStyle name="Normal 28 3 3 13 2" xfId="25217" xr:uid="{00000000-0005-0000-0000-0000B12C0000}"/>
    <cellStyle name="Normal 28 3 3 14" xfId="7554" xr:uid="{00000000-0005-0000-0000-0000B22C0000}"/>
    <cellStyle name="Normal 28 3 3 14 2" xfId="25218" xr:uid="{00000000-0005-0000-0000-0000B32C0000}"/>
    <cellStyle name="Normal 28 3 3 15" xfId="7555" xr:uid="{00000000-0005-0000-0000-0000B42C0000}"/>
    <cellStyle name="Normal 28 3 3 15 2" xfId="25219" xr:uid="{00000000-0005-0000-0000-0000B52C0000}"/>
    <cellStyle name="Normal 28 3 3 16" xfId="25213" xr:uid="{00000000-0005-0000-0000-0000B62C0000}"/>
    <cellStyle name="Normal 28 3 3 2" xfId="7556" xr:uid="{00000000-0005-0000-0000-0000B72C0000}"/>
    <cellStyle name="Normal 28 3 3 2 10" xfId="7557" xr:uid="{00000000-0005-0000-0000-0000B82C0000}"/>
    <cellStyle name="Normal 28 3 3 2 10 2" xfId="25221" xr:uid="{00000000-0005-0000-0000-0000B92C0000}"/>
    <cellStyle name="Normal 28 3 3 2 11" xfId="7558" xr:uid="{00000000-0005-0000-0000-0000BA2C0000}"/>
    <cellStyle name="Normal 28 3 3 2 11 2" xfId="25222" xr:uid="{00000000-0005-0000-0000-0000BB2C0000}"/>
    <cellStyle name="Normal 28 3 3 2 12" xfId="7559" xr:uid="{00000000-0005-0000-0000-0000BC2C0000}"/>
    <cellStyle name="Normal 28 3 3 2 12 2" xfId="25223" xr:uid="{00000000-0005-0000-0000-0000BD2C0000}"/>
    <cellStyle name="Normal 28 3 3 2 13" xfId="7560" xr:uid="{00000000-0005-0000-0000-0000BE2C0000}"/>
    <cellStyle name="Normal 28 3 3 2 13 2" xfId="25224" xr:uid="{00000000-0005-0000-0000-0000BF2C0000}"/>
    <cellStyle name="Normal 28 3 3 2 14" xfId="7561" xr:uid="{00000000-0005-0000-0000-0000C02C0000}"/>
    <cellStyle name="Normal 28 3 3 2 14 2" xfId="25225" xr:uid="{00000000-0005-0000-0000-0000C12C0000}"/>
    <cellStyle name="Normal 28 3 3 2 15" xfId="25220" xr:uid="{00000000-0005-0000-0000-0000C22C0000}"/>
    <cellStyle name="Normal 28 3 3 2 2" xfId="7562" xr:uid="{00000000-0005-0000-0000-0000C32C0000}"/>
    <cellStyle name="Normal 28 3 3 2 2 2" xfId="25226" xr:uid="{00000000-0005-0000-0000-0000C42C0000}"/>
    <cellStyle name="Normal 28 3 3 2 3" xfId="7563" xr:uid="{00000000-0005-0000-0000-0000C52C0000}"/>
    <cellStyle name="Normal 28 3 3 2 3 2" xfId="25227" xr:uid="{00000000-0005-0000-0000-0000C62C0000}"/>
    <cellStyle name="Normal 28 3 3 2 4" xfId="7564" xr:uid="{00000000-0005-0000-0000-0000C72C0000}"/>
    <cellStyle name="Normal 28 3 3 2 4 2" xfId="25228" xr:uid="{00000000-0005-0000-0000-0000C82C0000}"/>
    <cellStyle name="Normal 28 3 3 2 5" xfId="7565" xr:uid="{00000000-0005-0000-0000-0000C92C0000}"/>
    <cellStyle name="Normal 28 3 3 2 5 2" xfId="25229" xr:uid="{00000000-0005-0000-0000-0000CA2C0000}"/>
    <cellStyle name="Normal 28 3 3 2 6" xfId="7566" xr:uid="{00000000-0005-0000-0000-0000CB2C0000}"/>
    <cellStyle name="Normal 28 3 3 2 6 2" xfId="25230" xr:uid="{00000000-0005-0000-0000-0000CC2C0000}"/>
    <cellStyle name="Normal 28 3 3 2 7" xfId="7567" xr:uid="{00000000-0005-0000-0000-0000CD2C0000}"/>
    <cellStyle name="Normal 28 3 3 2 7 2" xfId="25231" xr:uid="{00000000-0005-0000-0000-0000CE2C0000}"/>
    <cellStyle name="Normal 28 3 3 2 8" xfId="7568" xr:uid="{00000000-0005-0000-0000-0000CF2C0000}"/>
    <cellStyle name="Normal 28 3 3 2 8 2" xfId="25232" xr:uid="{00000000-0005-0000-0000-0000D02C0000}"/>
    <cellStyle name="Normal 28 3 3 2 9" xfId="7569" xr:uid="{00000000-0005-0000-0000-0000D12C0000}"/>
    <cellStyle name="Normal 28 3 3 2 9 2" xfId="25233" xr:uid="{00000000-0005-0000-0000-0000D22C0000}"/>
    <cellStyle name="Normal 28 3 3 3" xfId="7570" xr:uid="{00000000-0005-0000-0000-0000D32C0000}"/>
    <cellStyle name="Normal 28 3 3 3 2" xfId="25234" xr:uid="{00000000-0005-0000-0000-0000D42C0000}"/>
    <cellStyle name="Normal 28 3 3 4" xfId="7571" xr:uid="{00000000-0005-0000-0000-0000D52C0000}"/>
    <cellStyle name="Normal 28 3 3 4 2" xfId="25235" xr:uid="{00000000-0005-0000-0000-0000D62C0000}"/>
    <cellStyle name="Normal 28 3 3 5" xfId="7572" xr:uid="{00000000-0005-0000-0000-0000D72C0000}"/>
    <cellStyle name="Normal 28 3 3 5 2" xfId="25236" xr:uid="{00000000-0005-0000-0000-0000D82C0000}"/>
    <cellStyle name="Normal 28 3 3 6" xfId="7573" xr:uid="{00000000-0005-0000-0000-0000D92C0000}"/>
    <cellStyle name="Normal 28 3 3 6 2" xfId="25237" xr:uid="{00000000-0005-0000-0000-0000DA2C0000}"/>
    <cellStyle name="Normal 28 3 3 7" xfId="7574" xr:uid="{00000000-0005-0000-0000-0000DB2C0000}"/>
    <cellStyle name="Normal 28 3 3 7 2" xfId="25238" xr:uid="{00000000-0005-0000-0000-0000DC2C0000}"/>
    <cellStyle name="Normal 28 3 3 8" xfId="7575" xr:uid="{00000000-0005-0000-0000-0000DD2C0000}"/>
    <cellStyle name="Normal 28 3 3 8 2" xfId="25239" xr:uid="{00000000-0005-0000-0000-0000DE2C0000}"/>
    <cellStyle name="Normal 28 3 3 9" xfId="7576" xr:uid="{00000000-0005-0000-0000-0000DF2C0000}"/>
    <cellStyle name="Normal 28 3 3 9 2" xfId="25240" xr:uid="{00000000-0005-0000-0000-0000E02C0000}"/>
    <cellStyle name="Normal 28 3 4" xfId="7577" xr:uid="{00000000-0005-0000-0000-0000E12C0000}"/>
    <cellStyle name="Normal 28 3 4 10" xfId="7578" xr:uid="{00000000-0005-0000-0000-0000E22C0000}"/>
    <cellStyle name="Normal 28 3 4 10 2" xfId="25242" xr:uid="{00000000-0005-0000-0000-0000E32C0000}"/>
    <cellStyle name="Normal 28 3 4 11" xfId="7579" xr:uid="{00000000-0005-0000-0000-0000E42C0000}"/>
    <cellStyle name="Normal 28 3 4 11 2" xfId="25243" xr:uid="{00000000-0005-0000-0000-0000E52C0000}"/>
    <cellStyle name="Normal 28 3 4 12" xfId="7580" xr:uid="{00000000-0005-0000-0000-0000E62C0000}"/>
    <cellStyle name="Normal 28 3 4 12 2" xfId="25244" xr:uid="{00000000-0005-0000-0000-0000E72C0000}"/>
    <cellStyle name="Normal 28 3 4 13" xfId="7581" xr:uid="{00000000-0005-0000-0000-0000E82C0000}"/>
    <cellStyle name="Normal 28 3 4 13 2" xfId="25245" xr:uid="{00000000-0005-0000-0000-0000E92C0000}"/>
    <cellStyle name="Normal 28 3 4 14" xfId="7582" xr:uid="{00000000-0005-0000-0000-0000EA2C0000}"/>
    <cellStyle name="Normal 28 3 4 14 2" xfId="25246" xr:uid="{00000000-0005-0000-0000-0000EB2C0000}"/>
    <cellStyle name="Normal 28 3 4 15" xfId="7583" xr:uid="{00000000-0005-0000-0000-0000EC2C0000}"/>
    <cellStyle name="Normal 28 3 4 15 2" xfId="25247" xr:uid="{00000000-0005-0000-0000-0000ED2C0000}"/>
    <cellStyle name="Normal 28 3 4 16" xfId="25241" xr:uid="{00000000-0005-0000-0000-0000EE2C0000}"/>
    <cellStyle name="Normal 28 3 4 2" xfId="7584" xr:uid="{00000000-0005-0000-0000-0000EF2C0000}"/>
    <cellStyle name="Normal 28 3 4 2 10" xfId="7585" xr:uid="{00000000-0005-0000-0000-0000F02C0000}"/>
    <cellStyle name="Normal 28 3 4 2 10 2" xfId="25249" xr:uid="{00000000-0005-0000-0000-0000F12C0000}"/>
    <cellStyle name="Normal 28 3 4 2 11" xfId="7586" xr:uid="{00000000-0005-0000-0000-0000F22C0000}"/>
    <cellStyle name="Normal 28 3 4 2 11 2" xfId="25250" xr:uid="{00000000-0005-0000-0000-0000F32C0000}"/>
    <cellStyle name="Normal 28 3 4 2 12" xfId="7587" xr:uid="{00000000-0005-0000-0000-0000F42C0000}"/>
    <cellStyle name="Normal 28 3 4 2 12 2" xfId="25251" xr:uid="{00000000-0005-0000-0000-0000F52C0000}"/>
    <cellStyle name="Normal 28 3 4 2 13" xfId="7588" xr:uid="{00000000-0005-0000-0000-0000F62C0000}"/>
    <cellStyle name="Normal 28 3 4 2 13 2" xfId="25252" xr:uid="{00000000-0005-0000-0000-0000F72C0000}"/>
    <cellStyle name="Normal 28 3 4 2 14" xfId="7589" xr:uid="{00000000-0005-0000-0000-0000F82C0000}"/>
    <cellStyle name="Normal 28 3 4 2 14 2" xfId="25253" xr:uid="{00000000-0005-0000-0000-0000F92C0000}"/>
    <cellStyle name="Normal 28 3 4 2 15" xfId="25248" xr:uid="{00000000-0005-0000-0000-0000FA2C0000}"/>
    <cellStyle name="Normal 28 3 4 2 2" xfId="7590" xr:uid="{00000000-0005-0000-0000-0000FB2C0000}"/>
    <cellStyle name="Normal 28 3 4 2 2 2" xfId="25254" xr:uid="{00000000-0005-0000-0000-0000FC2C0000}"/>
    <cellStyle name="Normal 28 3 4 2 3" xfId="7591" xr:uid="{00000000-0005-0000-0000-0000FD2C0000}"/>
    <cellStyle name="Normal 28 3 4 2 3 2" xfId="25255" xr:uid="{00000000-0005-0000-0000-0000FE2C0000}"/>
    <cellStyle name="Normal 28 3 4 2 4" xfId="7592" xr:uid="{00000000-0005-0000-0000-0000FF2C0000}"/>
    <cellStyle name="Normal 28 3 4 2 4 2" xfId="25256" xr:uid="{00000000-0005-0000-0000-0000002D0000}"/>
    <cellStyle name="Normal 28 3 4 2 5" xfId="7593" xr:uid="{00000000-0005-0000-0000-0000012D0000}"/>
    <cellStyle name="Normal 28 3 4 2 5 2" xfId="25257" xr:uid="{00000000-0005-0000-0000-0000022D0000}"/>
    <cellStyle name="Normal 28 3 4 2 6" xfId="7594" xr:uid="{00000000-0005-0000-0000-0000032D0000}"/>
    <cellStyle name="Normal 28 3 4 2 6 2" xfId="25258" xr:uid="{00000000-0005-0000-0000-0000042D0000}"/>
    <cellStyle name="Normal 28 3 4 2 7" xfId="7595" xr:uid="{00000000-0005-0000-0000-0000052D0000}"/>
    <cellStyle name="Normal 28 3 4 2 7 2" xfId="25259" xr:uid="{00000000-0005-0000-0000-0000062D0000}"/>
    <cellStyle name="Normal 28 3 4 2 8" xfId="7596" xr:uid="{00000000-0005-0000-0000-0000072D0000}"/>
    <cellStyle name="Normal 28 3 4 2 8 2" xfId="25260" xr:uid="{00000000-0005-0000-0000-0000082D0000}"/>
    <cellStyle name="Normal 28 3 4 2 9" xfId="7597" xr:uid="{00000000-0005-0000-0000-0000092D0000}"/>
    <cellStyle name="Normal 28 3 4 2 9 2" xfId="25261" xr:uid="{00000000-0005-0000-0000-00000A2D0000}"/>
    <cellStyle name="Normal 28 3 4 3" xfId="7598" xr:uid="{00000000-0005-0000-0000-00000B2D0000}"/>
    <cellStyle name="Normal 28 3 4 3 2" xfId="25262" xr:uid="{00000000-0005-0000-0000-00000C2D0000}"/>
    <cellStyle name="Normal 28 3 4 4" xfId="7599" xr:uid="{00000000-0005-0000-0000-00000D2D0000}"/>
    <cellStyle name="Normal 28 3 4 4 2" xfId="25263" xr:uid="{00000000-0005-0000-0000-00000E2D0000}"/>
    <cellStyle name="Normal 28 3 4 5" xfId="7600" xr:uid="{00000000-0005-0000-0000-00000F2D0000}"/>
    <cellStyle name="Normal 28 3 4 5 2" xfId="25264" xr:uid="{00000000-0005-0000-0000-0000102D0000}"/>
    <cellStyle name="Normal 28 3 4 6" xfId="7601" xr:uid="{00000000-0005-0000-0000-0000112D0000}"/>
    <cellStyle name="Normal 28 3 4 6 2" xfId="25265" xr:uid="{00000000-0005-0000-0000-0000122D0000}"/>
    <cellStyle name="Normal 28 3 4 7" xfId="7602" xr:uid="{00000000-0005-0000-0000-0000132D0000}"/>
    <cellStyle name="Normal 28 3 4 7 2" xfId="25266" xr:uid="{00000000-0005-0000-0000-0000142D0000}"/>
    <cellStyle name="Normal 28 3 4 8" xfId="7603" xr:uid="{00000000-0005-0000-0000-0000152D0000}"/>
    <cellStyle name="Normal 28 3 4 8 2" xfId="25267" xr:uid="{00000000-0005-0000-0000-0000162D0000}"/>
    <cellStyle name="Normal 28 3 4 9" xfId="7604" xr:uid="{00000000-0005-0000-0000-0000172D0000}"/>
    <cellStyle name="Normal 28 3 4 9 2" xfId="25268" xr:uid="{00000000-0005-0000-0000-0000182D0000}"/>
    <cellStyle name="Normal 28 3 5" xfId="7605" xr:uid="{00000000-0005-0000-0000-0000192D0000}"/>
    <cellStyle name="Normal 28 3 5 10" xfId="7606" xr:uid="{00000000-0005-0000-0000-00001A2D0000}"/>
    <cellStyle name="Normal 28 3 5 10 2" xfId="25270" xr:uid="{00000000-0005-0000-0000-00001B2D0000}"/>
    <cellStyle name="Normal 28 3 5 11" xfId="7607" xr:uid="{00000000-0005-0000-0000-00001C2D0000}"/>
    <cellStyle name="Normal 28 3 5 11 2" xfId="25271" xr:uid="{00000000-0005-0000-0000-00001D2D0000}"/>
    <cellStyle name="Normal 28 3 5 12" xfId="7608" xr:uid="{00000000-0005-0000-0000-00001E2D0000}"/>
    <cellStyle name="Normal 28 3 5 12 2" xfId="25272" xr:uid="{00000000-0005-0000-0000-00001F2D0000}"/>
    <cellStyle name="Normal 28 3 5 13" xfId="7609" xr:uid="{00000000-0005-0000-0000-0000202D0000}"/>
    <cellStyle name="Normal 28 3 5 13 2" xfId="25273" xr:uid="{00000000-0005-0000-0000-0000212D0000}"/>
    <cellStyle name="Normal 28 3 5 14" xfId="7610" xr:uid="{00000000-0005-0000-0000-0000222D0000}"/>
    <cellStyle name="Normal 28 3 5 14 2" xfId="25274" xr:uid="{00000000-0005-0000-0000-0000232D0000}"/>
    <cellStyle name="Normal 28 3 5 15" xfId="25269" xr:uid="{00000000-0005-0000-0000-0000242D0000}"/>
    <cellStyle name="Normal 28 3 5 2" xfId="7611" xr:uid="{00000000-0005-0000-0000-0000252D0000}"/>
    <cellStyle name="Normal 28 3 5 2 2" xfId="25275" xr:uid="{00000000-0005-0000-0000-0000262D0000}"/>
    <cellStyle name="Normal 28 3 5 3" xfId="7612" xr:uid="{00000000-0005-0000-0000-0000272D0000}"/>
    <cellStyle name="Normal 28 3 5 3 2" xfId="25276" xr:uid="{00000000-0005-0000-0000-0000282D0000}"/>
    <cellStyle name="Normal 28 3 5 4" xfId="7613" xr:uid="{00000000-0005-0000-0000-0000292D0000}"/>
    <cellStyle name="Normal 28 3 5 4 2" xfId="25277" xr:uid="{00000000-0005-0000-0000-00002A2D0000}"/>
    <cellStyle name="Normal 28 3 5 5" xfId="7614" xr:uid="{00000000-0005-0000-0000-00002B2D0000}"/>
    <cellStyle name="Normal 28 3 5 5 2" xfId="25278" xr:uid="{00000000-0005-0000-0000-00002C2D0000}"/>
    <cellStyle name="Normal 28 3 5 6" xfId="7615" xr:uid="{00000000-0005-0000-0000-00002D2D0000}"/>
    <cellStyle name="Normal 28 3 5 6 2" xfId="25279" xr:uid="{00000000-0005-0000-0000-00002E2D0000}"/>
    <cellStyle name="Normal 28 3 5 7" xfId="7616" xr:uid="{00000000-0005-0000-0000-00002F2D0000}"/>
    <cellStyle name="Normal 28 3 5 7 2" xfId="25280" xr:uid="{00000000-0005-0000-0000-0000302D0000}"/>
    <cellStyle name="Normal 28 3 5 8" xfId="7617" xr:uid="{00000000-0005-0000-0000-0000312D0000}"/>
    <cellStyle name="Normal 28 3 5 8 2" xfId="25281" xr:uid="{00000000-0005-0000-0000-0000322D0000}"/>
    <cellStyle name="Normal 28 3 5 9" xfId="7618" xr:uid="{00000000-0005-0000-0000-0000332D0000}"/>
    <cellStyle name="Normal 28 3 5 9 2" xfId="25282" xr:uid="{00000000-0005-0000-0000-0000342D0000}"/>
    <cellStyle name="Normal 28 3 6" xfId="7619" xr:uid="{00000000-0005-0000-0000-0000352D0000}"/>
    <cellStyle name="Normal 28 3 6 10" xfId="7620" xr:uid="{00000000-0005-0000-0000-0000362D0000}"/>
    <cellStyle name="Normal 28 3 6 10 2" xfId="25284" xr:uid="{00000000-0005-0000-0000-0000372D0000}"/>
    <cellStyle name="Normal 28 3 6 11" xfId="7621" xr:uid="{00000000-0005-0000-0000-0000382D0000}"/>
    <cellStyle name="Normal 28 3 6 11 2" xfId="25285" xr:uid="{00000000-0005-0000-0000-0000392D0000}"/>
    <cellStyle name="Normal 28 3 6 12" xfId="7622" xr:uid="{00000000-0005-0000-0000-00003A2D0000}"/>
    <cellStyle name="Normal 28 3 6 12 2" xfId="25286" xr:uid="{00000000-0005-0000-0000-00003B2D0000}"/>
    <cellStyle name="Normal 28 3 6 13" xfId="7623" xr:uid="{00000000-0005-0000-0000-00003C2D0000}"/>
    <cellStyle name="Normal 28 3 6 13 2" xfId="25287" xr:uid="{00000000-0005-0000-0000-00003D2D0000}"/>
    <cellStyle name="Normal 28 3 6 14" xfId="7624" xr:uid="{00000000-0005-0000-0000-00003E2D0000}"/>
    <cellStyle name="Normal 28 3 6 14 2" xfId="25288" xr:uid="{00000000-0005-0000-0000-00003F2D0000}"/>
    <cellStyle name="Normal 28 3 6 15" xfId="25283" xr:uid="{00000000-0005-0000-0000-0000402D0000}"/>
    <cellStyle name="Normal 28 3 6 2" xfId="7625" xr:uid="{00000000-0005-0000-0000-0000412D0000}"/>
    <cellStyle name="Normal 28 3 6 2 2" xfId="25289" xr:uid="{00000000-0005-0000-0000-0000422D0000}"/>
    <cellStyle name="Normal 28 3 6 3" xfId="7626" xr:uid="{00000000-0005-0000-0000-0000432D0000}"/>
    <cellStyle name="Normal 28 3 6 3 2" xfId="25290" xr:uid="{00000000-0005-0000-0000-0000442D0000}"/>
    <cellStyle name="Normal 28 3 6 4" xfId="7627" xr:uid="{00000000-0005-0000-0000-0000452D0000}"/>
    <cellStyle name="Normal 28 3 6 4 2" xfId="25291" xr:uid="{00000000-0005-0000-0000-0000462D0000}"/>
    <cellStyle name="Normal 28 3 6 5" xfId="7628" xr:uid="{00000000-0005-0000-0000-0000472D0000}"/>
    <cellStyle name="Normal 28 3 6 5 2" xfId="25292" xr:uid="{00000000-0005-0000-0000-0000482D0000}"/>
    <cellStyle name="Normal 28 3 6 6" xfId="7629" xr:uid="{00000000-0005-0000-0000-0000492D0000}"/>
    <cellStyle name="Normal 28 3 6 6 2" xfId="25293" xr:uid="{00000000-0005-0000-0000-00004A2D0000}"/>
    <cellStyle name="Normal 28 3 6 7" xfId="7630" xr:uid="{00000000-0005-0000-0000-00004B2D0000}"/>
    <cellStyle name="Normal 28 3 6 7 2" xfId="25294" xr:uid="{00000000-0005-0000-0000-00004C2D0000}"/>
    <cellStyle name="Normal 28 3 6 8" xfId="7631" xr:uid="{00000000-0005-0000-0000-00004D2D0000}"/>
    <cellStyle name="Normal 28 3 6 8 2" xfId="25295" xr:uid="{00000000-0005-0000-0000-00004E2D0000}"/>
    <cellStyle name="Normal 28 3 6 9" xfId="7632" xr:uid="{00000000-0005-0000-0000-00004F2D0000}"/>
    <cellStyle name="Normal 28 3 6 9 2" xfId="25296" xr:uid="{00000000-0005-0000-0000-0000502D0000}"/>
    <cellStyle name="Normal 28 3 7" xfId="7633" xr:uid="{00000000-0005-0000-0000-0000512D0000}"/>
    <cellStyle name="Normal 28 3 7 10" xfId="7634" xr:uid="{00000000-0005-0000-0000-0000522D0000}"/>
    <cellStyle name="Normal 28 3 7 10 2" xfId="25298" xr:uid="{00000000-0005-0000-0000-0000532D0000}"/>
    <cellStyle name="Normal 28 3 7 11" xfId="7635" xr:uid="{00000000-0005-0000-0000-0000542D0000}"/>
    <cellStyle name="Normal 28 3 7 11 2" xfId="25299" xr:uid="{00000000-0005-0000-0000-0000552D0000}"/>
    <cellStyle name="Normal 28 3 7 12" xfId="7636" xr:uid="{00000000-0005-0000-0000-0000562D0000}"/>
    <cellStyle name="Normal 28 3 7 12 2" xfId="25300" xr:uid="{00000000-0005-0000-0000-0000572D0000}"/>
    <cellStyle name="Normal 28 3 7 13" xfId="7637" xr:uid="{00000000-0005-0000-0000-0000582D0000}"/>
    <cellStyle name="Normal 28 3 7 13 2" xfId="25301" xr:uid="{00000000-0005-0000-0000-0000592D0000}"/>
    <cellStyle name="Normal 28 3 7 14" xfId="7638" xr:uid="{00000000-0005-0000-0000-00005A2D0000}"/>
    <cellStyle name="Normal 28 3 7 14 2" xfId="25302" xr:uid="{00000000-0005-0000-0000-00005B2D0000}"/>
    <cellStyle name="Normal 28 3 7 15" xfId="25297" xr:uid="{00000000-0005-0000-0000-00005C2D0000}"/>
    <cellStyle name="Normal 28 3 7 2" xfId="7639" xr:uid="{00000000-0005-0000-0000-00005D2D0000}"/>
    <cellStyle name="Normal 28 3 7 2 2" xfId="25303" xr:uid="{00000000-0005-0000-0000-00005E2D0000}"/>
    <cellStyle name="Normal 28 3 7 3" xfId="7640" xr:uid="{00000000-0005-0000-0000-00005F2D0000}"/>
    <cellStyle name="Normal 28 3 7 3 2" xfId="25304" xr:uid="{00000000-0005-0000-0000-0000602D0000}"/>
    <cellStyle name="Normal 28 3 7 4" xfId="7641" xr:uid="{00000000-0005-0000-0000-0000612D0000}"/>
    <cellStyle name="Normal 28 3 7 4 2" xfId="25305" xr:uid="{00000000-0005-0000-0000-0000622D0000}"/>
    <cellStyle name="Normal 28 3 7 5" xfId="7642" xr:uid="{00000000-0005-0000-0000-0000632D0000}"/>
    <cellStyle name="Normal 28 3 7 5 2" xfId="25306" xr:uid="{00000000-0005-0000-0000-0000642D0000}"/>
    <cellStyle name="Normal 28 3 7 6" xfId="7643" xr:uid="{00000000-0005-0000-0000-0000652D0000}"/>
    <cellStyle name="Normal 28 3 7 6 2" xfId="25307" xr:uid="{00000000-0005-0000-0000-0000662D0000}"/>
    <cellStyle name="Normal 28 3 7 7" xfId="7644" xr:uid="{00000000-0005-0000-0000-0000672D0000}"/>
    <cellStyle name="Normal 28 3 7 7 2" xfId="25308" xr:uid="{00000000-0005-0000-0000-0000682D0000}"/>
    <cellStyle name="Normal 28 3 7 8" xfId="7645" xr:uid="{00000000-0005-0000-0000-0000692D0000}"/>
    <cellStyle name="Normal 28 3 7 8 2" xfId="25309" xr:uid="{00000000-0005-0000-0000-00006A2D0000}"/>
    <cellStyle name="Normal 28 3 7 9" xfId="7646" xr:uid="{00000000-0005-0000-0000-00006B2D0000}"/>
    <cellStyle name="Normal 28 3 7 9 2" xfId="25310" xr:uid="{00000000-0005-0000-0000-00006C2D0000}"/>
    <cellStyle name="Normal 28 3 8" xfId="7647" xr:uid="{00000000-0005-0000-0000-00006D2D0000}"/>
    <cellStyle name="Normal 28 3 8 10" xfId="7648" xr:uid="{00000000-0005-0000-0000-00006E2D0000}"/>
    <cellStyle name="Normal 28 3 8 10 2" xfId="25312" xr:uid="{00000000-0005-0000-0000-00006F2D0000}"/>
    <cellStyle name="Normal 28 3 8 11" xfId="7649" xr:uid="{00000000-0005-0000-0000-0000702D0000}"/>
    <cellStyle name="Normal 28 3 8 11 2" xfId="25313" xr:uid="{00000000-0005-0000-0000-0000712D0000}"/>
    <cellStyle name="Normal 28 3 8 12" xfId="7650" xr:uid="{00000000-0005-0000-0000-0000722D0000}"/>
    <cellStyle name="Normal 28 3 8 12 2" xfId="25314" xr:uid="{00000000-0005-0000-0000-0000732D0000}"/>
    <cellStyle name="Normal 28 3 8 13" xfId="7651" xr:uid="{00000000-0005-0000-0000-0000742D0000}"/>
    <cellStyle name="Normal 28 3 8 13 2" xfId="25315" xr:uid="{00000000-0005-0000-0000-0000752D0000}"/>
    <cellStyle name="Normal 28 3 8 14" xfId="7652" xr:uid="{00000000-0005-0000-0000-0000762D0000}"/>
    <cellStyle name="Normal 28 3 8 14 2" xfId="25316" xr:uid="{00000000-0005-0000-0000-0000772D0000}"/>
    <cellStyle name="Normal 28 3 8 15" xfId="25311" xr:uid="{00000000-0005-0000-0000-0000782D0000}"/>
    <cellStyle name="Normal 28 3 8 2" xfId="7653" xr:uid="{00000000-0005-0000-0000-0000792D0000}"/>
    <cellStyle name="Normal 28 3 8 2 2" xfId="25317" xr:uid="{00000000-0005-0000-0000-00007A2D0000}"/>
    <cellStyle name="Normal 28 3 8 3" xfId="7654" xr:uid="{00000000-0005-0000-0000-00007B2D0000}"/>
    <cellStyle name="Normal 28 3 8 3 2" xfId="25318" xr:uid="{00000000-0005-0000-0000-00007C2D0000}"/>
    <cellStyle name="Normal 28 3 8 4" xfId="7655" xr:uid="{00000000-0005-0000-0000-00007D2D0000}"/>
    <cellStyle name="Normal 28 3 8 4 2" xfId="25319" xr:uid="{00000000-0005-0000-0000-00007E2D0000}"/>
    <cellStyle name="Normal 28 3 8 5" xfId="7656" xr:uid="{00000000-0005-0000-0000-00007F2D0000}"/>
    <cellStyle name="Normal 28 3 8 5 2" xfId="25320" xr:uid="{00000000-0005-0000-0000-0000802D0000}"/>
    <cellStyle name="Normal 28 3 8 6" xfId="7657" xr:uid="{00000000-0005-0000-0000-0000812D0000}"/>
    <cellStyle name="Normal 28 3 8 6 2" xfId="25321" xr:uid="{00000000-0005-0000-0000-0000822D0000}"/>
    <cellStyle name="Normal 28 3 8 7" xfId="7658" xr:uid="{00000000-0005-0000-0000-0000832D0000}"/>
    <cellStyle name="Normal 28 3 8 7 2" xfId="25322" xr:uid="{00000000-0005-0000-0000-0000842D0000}"/>
    <cellStyle name="Normal 28 3 8 8" xfId="7659" xr:uid="{00000000-0005-0000-0000-0000852D0000}"/>
    <cellStyle name="Normal 28 3 8 8 2" xfId="25323" xr:uid="{00000000-0005-0000-0000-0000862D0000}"/>
    <cellStyle name="Normal 28 3 8 9" xfId="7660" xr:uid="{00000000-0005-0000-0000-0000872D0000}"/>
    <cellStyle name="Normal 28 3 8 9 2" xfId="25324" xr:uid="{00000000-0005-0000-0000-0000882D0000}"/>
    <cellStyle name="Normal 28 3 9" xfId="7661" xr:uid="{00000000-0005-0000-0000-0000892D0000}"/>
    <cellStyle name="Normal 28 3 9 10" xfId="7662" xr:uid="{00000000-0005-0000-0000-00008A2D0000}"/>
    <cellStyle name="Normal 28 3 9 10 2" xfId="25326" xr:uid="{00000000-0005-0000-0000-00008B2D0000}"/>
    <cellStyle name="Normal 28 3 9 11" xfId="7663" xr:uid="{00000000-0005-0000-0000-00008C2D0000}"/>
    <cellStyle name="Normal 28 3 9 11 2" xfId="25327" xr:uid="{00000000-0005-0000-0000-00008D2D0000}"/>
    <cellStyle name="Normal 28 3 9 12" xfId="7664" xr:uid="{00000000-0005-0000-0000-00008E2D0000}"/>
    <cellStyle name="Normal 28 3 9 12 2" xfId="25328" xr:uid="{00000000-0005-0000-0000-00008F2D0000}"/>
    <cellStyle name="Normal 28 3 9 13" xfId="7665" xr:uid="{00000000-0005-0000-0000-0000902D0000}"/>
    <cellStyle name="Normal 28 3 9 13 2" xfId="25329" xr:uid="{00000000-0005-0000-0000-0000912D0000}"/>
    <cellStyle name="Normal 28 3 9 14" xfId="7666" xr:uid="{00000000-0005-0000-0000-0000922D0000}"/>
    <cellStyle name="Normal 28 3 9 14 2" xfId="25330" xr:uid="{00000000-0005-0000-0000-0000932D0000}"/>
    <cellStyle name="Normal 28 3 9 15" xfId="25325" xr:uid="{00000000-0005-0000-0000-0000942D0000}"/>
    <cellStyle name="Normal 28 3 9 2" xfId="7667" xr:uid="{00000000-0005-0000-0000-0000952D0000}"/>
    <cellStyle name="Normal 28 3 9 2 2" xfId="25331" xr:uid="{00000000-0005-0000-0000-0000962D0000}"/>
    <cellStyle name="Normal 28 3 9 3" xfId="7668" xr:uid="{00000000-0005-0000-0000-0000972D0000}"/>
    <cellStyle name="Normal 28 3 9 3 2" xfId="25332" xr:uid="{00000000-0005-0000-0000-0000982D0000}"/>
    <cellStyle name="Normal 28 3 9 4" xfId="7669" xr:uid="{00000000-0005-0000-0000-0000992D0000}"/>
    <cellStyle name="Normal 28 3 9 4 2" xfId="25333" xr:uid="{00000000-0005-0000-0000-00009A2D0000}"/>
    <cellStyle name="Normal 28 3 9 5" xfId="7670" xr:uid="{00000000-0005-0000-0000-00009B2D0000}"/>
    <cellStyle name="Normal 28 3 9 5 2" xfId="25334" xr:uid="{00000000-0005-0000-0000-00009C2D0000}"/>
    <cellStyle name="Normal 28 3 9 6" xfId="7671" xr:uid="{00000000-0005-0000-0000-00009D2D0000}"/>
    <cellStyle name="Normal 28 3 9 6 2" xfId="25335" xr:uid="{00000000-0005-0000-0000-00009E2D0000}"/>
    <cellStyle name="Normal 28 3 9 7" xfId="7672" xr:uid="{00000000-0005-0000-0000-00009F2D0000}"/>
    <cellStyle name="Normal 28 3 9 7 2" xfId="25336" xr:uid="{00000000-0005-0000-0000-0000A02D0000}"/>
    <cellStyle name="Normal 28 3 9 8" xfId="7673" xr:uid="{00000000-0005-0000-0000-0000A12D0000}"/>
    <cellStyle name="Normal 28 3 9 8 2" xfId="25337" xr:uid="{00000000-0005-0000-0000-0000A22D0000}"/>
    <cellStyle name="Normal 28 3 9 9" xfId="7674" xr:uid="{00000000-0005-0000-0000-0000A32D0000}"/>
    <cellStyle name="Normal 28 3 9 9 2" xfId="25338" xr:uid="{00000000-0005-0000-0000-0000A42D0000}"/>
    <cellStyle name="Normal 28 4" xfId="7675" xr:uid="{00000000-0005-0000-0000-0000A52D0000}"/>
    <cellStyle name="Normal 28 4 10" xfId="7676" xr:uid="{00000000-0005-0000-0000-0000A62D0000}"/>
    <cellStyle name="Normal 28 4 10 10" xfId="7677" xr:uid="{00000000-0005-0000-0000-0000A72D0000}"/>
    <cellStyle name="Normal 28 4 10 10 2" xfId="25341" xr:uid="{00000000-0005-0000-0000-0000A82D0000}"/>
    <cellStyle name="Normal 28 4 10 11" xfId="7678" xr:uid="{00000000-0005-0000-0000-0000A92D0000}"/>
    <cellStyle name="Normal 28 4 10 11 2" xfId="25342" xr:uid="{00000000-0005-0000-0000-0000AA2D0000}"/>
    <cellStyle name="Normal 28 4 10 12" xfId="7679" xr:uid="{00000000-0005-0000-0000-0000AB2D0000}"/>
    <cellStyle name="Normal 28 4 10 12 2" xfId="25343" xr:uid="{00000000-0005-0000-0000-0000AC2D0000}"/>
    <cellStyle name="Normal 28 4 10 13" xfId="7680" xr:uid="{00000000-0005-0000-0000-0000AD2D0000}"/>
    <cellStyle name="Normal 28 4 10 13 2" xfId="25344" xr:uid="{00000000-0005-0000-0000-0000AE2D0000}"/>
    <cellStyle name="Normal 28 4 10 14" xfId="7681" xr:uid="{00000000-0005-0000-0000-0000AF2D0000}"/>
    <cellStyle name="Normal 28 4 10 14 2" xfId="25345" xr:uid="{00000000-0005-0000-0000-0000B02D0000}"/>
    <cellStyle name="Normal 28 4 10 15" xfId="25340" xr:uid="{00000000-0005-0000-0000-0000B12D0000}"/>
    <cellStyle name="Normal 28 4 10 2" xfId="7682" xr:uid="{00000000-0005-0000-0000-0000B22D0000}"/>
    <cellStyle name="Normal 28 4 10 2 2" xfId="25346" xr:uid="{00000000-0005-0000-0000-0000B32D0000}"/>
    <cellStyle name="Normal 28 4 10 3" xfId="7683" xr:uid="{00000000-0005-0000-0000-0000B42D0000}"/>
    <cellStyle name="Normal 28 4 10 3 2" xfId="25347" xr:uid="{00000000-0005-0000-0000-0000B52D0000}"/>
    <cellStyle name="Normal 28 4 10 4" xfId="7684" xr:uid="{00000000-0005-0000-0000-0000B62D0000}"/>
    <cellStyle name="Normal 28 4 10 4 2" xfId="25348" xr:uid="{00000000-0005-0000-0000-0000B72D0000}"/>
    <cellStyle name="Normal 28 4 10 5" xfId="7685" xr:uid="{00000000-0005-0000-0000-0000B82D0000}"/>
    <cellStyle name="Normal 28 4 10 5 2" xfId="25349" xr:uid="{00000000-0005-0000-0000-0000B92D0000}"/>
    <cellStyle name="Normal 28 4 10 6" xfId="7686" xr:uid="{00000000-0005-0000-0000-0000BA2D0000}"/>
    <cellStyle name="Normal 28 4 10 6 2" xfId="25350" xr:uid="{00000000-0005-0000-0000-0000BB2D0000}"/>
    <cellStyle name="Normal 28 4 10 7" xfId="7687" xr:uid="{00000000-0005-0000-0000-0000BC2D0000}"/>
    <cellStyle name="Normal 28 4 10 7 2" xfId="25351" xr:uid="{00000000-0005-0000-0000-0000BD2D0000}"/>
    <cellStyle name="Normal 28 4 10 8" xfId="7688" xr:uid="{00000000-0005-0000-0000-0000BE2D0000}"/>
    <cellStyle name="Normal 28 4 10 8 2" xfId="25352" xr:uid="{00000000-0005-0000-0000-0000BF2D0000}"/>
    <cellStyle name="Normal 28 4 10 9" xfId="7689" xr:uid="{00000000-0005-0000-0000-0000C02D0000}"/>
    <cellStyle name="Normal 28 4 10 9 2" xfId="25353" xr:uid="{00000000-0005-0000-0000-0000C12D0000}"/>
    <cellStyle name="Normal 28 4 11" xfId="7690" xr:uid="{00000000-0005-0000-0000-0000C22D0000}"/>
    <cellStyle name="Normal 28 4 11 10" xfId="7691" xr:uid="{00000000-0005-0000-0000-0000C32D0000}"/>
    <cellStyle name="Normal 28 4 11 10 2" xfId="25355" xr:uid="{00000000-0005-0000-0000-0000C42D0000}"/>
    <cellStyle name="Normal 28 4 11 11" xfId="7692" xr:uid="{00000000-0005-0000-0000-0000C52D0000}"/>
    <cellStyle name="Normal 28 4 11 11 2" xfId="25356" xr:uid="{00000000-0005-0000-0000-0000C62D0000}"/>
    <cellStyle name="Normal 28 4 11 12" xfId="7693" xr:uid="{00000000-0005-0000-0000-0000C72D0000}"/>
    <cellStyle name="Normal 28 4 11 12 2" xfId="25357" xr:uid="{00000000-0005-0000-0000-0000C82D0000}"/>
    <cellStyle name="Normal 28 4 11 13" xfId="7694" xr:uid="{00000000-0005-0000-0000-0000C92D0000}"/>
    <cellStyle name="Normal 28 4 11 13 2" xfId="25358" xr:uid="{00000000-0005-0000-0000-0000CA2D0000}"/>
    <cellStyle name="Normal 28 4 11 14" xfId="7695" xr:uid="{00000000-0005-0000-0000-0000CB2D0000}"/>
    <cellStyle name="Normal 28 4 11 14 2" xfId="25359" xr:uid="{00000000-0005-0000-0000-0000CC2D0000}"/>
    <cellStyle name="Normal 28 4 11 15" xfId="25354" xr:uid="{00000000-0005-0000-0000-0000CD2D0000}"/>
    <cellStyle name="Normal 28 4 11 2" xfId="7696" xr:uid="{00000000-0005-0000-0000-0000CE2D0000}"/>
    <cellStyle name="Normal 28 4 11 2 2" xfId="25360" xr:uid="{00000000-0005-0000-0000-0000CF2D0000}"/>
    <cellStyle name="Normal 28 4 11 3" xfId="7697" xr:uid="{00000000-0005-0000-0000-0000D02D0000}"/>
    <cellStyle name="Normal 28 4 11 3 2" xfId="25361" xr:uid="{00000000-0005-0000-0000-0000D12D0000}"/>
    <cellStyle name="Normal 28 4 11 4" xfId="7698" xr:uid="{00000000-0005-0000-0000-0000D22D0000}"/>
    <cellStyle name="Normal 28 4 11 4 2" xfId="25362" xr:uid="{00000000-0005-0000-0000-0000D32D0000}"/>
    <cellStyle name="Normal 28 4 11 5" xfId="7699" xr:uid="{00000000-0005-0000-0000-0000D42D0000}"/>
    <cellStyle name="Normal 28 4 11 5 2" xfId="25363" xr:uid="{00000000-0005-0000-0000-0000D52D0000}"/>
    <cellStyle name="Normal 28 4 11 6" xfId="7700" xr:uid="{00000000-0005-0000-0000-0000D62D0000}"/>
    <cellStyle name="Normal 28 4 11 6 2" xfId="25364" xr:uid="{00000000-0005-0000-0000-0000D72D0000}"/>
    <cellStyle name="Normal 28 4 11 7" xfId="7701" xr:uid="{00000000-0005-0000-0000-0000D82D0000}"/>
    <cellStyle name="Normal 28 4 11 7 2" xfId="25365" xr:uid="{00000000-0005-0000-0000-0000D92D0000}"/>
    <cellStyle name="Normal 28 4 11 8" xfId="7702" xr:uid="{00000000-0005-0000-0000-0000DA2D0000}"/>
    <cellStyle name="Normal 28 4 11 8 2" xfId="25366" xr:uid="{00000000-0005-0000-0000-0000DB2D0000}"/>
    <cellStyle name="Normal 28 4 11 9" xfId="7703" xr:uid="{00000000-0005-0000-0000-0000DC2D0000}"/>
    <cellStyle name="Normal 28 4 11 9 2" xfId="25367" xr:uid="{00000000-0005-0000-0000-0000DD2D0000}"/>
    <cellStyle name="Normal 28 4 12" xfId="7704" xr:uid="{00000000-0005-0000-0000-0000DE2D0000}"/>
    <cellStyle name="Normal 28 4 12 10" xfId="7705" xr:uid="{00000000-0005-0000-0000-0000DF2D0000}"/>
    <cellStyle name="Normal 28 4 12 10 2" xfId="25369" xr:uid="{00000000-0005-0000-0000-0000E02D0000}"/>
    <cellStyle name="Normal 28 4 12 11" xfId="7706" xr:uid="{00000000-0005-0000-0000-0000E12D0000}"/>
    <cellStyle name="Normal 28 4 12 11 2" xfId="25370" xr:uid="{00000000-0005-0000-0000-0000E22D0000}"/>
    <cellStyle name="Normal 28 4 12 12" xfId="7707" xr:uid="{00000000-0005-0000-0000-0000E32D0000}"/>
    <cellStyle name="Normal 28 4 12 12 2" xfId="25371" xr:uid="{00000000-0005-0000-0000-0000E42D0000}"/>
    <cellStyle name="Normal 28 4 12 13" xfId="7708" xr:uid="{00000000-0005-0000-0000-0000E52D0000}"/>
    <cellStyle name="Normal 28 4 12 13 2" xfId="25372" xr:uid="{00000000-0005-0000-0000-0000E62D0000}"/>
    <cellStyle name="Normal 28 4 12 14" xfId="7709" xr:uid="{00000000-0005-0000-0000-0000E72D0000}"/>
    <cellStyle name="Normal 28 4 12 14 2" xfId="25373" xr:uid="{00000000-0005-0000-0000-0000E82D0000}"/>
    <cellStyle name="Normal 28 4 12 15" xfId="25368" xr:uid="{00000000-0005-0000-0000-0000E92D0000}"/>
    <cellStyle name="Normal 28 4 12 2" xfId="7710" xr:uid="{00000000-0005-0000-0000-0000EA2D0000}"/>
    <cellStyle name="Normal 28 4 12 2 2" xfId="25374" xr:uid="{00000000-0005-0000-0000-0000EB2D0000}"/>
    <cellStyle name="Normal 28 4 12 3" xfId="7711" xr:uid="{00000000-0005-0000-0000-0000EC2D0000}"/>
    <cellStyle name="Normal 28 4 12 3 2" xfId="25375" xr:uid="{00000000-0005-0000-0000-0000ED2D0000}"/>
    <cellStyle name="Normal 28 4 12 4" xfId="7712" xr:uid="{00000000-0005-0000-0000-0000EE2D0000}"/>
    <cellStyle name="Normal 28 4 12 4 2" xfId="25376" xr:uid="{00000000-0005-0000-0000-0000EF2D0000}"/>
    <cellStyle name="Normal 28 4 12 5" xfId="7713" xr:uid="{00000000-0005-0000-0000-0000F02D0000}"/>
    <cellStyle name="Normal 28 4 12 5 2" xfId="25377" xr:uid="{00000000-0005-0000-0000-0000F12D0000}"/>
    <cellStyle name="Normal 28 4 12 6" xfId="7714" xr:uid="{00000000-0005-0000-0000-0000F22D0000}"/>
    <cellStyle name="Normal 28 4 12 6 2" xfId="25378" xr:uid="{00000000-0005-0000-0000-0000F32D0000}"/>
    <cellStyle name="Normal 28 4 12 7" xfId="7715" xr:uid="{00000000-0005-0000-0000-0000F42D0000}"/>
    <cellStyle name="Normal 28 4 12 7 2" xfId="25379" xr:uid="{00000000-0005-0000-0000-0000F52D0000}"/>
    <cellStyle name="Normal 28 4 12 8" xfId="7716" xr:uid="{00000000-0005-0000-0000-0000F62D0000}"/>
    <cellStyle name="Normal 28 4 12 8 2" xfId="25380" xr:uid="{00000000-0005-0000-0000-0000F72D0000}"/>
    <cellStyle name="Normal 28 4 12 9" xfId="7717" xr:uid="{00000000-0005-0000-0000-0000F82D0000}"/>
    <cellStyle name="Normal 28 4 12 9 2" xfId="25381" xr:uid="{00000000-0005-0000-0000-0000F92D0000}"/>
    <cellStyle name="Normal 28 4 13" xfId="7718" xr:uid="{00000000-0005-0000-0000-0000FA2D0000}"/>
    <cellStyle name="Normal 28 4 13 10" xfId="7719" xr:uid="{00000000-0005-0000-0000-0000FB2D0000}"/>
    <cellStyle name="Normal 28 4 13 10 2" xfId="25383" xr:uid="{00000000-0005-0000-0000-0000FC2D0000}"/>
    <cellStyle name="Normal 28 4 13 11" xfId="7720" xr:uid="{00000000-0005-0000-0000-0000FD2D0000}"/>
    <cellStyle name="Normal 28 4 13 11 2" xfId="25384" xr:uid="{00000000-0005-0000-0000-0000FE2D0000}"/>
    <cellStyle name="Normal 28 4 13 12" xfId="7721" xr:uid="{00000000-0005-0000-0000-0000FF2D0000}"/>
    <cellStyle name="Normal 28 4 13 12 2" xfId="25385" xr:uid="{00000000-0005-0000-0000-0000002E0000}"/>
    <cellStyle name="Normal 28 4 13 13" xfId="7722" xr:uid="{00000000-0005-0000-0000-0000012E0000}"/>
    <cellStyle name="Normal 28 4 13 13 2" xfId="25386" xr:uid="{00000000-0005-0000-0000-0000022E0000}"/>
    <cellStyle name="Normal 28 4 13 14" xfId="7723" xr:uid="{00000000-0005-0000-0000-0000032E0000}"/>
    <cellStyle name="Normal 28 4 13 14 2" xfId="25387" xr:uid="{00000000-0005-0000-0000-0000042E0000}"/>
    <cellStyle name="Normal 28 4 13 15" xfId="25382" xr:uid="{00000000-0005-0000-0000-0000052E0000}"/>
    <cellStyle name="Normal 28 4 13 2" xfId="7724" xr:uid="{00000000-0005-0000-0000-0000062E0000}"/>
    <cellStyle name="Normal 28 4 13 2 2" xfId="25388" xr:uid="{00000000-0005-0000-0000-0000072E0000}"/>
    <cellStyle name="Normal 28 4 13 3" xfId="7725" xr:uid="{00000000-0005-0000-0000-0000082E0000}"/>
    <cellStyle name="Normal 28 4 13 3 2" xfId="25389" xr:uid="{00000000-0005-0000-0000-0000092E0000}"/>
    <cellStyle name="Normal 28 4 13 4" xfId="7726" xr:uid="{00000000-0005-0000-0000-00000A2E0000}"/>
    <cellStyle name="Normal 28 4 13 4 2" xfId="25390" xr:uid="{00000000-0005-0000-0000-00000B2E0000}"/>
    <cellStyle name="Normal 28 4 13 5" xfId="7727" xr:uid="{00000000-0005-0000-0000-00000C2E0000}"/>
    <cellStyle name="Normal 28 4 13 5 2" xfId="25391" xr:uid="{00000000-0005-0000-0000-00000D2E0000}"/>
    <cellStyle name="Normal 28 4 13 6" xfId="7728" xr:uid="{00000000-0005-0000-0000-00000E2E0000}"/>
    <cellStyle name="Normal 28 4 13 6 2" xfId="25392" xr:uid="{00000000-0005-0000-0000-00000F2E0000}"/>
    <cellStyle name="Normal 28 4 13 7" xfId="7729" xr:uid="{00000000-0005-0000-0000-0000102E0000}"/>
    <cellStyle name="Normal 28 4 13 7 2" xfId="25393" xr:uid="{00000000-0005-0000-0000-0000112E0000}"/>
    <cellStyle name="Normal 28 4 13 8" xfId="7730" xr:uid="{00000000-0005-0000-0000-0000122E0000}"/>
    <cellStyle name="Normal 28 4 13 8 2" xfId="25394" xr:uid="{00000000-0005-0000-0000-0000132E0000}"/>
    <cellStyle name="Normal 28 4 13 9" xfId="7731" xr:uid="{00000000-0005-0000-0000-0000142E0000}"/>
    <cellStyle name="Normal 28 4 13 9 2" xfId="25395" xr:uid="{00000000-0005-0000-0000-0000152E0000}"/>
    <cellStyle name="Normal 28 4 14" xfId="7732" xr:uid="{00000000-0005-0000-0000-0000162E0000}"/>
    <cellStyle name="Normal 28 4 14 10" xfId="7733" xr:uid="{00000000-0005-0000-0000-0000172E0000}"/>
    <cellStyle name="Normal 28 4 14 10 2" xfId="25397" xr:uid="{00000000-0005-0000-0000-0000182E0000}"/>
    <cellStyle name="Normal 28 4 14 11" xfId="7734" xr:uid="{00000000-0005-0000-0000-0000192E0000}"/>
    <cellStyle name="Normal 28 4 14 11 2" xfId="25398" xr:uid="{00000000-0005-0000-0000-00001A2E0000}"/>
    <cellStyle name="Normal 28 4 14 12" xfId="7735" xr:uid="{00000000-0005-0000-0000-00001B2E0000}"/>
    <cellStyle name="Normal 28 4 14 12 2" xfId="25399" xr:uid="{00000000-0005-0000-0000-00001C2E0000}"/>
    <cellStyle name="Normal 28 4 14 13" xfId="7736" xr:uid="{00000000-0005-0000-0000-00001D2E0000}"/>
    <cellStyle name="Normal 28 4 14 13 2" xfId="25400" xr:uid="{00000000-0005-0000-0000-00001E2E0000}"/>
    <cellStyle name="Normal 28 4 14 14" xfId="7737" xr:uid="{00000000-0005-0000-0000-00001F2E0000}"/>
    <cellStyle name="Normal 28 4 14 14 2" xfId="25401" xr:uid="{00000000-0005-0000-0000-0000202E0000}"/>
    <cellStyle name="Normal 28 4 14 15" xfId="25396" xr:uid="{00000000-0005-0000-0000-0000212E0000}"/>
    <cellStyle name="Normal 28 4 14 2" xfId="7738" xr:uid="{00000000-0005-0000-0000-0000222E0000}"/>
    <cellStyle name="Normal 28 4 14 2 2" xfId="25402" xr:uid="{00000000-0005-0000-0000-0000232E0000}"/>
    <cellStyle name="Normal 28 4 14 3" xfId="7739" xr:uid="{00000000-0005-0000-0000-0000242E0000}"/>
    <cellStyle name="Normal 28 4 14 3 2" xfId="25403" xr:uid="{00000000-0005-0000-0000-0000252E0000}"/>
    <cellStyle name="Normal 28 4 14 4" xfId="7740" xr:uid="{00000000-0005-0000-0000-0000262E0000}"/>
    <cellStyle name="Normal 28 4 14 4 2" xfId="25404" xr:uid="{00000000-0005-0000-0000-0000272E0000}"/>
    <cellStyle name="Normal 28 4 14 5" xfId="7741" xr:uid="{00000000-0005-0000-0000-0000282E0000}"/>
    <cellStyle name="Normal 28 4 14 5 2" xfId="25405" xr:uid="{00000000-0005-0000-0000-0000292E0000}"/>
    <cellStyle name="Normal 28 4 14 6" xfId="7742" xr:uid="{00000000-0005-0000-0000-00002A2E0000}"/>
    <cellStyle name="Normal 28 4 14 6 2" xfId="25406" xr:uid="{00000000-0005-0000-0000-00002B2E0000}"/>
    <cellStyle name="Normal 28 4 14 7" xfId="7743" xr:uid="{00000000-0005-0000-0000-00002C2E0000}"/>
    <cellStyle name="Normal 28 4 14 7 2" xfId="25407" xr:uid="{00000000-0005-0000-0000-00002D2E0000}"/>
    <cellStyle name="Normal 28 4 14 8" xfId="7744" xr:uid="{00000000-0005-0000-0000-00002E2E0000}"/>
    <cellStyle name="Normal 28 4 14 8 2" xfId="25408" xr:uid="{00000000-0005-0000-0000-00002F2E0000}"/>
    <cellStyle name="Normal 28 4 14 9" xfId="7745" xr:uid="{00000000-0005-0000-0000-0000302E0000}"/>
    <cellStyle name="Normal 28 4 14 9 2" xfId="25409" xr:uid="{00000000-0005-0000-0000-0000312E0000}"/>
    <cellStyle name="Normal 28 4 15" xfId="7746" xr:uid="{00000000-0005-0000-0000-0000322E0000}"/>
    <cellStyle name="Normal 28 4 15 10" xfId="7747" xr:uid="{00000000-0005-0000-0000-0000332E0000}"/>
    <cellStyle name="Normal 28 4 15 10 2" xfId="25411" xr:uid="{00000000-0005-0000-0000-0000342E0000}"/>
    <cellStyle name="Normal 28 4 15 11" xfId="7748" xr:uid="{00000000-0005-0000-0000-0000352E0000}"/>
    <cellStyle name="Normal 28 4 15 11 2" xfId="25412" xr:uid="{00000000-0005-0000-0000-0000362E0000}"/>
    <cellStyle name="Normal 28 4 15 12" xfId="7749" xr:uid="{00000000-0005-0000-0000-0000372E0000}"/>
    <cellStyle name="Normal 28 4 15 12 2" xfId="25413" xr:uid="{00000000-0005-0000-0000-0000382E0000}"/>
    <cellStyle name="Normal 28 4 15 13" xfId="7750" xr:uid="{00000000-0005-0000-0000-0000392E0000}"/>
    <cellStyle name="Normal 28 4 15 13 2" xfId="25414" xr:uid="{00000000-0005-0000-0000-00003A2E0000}"/>
    <cellStyle name="Normal 28 4 15 14" xfId="7751" xr:uid="{00000000-0005-0000-0000-00003B2E0000}"/>
    <cellStyle name="Normal 28 4 15 14 2" xfId="25415" xr:uid="{00000000-0005-0000-0000-00003C2E0000}"/>
    <cellStyle name="Normal 28 4 15 15" xfId="25410" xr:uid="{00000000-0005-0000-0000-00003D2E0000}"/>
    <cellStyle name="Normal 28 4 15 2" xfId="7752" xr:uid="{00000000-0005-0000-0000-00003E2E0000}"/>
    <cellStyle name="Normal 28 4 15 2 2" xfId="25416" xr:uid="{00000000-0005-0000-0000-00003F2E0000}"/>
    <cellStyle name="Normal 28 4 15 3" xfId="7753" xr:uid="{00000000-0005-0000-0000-0000402E0000}"/>
    <cellStyle name="Normal 28 4 15 3 2" xfId="25417" xr:uid="{00000000-0005-0000-0000-0000412E0000}"/>
    <cellStyle name="Normal 28 4 15 4" xfId="7754" xr:uid="{00000000-0005-0000-0000-0000422E0000}"/>
    <cellStyle name="Normal 28 4 15 4 2" xfId="25418" xr:uid="{00000000-0005-0000-0000-0000432E0000}"/>
    <cellStyle name="Normal 28 4 15 5" xfId="7755" xr:uid="{00000000-0005-0000-0000-0000442E0000}"/>
    <cellStyle name="Normal 28 4 15 5 2" xfId="25419" xr:uid="{00000000-0005-0000-0000-0000452E0000}"/>
    <cellStyle name="Normal 28 4 15 6" xfId="7756" xr:uid="{00000000-0005-0000-0000-0000462E0000}"/>
    <cellStyle name="Normal 28 4 15 6 2" xfId="25420" xr:uid="{00000000-0005-0000-0000-0000472E0000}"/>
    <cellStyle name="Normal 28 4 15 7" xfId="7757" xr:uid="{00000000-0005-0000-0000-0000482E0000}"/>
    <cellStyle name="Normal 28 4 15 7 2" xfId="25421" xr:uid="{00000000-0005-0000-0000-0000492E0000}"/>
    <cellStyle name="Normal 28 4 15 8" xfId="7758" xr:uid="{00000000-0005-0000-0000-00004A2E0000}"/>
    <cellStyle name="Normal 28 4 15 8 2" xfId="25422" xr:uid="{00000000-0005-0000-0000-00004B2E0000}"/>
    <cellStyle name="Normal 28 4 15 9" xfId="7759" xr:uid="{00000000-0005-0000-0000-00004C2E0000}"/>
    <cellStyle name="Normal 28 4 15 9 2" xfId="25423" xr:uid="{00000000-0005-0000-0000-00004D2E0000}"/>
    <cellStyle name="Normal 28 4 16" xfId="7760" xr:uid="{00000000-0005-0000-0000-00004E2E0000}"/>
    <cellStyle name="Normal 28 4 16 2" xfId="25424" xr:uid="{00000000-0005-0000-0000-00004F2E0000}"/>
    <cellStyle name="Normal 28 4 17" xfId="7761" xr:uid="{00000000-0005-0000-0000-0000502E0000}"/>
    <cellStyle name="Normal 28 4 17 2" xfId="25425" xr:uid="{00000000-0005-0000-0000-0000512E0000}"/>
    <cellStyle name="Normal 28 4 18" xfId="7762" xr:uid="{00000000-0005-0000-0000-0000522E0000}"/>
    <cellStyle name="Normal 28 4 18 2" xfId="25426" xr:uid="{00000000-0005-0000-0000-0000532E0000}"/>
    <cellStyle name="Normal 28 4 19" xfId="7763" xr:uid="{00000000-0005-0000-0000-0000542E0000}"/>
    <cellStyle name="Normal 28 4 19 2" xfId="25427" xr:uid="{00000000-0005-0000-0000-0000552E0000}"/>
    <cellStyle name="Normal 28 4 2" xfId="7764" xr:uid="{00000000-0005-0000-0000-0000562E0000}"/>
    <cellStyle name="Normal 28 4 2 10" xfId="7765" xr:uid="{00000000-0005-0000-0000-0000572E0000}"/>
    <cellStyle name="Normal 28 4 2 10 2" xfId="25429" xr:uid="{00000000-0005-0000-0000-0000582E0000}"/>
    <cellStyle name="Normal 28 4 2 11" xfId="7766" xr:uid="{00000000-0005-0000-0000-0000592E0000}"/>
    <cellStyle name="Normal 28 4 2 11 2" xfId="25430" xr:uid="{00000000-0005-0000-0000-00005A2E0000}"/>
    <cellStyle name="Normal 28 4 2 12" xfId="7767" xr:uid="{00000000-0005-0000-0000-00005B2E0000}"/>
    <cellStyle name="Normal 28 4 2 12 2" xfId="25431" xr:uid="{00000000-0005-0000-0000-00005C2E0000}"/>
    <cellStyle name="Normal 28 4 2 13" xfId="7768" xr:uid="{00000000-0005-0000-0000-00005D2E0000}"/>
    <cellStyle name="Normal 28 4 2 13 2" xfId="25432" xr:uid="{00000000-0005-0000-0000-00005E2E0000}"/>
    <cellStyle name="Normal 28 4 2 14" xfId="7769" xr:uid="{00000000-0005-0000-0000-00005F2E0000}"/>
    <cellStyle name="Normal 28 4 2 14 2" xfId="25433" xr:uid="{00000000-0005-0000-0000-0000602E0000}"/>
    <cellStyle name="Normal 28 4 2 15" xfId="7770" xr:uid="{00000000-0005-0000-0000-0000612E0000}"/>
    <cellStyle name="Normal 28 4 2 15 2" xfId="25434" xr:uid="{00000000-0005-0000-0000-0000622E0000}"/>
    <cellStyle name="Normal 28 4 2 16" xfId="25428" xr:uid="{00000000-0005-0000-0000-0000632E0000}"/>
    <cellStyle name="Normal 28 4 2 2" xfId="7771" xr:uid="{00000000-0005-0000-0000-0000642E0000}"/>
    <cellStyle name="Normal 28 4 2 2 10" xfId="7772" xr:uid="{00000000-0005-0000-0000-0000652E0000}"/>
    <cellStyle name="Normal 28 4 2 2 10 2" xfId="25436" xr:uid="{00000000-0005-0000-0000-0000662E0000}"/>
    <cellStyle name="Normal 28 4 2 2 11" xfId="7773" xr:uid="{00000000-0005-0000-0000-0000672E0000}"/>
    <cellStyle name="Normal 28 4 2 2 11 2" xfId="25437" xr:uid="{00000000-0005-0000-0000-0000682E0000}"/>
    <cellStyle name="Normal 28 4 2 2 12" xfId="7774" xr:uid="{00000000-0005-0000-0000-0000692E0000}"/>
    <cellStyle name="Normal 28 4 2 2 12 2" xfId="25438" xr:uid="{00000000-0005-0000-0000-00006A2E0000}"/>
    <cellStyle name="Normal 28 4 2 2 13" xfId="7775" xr:uid="{00000000-0005-0000-0000-00006B2E0000}"/>
    <cellStyle name="Normal 28 4 2 2 13 2" xfId="25439" xr:uid="{00000000-0005-0000-0000-00006C2E0000}"/>
    <cellStyle name="Normal 28 4 2 2 14" xfId="7776" xr:uid="{00000000-0005-0000-0000-00006D2E0000}"/>
    <cellStyle name="Normal 28 4 2 2 14 2" xfId="25440" xr:uid="{00000000-0005-0000-0000-00006E2E0000}"/>
    <cellStyle name="Normal 28 4 2 2 15" xfId="25435" xr:uid="{00000000-0005-0000-0000-00006F2E0000}"/>
    <cellStyle name="Normal 28 4 2 2 2" xfId="7777" xr:uid="{00000000-0005-0000-0000-0000702E0000}"/>
    <cellStyle name="Normal 28 4 2 2 2 2" xfId="25441" xr:uid="{00000000-0005-0000-0000-0000712E0000}"/>
    <cellStyle name="Normal 28 4 2 2 3" xfId="7778" xr:uid="{00000000-0005-0000-0000-0000722E0000}"/>
    <cellStyle name="Normal 28 4 2 2 3 2" xfId="25442" xr:uid="{00000000-0005-0000-0000-0000732E0000}"/>
    <cellStyle name="Normal 28 4 2 2 4" xfId="7779" xr:uid="{00000000-0005-0000-0000-0000742E0000}"/>
    <cellStyle name="Normal 28 4 2 2 4 2" xfId="25443" xr:uid="{00000000-0005-0000-0000-0000752E0000}"/>
    <cellStyle name="Normal 28 4 2 2 5" xfId="7780" xr:uid="{00000000-0005-0000-0000-0000762E0000}"/>
    <cellStyle name="Normal 28 4 2 2 5 2" xfId="25444" xr:uid="{00000000-0005-0000-0000-0000772E0000}"/>
    <cellStyle name="Normal 28 4 2 2 6" xfId="7781" xr:uid="{00000000-0005-0000-0000-0000782E0000}"/>
    <cellStyle name="Normal 28 4 2 2 6 2" xfId="25445" xr:uid="{00000000-0005-0000-0000-0000792E0000}"/>
    <cellStyle name="Normal 28 4 2 2 7" xfId="7782" xr:uid="{00000000-0005-0000-0000-00007A2E0000}"/>
    <cellStyle name="Normal 28 4 2 2 7 2" xfId="25446" xr:uid="{00000000-0005-0000-0000-00007B2E0000}"/>
    <cellStyle name="Normal 28 4 2 2 8" xfId="7783" xr:uid="{00000000-0005-0000-0000-00007C2E0000}"/>
    <cellStyle name="Normal 28 4 2 2 8 2" xfId="25447" xr:uid="{00000000-0005-0000-0000-00007D2E0000}"/>
    <cellStyle name="Normal 28 4 2 2 9" xfId="7784" xr:uid="{00000000-0005-0000-0000-00007E2E0000}"/>
    <cellStyle name="Normal 28 4 2 2 9 2" xfId="25448" xr:uid="{00000000-0005-0000-0000-00007F2E0000}"/>
    <cellStyle name="Normal 28 4 2 3" xfId="7785" xr:uid="{00000000-0005-0000-0000-0000802E0000}"/>
    <cellStyle name="Normal 28 4 2 3 2" xfId="25449" xr:uid="{00000000-0005-0000-0000-0000812E0000}"/>
    <cellStyle name="Normal 28 4 2 4" xfId="7786" xr:uid="{00000000-0005-0000-0000-0000822E0000}"/>
    <cellStyle name="Normal 28 4 2 4 2" xfId="25450" xr:uid="{00000000-0005-0000-0000-0000832E0000}"/>
    <cellStyle name="Normal 28 4 2 5" xfId="7787" xr:uid="{00000000-0005-0000-0000-0000842E0000}"/>
    <cellStyle name="Normal 28 4 2 5 2" xfId="25451" xr:uid="{00000000-0005-0000-0000-0000852E0000}"/>
    <cellStyle name="Normal 28 4 2 6" xfId="7788" xr:uid="{00000000-0005-0000-0000-0000862E0000}"/>
    <cellStyle name="Normal 28 4 2 6 2" xfId="25452" xr:uid="{00000000-0005-0000-0000-0000872E0000}"/>
    <cellStyle name="Normal 28 4 2 7" xfId="7789" xr:uid="{00000000-0005-0000-0000-0000882E0000}"/>
    <cellStyle name="Normal 28 4 2 7 2" xfId="25453" xr:uid="{00000000-0005-0000-0000-0000892E0000}"/>
    <cellStyle name="Normal 28 4 2 8" xfId="7790" xr:uid="{00000000-0005-0000-0000-00008A2E0000}"/>
    <cellStyle name="Normal 28 4 2 8 2" xfId="25454" xr:uid="{00000000-0005-0000-0000-00008B2E0000}"/>
    <cellStyle name="Normal 28 4 2 9" xfId="7791" xr:uid="{00000000-0005-0000-0000-00008C2E0000}"/>
    <cellStyle name="Normal 28 4 2 9 2" xfId="25455" xr:uid="{00000000-0005-0000-0000-00008D2E0000}"/>
    <cellStyle name="Normal 28 4 20" xfId="7792" xr:uid="{00000000-0005-0000-0000-00008E2E0000}"/>
    <cellStyle name="Normal 28 4 20 2" xfId="25456" xr:uid="{00000000-0005-0000-0000-00008F2E0000}"/>
    <cellStyle name="Normal 28 4 21" xfId="7793" xr:uid="{00000000-0005-0000-0000-0000902E0000}"/>
    <cellStyle name="Normal 28 4 21 2" xfId="25457" xr:uid="{00000000-0005-0000-0000-0000912E0000}"/>
    <cellStyle name="Normal 28 4 22" xfId="7794" xr:uid="{00000000-0005-0000-0000-0000922E0000}"/>
    <cellStyle name="Normal 28 4 22 2" xfId="25458" xr:uid="{00000000-0005-0000-0000-0000932E0000}"/>
    <cellStyle name="Normal 28 4 23" xfId="7795" xr:uid="{00000000-0005-0000-0000-0000942E0000}"/>
    <cellStyle name="Normal 28 4 23 2" xfId="25459" xr:uid="{00000000-0005-0000-0000-0000952E0000}"/>
    <cellStyle name="Normal 28 4 24" xfId="7796" xr:uid="{00000000-0005-0000-0000-0000962E0000}"/>
    <cellStyle name="Normal 28 4 24 2" xfId="25460" xr:uid="{00000000-0005-0000-0000-0000972E0000}"/>
    <cellStyle name="Normal 28 4 25" xfId="7797" xr:uid="{00000000-0005-0000-0000-0000982E0000}"/>
    <cellStyle name="Normal 28 4 25 2" xfId="25461" xr:uid="{00000000-0005-0000-0000-0000992E0000}"/>
    <cellStyle name="Normal 28 4 26" xfId="7798" xr:uid="{00000000-0005-0000-0000-00009A2E0000}"/>
    <cellStyle name="Normal 28 4 26 2" xfId="25462" xr:uid="{00000000-0005-0000-0000-00009B2E0000}"/>
    <cellStyle name="Normal 28 4 27" xfId="7799" xr:uid="{00000000-0005-0000-0000-00009C2E0000}"/>
    <cellStyle name="Normal 28 4 27 2" xfId="25463" xr:uid="{00000000-0005-0000-0000-00009D2E0000}"/>
    <cellStyle name="Normal 28 4 28" xfId="7800" xr:uid="{00000000-0005-0000-0000-00009E2E0000}"/>
    <cellStyle name="Normal 28 4 28 2" xfId="25464" xr:uid="{00000000-0005-0000-0000-00009F2E0000}"/>
    <cellStyle name="Normal 28 4 29" xfId="25339" xr:uid="{00000000-0005-0000-0000-0000A02E0000}"/>
    <cellStyle name="Normal 28 4 3" xfId="7801" xr:uid="{00000000-0005-0000-0000-0000A12E0000}"/>
    <cellStyle name="Normal 28 4 3 10" xfId="7802" xr:uid="{00000000-0005-0000-0000-0000A22E0000}"/>
    <cellStyle name="Normal 28 4 3 10 2" xfId="25466" xr:uid="{00000000-0005-0000-0000-0000A32E0000}"/>
    <cellStyle name="Normal 28 4 3 11" xfId="7803" xr:uid="{00000000-0005-0000-0000-0000A42E0000}"/>
    <cellStyle name="Normal 28 4 3 11 2" xfId="25467" xr:uid="{00000000-0005-0000-0000-0000A52E0000}"/>
    <cellStyle name="Normal 28 4 3 12" xfId="7804" xr:uid="{00000000-0005-0000-0000-0000A62E0000}"/>
    <cellStyle name="Normal 28 4 3 12 2" xfId="25468" xr:uid="{00000000-0005-0000-0000-0000A72E0000}"/>
    <cellStyle name="Normal 28 4 3 13" xfId="7805" xr:uid="{00000000-0005-0000-0000-0000A82E0000}"/>
    <cellStyle name="Normal 28 4 3 13 2" xfId="25469" xr:uid="{00000000-0005-0000-0000-0000A92E0000}"/>
    <cellStyle name="Normal 28 4 3 14" xfId="7806" xr:uid="{00000000-0005-0000-0000-0000AA2E0000}"/>
    <cellStyle name="Normal 28 4 3 14 2" xfId="25470" xr:uid="{00000000-0005-0000-0000-0000AB2E0000}"/>
    <cellStyle name="Normal 28 4 3 15" xfId="7807" xr:uid="{00000000-0005-0000-0000-0000AC2E0000}"/>
    <cellStyle name="Normal 28 4 3 15 2" xfId="25471" xr:uid="{00000000-0005-0000-0000-0000AD2E0000}"/>
    <cellStyle name="Normal 28 4 3 16" xfId="25465" xr:uid="{00000000-0005-0000-0000-0000AE2E0000}"/>
    <cellStyle name="Normal 28 4 3 2" xfId="7808" xr:uid="{00000000-0005-0000-0000-0000AF2E0000}"/>
    <cellStyle name="Normal 28 4 3 2 10" xfId="7809" xr:uid="{00000000-0005-0000-0000-0000B02E0000}"/>
    <cellStyle name="Normal 28 4 3 2 10 2" xfId="25473" xr:uid="{00000000-0005-0000-0000-0000B12E0000}"/>
    <cellStyle name="Normal 28 4 3 2 11" xfId="7810" xr:uid="{00000000-0005-0000-0000-0000B22E0000}"/>
    <cellStyle name="Normal 28 4 3 2 11 2" xfId="25474" xr:uid="{00000000-0005-0000-0000-0000B32E0000}"/>
    <cellStyle name="Normal 28 4 3 2 12" xfId="7811" xr:uid="{00000000-0005-0000-0000-0000B42E0000}"/>
    <cellStyle name="Normal 28 4 3 2 12 2" xfId="25475" xr:uid="{00000000-0005-0000-0000-0000B52E0000}"/>
    <cellStyle name="Normal 28 4 3 2 13" xfId="7812" xr:uid="{00000000-0005-0000-0000-0000B62E0000}"/>
    <cellStyle name="Normal 28 4 3 2 13 2" xfId="25476" xr:uid="{00000000-0005-0000-0000-0000B72E0000}"/>
    <cellStyle name="Normal 28 4 3 2 14" xfId="7813" xr:uid="{00000000-0005-0000-0000-0000B82E0000}"/>
    <cellStyle name="Normal 28 4 3 2 14 2" xfId="25477" xr:uid="{00000000-0005-0000-0000-0000B92E0000}"/>
    <cellStyle name="Normal 28 4 3 2 15" xfId="25472" xr:uid="{00000000-0005-0000-0000-0000BA2E0000}"/>
    <cellStyle name="Normal 28 4 3 2 2" xfId="7814" xr:uid="{00000000-0005-0000-0000-0000BB2E0000}"/>
    <cellStyle name="Normal 28 4 3 2 2 2" xfId="25478" xr:uid="{00000000-0005-0000-0000-0000BC2E0000}"/>
    <cellStyle name="Normal 28 4 3 2 3" xfId="7815" xr:uid="{00000000-0005-0000-0000-0000BD2E0000}"/>
    <cellStyle name="Normal 28 4 3 2 3 2" xfId="25479" xr:uid="{00000000-0005-0000-0000-0000BE2E0000}"/>
    <cellStyle name="Normal 28 4 3 2 4" xfId="7816" xr:uid="{00000000-0005-0000-0000-0000BF2E0000}"/>
    <cellStyle name="Normal 28 4 3 2 4 2" xfId="25480" xr:uid="{00000000-0005-0000-0000-0000C02E0000}"/>
    <cellStyle name="Normal 28 4 3 2 5" xfId="7817" xr:uid="{00000000-0005-0000-0000-0000C12E0000}"/>
    <cellStyle name="Normal 28 4 3 2 5 2" xfId="25481" xr:uid="{00000000-0005-0000-0000-0000C22E0000}"/>
    <cellStyle name="Normal 28 4 3 2 6" xfId="7818" xr:uid="{00000000-0005-0000-0000-0000C32E0000}"/>
    <cellStyle name="Normal 28 4 3 2 6 2" xfId="25482" xr:uid="{00000000-0005-0000-0000-0000C42E0000}"/>
    <cellStyle name="Normal 28 4 3 2 7" xfId="7819" xr:uid="{00000000-0005-0000-0000-0000C52E0000}"/>
    <cellStyle name="Normal 28 4 3 2 7 2" xfId="25483" xr:uid="{00000000-0005-0000-0000-0000C62E0000}"/>
    <cellStyle name="Normal 28 4 3 2 8" xfId="7820" xr:uid="{00000000-0005-0000-0000-0000C72E0000}"/>
    <cellStyle name="Normal 28 4 3 2 8 2" xfId="25484" xr:uid="{00000000-0005-0000-0000-0000C82E0000}"/>
    <cellStyle name="Normal 28 4 3 2 9" xfId="7821" xr:uid="{00000000-0005-0000-0000-0000C92E0000}"/>
    <cellStyle name="Normal 28 4 3 2 9 2" xfId="25485" xr:uid="{00000000-0005-0000-0000-0000CA2E0000}"/>
    <cellStyle name="Normal 28 4 3 3" xfId="7822" xr:uid="{00000000-0005-0000-0000-0000CB2E0000}"/>
    <cellStyle name="Normal 28 4 3 3 2" xfId="25486" xr:uid="{00000000-0005-0000-0000-0000CC2E0000}"/>
    <cellStyle name="Normal 28 4 3 4" xfId="7823" xr:uid="{00000000-0005-0000-0000-0000CD2E0000}"/>
    <cellStyle name="Normal 28 4 3 4 2" xfId="25487" xr:uid="{00000000-0005-0000-0000-0000CE2E0000}"/>
    <cellStyle name="Normal 28 4 3 5" xfId="7824" xr:uid="{00000000-0005-0000-0000-0000CF2E0000}"/>
    <cellStyle name="Normal 28 4 3 5 2" xfId="25488" xr:uid="{00000000-0005-0000-0000-0000D02E0000}"/>
    <cellStyle name="Normal 28 4 3 6" xfId="7825" xr:uid="{00000000-0005-0000-0000-0000D12E0000}"/>
    <cellStyle name="Normal 28 4 3 6 2" xfId="25489" xr:uid="{00000000-0005-0000-0000-0000D22E0000}"/>
    <cellStyle name="Normal 28 4 3 7" xfId="7826" xr:uid="{00000000-0005-0000-0000-0000D32E0000}"/>
    <cellStyle name="Normal 28 4 3 7 2" xfId="25490" xr:uid="{00000000-0005-0000-0000-0000D42E0000}"/>
    <cellStyle name="Normal 28 4 3 8" xfId="7827" xr:uid="{00000000-0005-0000-0000-0000D52E0000}"/>
    <cellStyle name="Normal 28 4 3 8 2" xfId="25491" xr:uid="{00000000-0005-0000-0000-0000D62E0000}"/>
    <cellStyle name="Normal 28 4 3 9" xfId="7828" xr:uid="{00000000-0005-0000-0000-0000D72E0000}"/>
    <cellStyle name="Normal 28 4 3 9 2" xfId="25492" xr:uid="{00000000-0005-0000-0000-0000D82E0000}"/>
    <cellStyle name="Normal 28 4 4" xfId="7829" xr:uid="{00000000-0005-0000-0000-0000D92E0000}"/>
    <cellStyle name="Normal 28 4 4 10" xfId="7830" xr:uid="{00000000-0005-0000-0000-0000DA2E0000}"/>
    <cellStyle name="Normal 28 4 4 10 2" xfId="25494" xr:uid="{00000000-0005-0000-0000-0000DB2E0000}"/>
    <cellStyle name="Normal 28 4 4 11" xfId="7831" xr:uid="{00000000-0005-0000-0000-0000DC2E0000}"/>
    <cellStyle name="Normal 28 4 4 11 2" xfId="25495" xr:uid="{00000000-0005-0000-0000-0000DD2E0000}"/>
    <cellStyle name="Normal 28 4 4 12" xfId="7832" xr:uid="{00000000-0005-0000-0000-0000DE2E0000}"/>
    <cellStyle name="Normal 28 4 4 12 2" xfId="25496" xr:uid="{00000000-0005-0000-0000-0000DF2E0000}"/>
    <cellStyle name="Normal 28 4 4 13" xfId="7833" xr:uid="{00000000-0005-0000-0000-0000E02E0000}"/>
    <cellStyle name="Normal 28 4 4 13 2" xfId="25497" xr:uid="{00000000-0005-0000-0000-0000E12E0000}"/>
    <cellStyle name="Normal 28 4 4 14" xfId="7834" xr:uid="{00000000-0005-0000-0000-0000E22E0000}"/>
    <cellStyle name="Normal 28 4 4 14 2" xfId="25498" xr:uid="{00000000-0005-0000-0000-0000E32E0000}"/>
    <cellStyle name="Normal 28 4 4 15" xfId="7835" xr:uid="{00000000-0005-0000-0000-0000E42E0000}"/>
    <cellStyle name="Normal 28 4 4 15 2" xfId="25499" xr:uid="{00000000-0005-0000-0000-0000E52E0000}"/>
    <cellStyle name="Normal 28 4 4 16" xfId="25493" xr:uid="{00000000-0005-0000-0000-0000E62E0000}"/>
    <cellStyle name="Normal 28 4 4 2" xfId="7836" xr:uid="{00000000-0005-0000-0000-0000E72E0000}"/>
    <cellStyle name="Normal 28 4 4 2 10" xfId="7837" xr:uid="{00000000-0005-0000-0000-0000E82E0000}"/>
    <cellStyle name="Normal 28 4 4 2 10 2" xfId="25501" xr:uid="{00000000-0005-0000-0000-0000E92E0000}"/>
    <cellStyle name="Normal 28 4 4 2 11" xfId="7838" xr:uid="{00000000-0005-0000-0000-0000EA2E0000}"/>
    <cellStyle name="Normal 28 4 4 2 11 2" xfId="25502" xr:uid="{00000000-0005-0000-0000-0000EB2E0000}"/>
    <cellStyle name="Normal 28 4 4 2 12" xfId="7839" xr:uid="{00000000-0005-0000-0000-0000EC2E0000}"/>
    <cellStyle name="Normal 28 4 4 2 12 2" xfId="25503" xr:uid="{00000000-0005-0000-0000-0000ED2E0000}"/>
    <cellStyle name="Normal 28 4 4 2 13" xfId="7840" xr:uid="{00000000-0005-0000-0000-0000EE2E0000}"/>
    <cellStyle name="Normal 28 4 4 2 13 2" xfId="25504" xr:uid="{00000000-0005-0000-0000-0000EF2E0000}"/>
    <cellStyle name="Normal 28 4 4 2 14" xfId="7841" xr:uid="{00000000-0005-0000-0000-0000F02E0000}"/>
    <cellStyle name="Normal 28 4 4 2 14 2" xfId="25505" xr:uid="{00000000-0005-0000-0000-0000F12E0000}"/>
    <cellStyle name="Normal 28 4 4 2 15" xfId="25500" xr:uid="{00000000-0005-0000-0000-0000F22E0000}"/>
    <cellStyle name="Normal 28 4 4 2 2" xfId="7842" xr:uid="{00000000-0005-0000-0000-0000F32E0000}"/>
    <cellStyle name="Normal 28 4 4 2 2 2" xfId="25506" xr:uid="{00000000-0005-0000-0000-0000F42E0000}"/>
    <cellStyle name="Normal 28 4 4 2 3" xfId="7843" xr:uid="{00000000-0005-0000-0000-0000F52E0000}"/>
    <cellStyle name="Normal 28 4 4 2 3 2" xfId="25507" xr:uid="{00000000-0005-0000-0000-0000F62E0000}"/>
    <cellStyle name="Normal 28 4 4 2 4" xfId="7844" xr:uid="{00000000-0005-0000-0000-0000F72E0000}"/>
    <cellStyle name="Normal 28 4 4 2 4 2" xfId="25508" xr:uid="{00000000-0005-0000-0000-0000F82E0000}"/>
    <cellStyle name="Normal 28 4 4 2 5" xfId="7845" xr:uid="{00000000-0005-0000-0000-0000F92E0000}"/>
    <cellStyle name="Normal 28 4 4 2 5 2" xfId="25509" xr:uid="{00000000-0005-0000-0000-0000FA2E0000}"/>
    <cellStyle name="Normal 28 4 4 2 6" xfId="7846" xr:uid="{00000000-0005-0000-0000-0000FB2E0000}"/>
    <cellStyle name="Normal 28 4 4 2 6 2" xfId="25510" xr:uid="{00000000-0005-0000-0000-0000FC2E0000}"/>
    <cellStyle name="Normal 28 4 4 2 7" xfId="7847" xr:uid="{00000000-0005-0000-0000-0000FD2E0000}"/>
    <cellStyle name="Normal 28 4 4 2 7 2" xfId="25511" xr:uid="{00000000-0005-0000-0000-0000FE2E0000}"/>
    <cellStyle name="Normal 28 4 4 2 8" xfId="7848" xr:uid="{00000000-0005-0000-0000-0000FF2E0000}"/>
    <cellStyle name="Normal 28 4 4 2 8 2" xfId="25512" xr:uid="{00000000-0005-0000-0000-0000002F0000}"/>
    <cellStyle name="Normal 28 4 4 2 9" xfId="7849" xr:uid="{00000000-0005-0000-0000-0000012F0000}"/>
    <cellStyle name="Normal 28 4 4 2 9 2" xfId="25513" xr:uid="{00000000-0005-0000-0000-0000022F0000}"/>
    <cellStyle name="Normal 28 4 4 3" xfId="7850" xr:uid="{00000000-0005-0000-0000-0000032F0000}"/>
    <cellStyle name="Normal 28 4 4 3 2" xfId="25514" xr:uid="{00000000-0005-0000-0000-0000042F0000}"/>
    <cellStyle name="Normal 28 4 4 4" xfId="7851" xr:uid="{00000000-0005-0000-0000-0000052F0000}"/>
    <cellStyle name="Normal 28 4 4 4 2" xfId="25515" xr:uid="{00000000-0005-0000-0000-0000062F0000}"/>
    <cellStyle name="Normal 28 4 4 5" xfId="7852" xr:uid="{00000000-0005-0000-0000-0000072F0000}"/>
    <cellStyle name="Normal 28 4 4 5 2" xfId="25516" xr:uid="{00000000-0005-0000-0000-0000082F0000}"/>
    <cellStyle name="Normal 28 4 4 6" xfId="7853" xr:uid="{00000000-0005-0000-0000-0000092F0000}"/>
    <cellStyle name="Normal 28 4 4 6 2" xfId="25517" xr:uid="{00000000-0005-0000-0000-00000A2F0000}"/>
    <cellStyle name="Normal 28 4 4 7" xfId="7854" xr:uid="{00000000-0005-0000-0000-00000B2F0000}"/>
    <cellStyle name="Normal 28 4 4 7 2" xfId="25518" xr:uid="{00000000-0005-0000-0000-00000C2F0000}"/>
    <cellStyle name="Normal 28 4 4 8" xfId="7855" xr:uid="{00000000-0005-0000-0000-00000D2F0000}"/>
    <cellStyle name="Normal 28 4 4 8 2" xfId="25519" xr:uid="{00000000-0005-0000-0000-00000E2F0000}"/>
    <cellStyle name="Normal 28 4 4 9" xfId="7856" xr:uid="{00000000-0005-0000-0000-00000F2F0000}"/>
    <cellStyle name="Normal 28 4 4 9 2" xfId="25520" xr:uid="{00000000-0005-0000-0000-0000102F0000}"/>
    <cellStyle name="Normal 28 4 5" xfId="7857" xr:uid="{00000000-0005-0000-0000-0000112F0000}"/>
    <cellStyle name="Normal 28 4 5 10" xfId="7858" xr:uid="{00000000-0005-0000-0000-0000122F0000}"/>
    <cellStyle name="Normal 28 4 5 10 2" xfId="25522" xr:uid="{00000000-0005-0000-0000-0000132F0000}"/>
    <cellStyle name="Normal 28 4 5 11" xfId="7859" xr:uid="{00000000-0005-0000-0000-0000142F0000}"/>
    <cellStyle name="Normal 28 4 5 11 2" xfId="25523" xr:uid="{00000000-0005-0000-0000-0000152F0000}"/>
    <cellStyle name="Normal 28 4 5 12" xfId="7860" xr:uid="{00000000-0005-0000-0000-0000162F0000}"/>
    <cellStyle name="Normal 28 4 5 12 2" xfId="25524" xr:uid="{00000000-0005-0000-0000-0000172F0000}"/>
    <cellStyle name="Normal 28 4 5 13" xfId="7861" xr:uid="{00000000-0005-0000-0000-0000182F0000}"/>
    <cellStyle name="Normal 28 4 5 13 2" xfId="25525" xr:uid="{00000000-0005-0000-0000-0000192F0000}"/>
    <cellStyle name="Normal 28 4 5 14" xfId="7862" xr:uid="{00000000-0005-0000-0000-00001A2F0000}"/>
    <cellStyle name="Normal 28 4 5 14 2" xfId="25526" xr:uid="{00000000-0005-0000-0000-00001B2F0000}"/>
    <cellStyle name="Normal 28 4 5 15" xfId="25521" xr:uid="{00000000-0005-0000-0000-00001C2F0000}"/>
    <cellStyle name="Normal 28 4 5 2" xfId="7863" xr:uid="{00000000-0005-0000-0000-00001D2F0000}"/>
    <cellStyle name="Normal 28 4 5 2 2" xfId="25527" xr:uid="{00000000-0005-0000-0000-00001E2F0000}"/>
    <cellStyle name="Normal 28 4 5 3" xfId="7864" xr:uid="{00000000-0005-0000-0000-00001F2F0000}"/>
    <cellStyle name="Normal 28 4 5 3 2" xfId="25528" xr:uid="{00000000-0005-0000-0000-0000202F0000}"/>
    <cellStyle name="Normal 28 4 5 4" xfId="7865" xr:uid="{00000000-0005-0000-0000-0000212F0000}"/>
    <cellStyle name="Normal 28 4 5 4 2" xfId="25529" xr:uid="{00000000-0005-0000-0000-0000222F0000}"/>
    <cellStyle name="Normal 28 4 5 5" xfId="7866" xr:uid="{00000000-0005-0000-0000-0000232F0000}"/>
    <cellStyle name="Normal 28 4 5 5 2" xfId="25530" xr:uid="{00000000-0005-0000-0000-0000242F0000}"/>
    <cellStyle name="Normal 28 4 5 6" xfId="7867" xr:uid="{00000000-0005-0000-0000-0000252F0000}"/>
    <cellStyle name="Normal 28 4 5 6 2" xfId="25531" xr:uid="{00000000-0005-0000-0000-0000262F0000}"/>
    <cellStyle name="Normal 28 4 5 7" xfId="7868" xr:uid="{00000000-0005-0000-0000-0000272F0000}"/>
    <cellStyle name="Normal 28 4 5 7 2" xfId="25532" xr:uid="{00000000-0005-0000-0000-0000282F0000}"/>
    <cellStyle name="Normal 28 4 5 8" xfId="7869" xr:uid="{00000000-0005-0000-0000-0000292F0000}"/>
    <cellStyle name="Normal 28 4 5 8 2" xfId="25533" xr:uid="{00000000-0005-0000-0000-00002A2F0000}"/>
    <cellStyle name="Normal 28 4 5 9" xfId="7870" xr:uid="{00000000-0005-0000-0000-00002B2F0000}"/>
    <cellStyle name="Normal 28 4 5 9 2" xfId="25534" xr:uid="{00000000-0005-0000-0000-00002C2F0000}"/>
    <cellStyle name="Normal 28 4 6" xfId="7871" xr:uid="{00000000-0005-0000-0000-00002D2F0000}"/>
    <cellStyle name="Normal 28 4 6 10" xfId="7872" xr:uid="{00000000-0005-0000-0000-00002E2F0000}"/>
    <cellStyle name="Normal 28 4 6 10 2" xfId="25536" xr:uid="{00000000-0005-0000-0000-00002F2F0000}"/>
    <cellStyle name="Normal 28 4 6 11" xfId="7873" xr:uid="{00000000-0005-0000-0000-0000302F0000}"/>
    <cellStyle name="Normal 28 4 6 11 2" xfId="25537" xr:uid="{00000000-0005-0000-0000-0000312F0000}"/>
    <cellStyle name="Normal 28 4 6 12" xfId="7874" xr:uid="{00000000-0005-0000-0000-0000322F0000}"/>
    <cellStyle name="Normal 28 4 6 12 2" xfId="25538" xr:uid="{00000000-0005-0000-0000-0000332F0000}"/>
    <cellStyle name="Normal 28 4 6 13" xfId="7875" xr:uid="{00000000-0005-0000-0000-0000342F0000}"/>
    <cellStyle name="Normal 28 4 6 13 2" xfId="25539" xr:uid="{00000000-0005-0000-0000-0000352F0000}"/>
    <cellStyle name="Normal 28 4 6 14" xfId="7876" xr:uid="{00000000-0005-0000-0000-0000362F0000}"/>
    <cellStyle name="Normal 28 4 6 14 2" xfId="25540" xr:uid="{00000000-0005-0000-0000-0000372F0000}"/>
    <cellStyle name="Normal 28 4 6 15" xfId="25535" xr:uid="{00000000-0005-0000-0000-0000382F0000}"/>
    <cellStyle name="Normal 28 4 6 2" xfId="7877" xr:uid="{00000000-0005-0000-0000-0000392F0000}"/>
    <cellStyle name="Normal 28 4 6 2 2" xfId="25541" xr:uid="{00000000-0005-0000-0000-00003A2F0000}"/>
    <cellStyle name="Normal 28 4 6 3" xfId="7878" xr:uid="{00000000-0005-0000-0000-00003B2F0000}"/>
    <cellStyle name="Normal 28 4 6 3 2" xfId="25542" xr:uid="{00000000-0005-0000-0000-00003C2F0000}"/>
    <cellStyle name="Normal 28 4 6 4" xfId="7879" xr:uid="{00000000-0005-0000-0000-00003D2F0000}"/>
    <cellStyle name="Normal 28 4 6 4 2" xfId="25543" xr:uid="{00000000-0005-0000-0000-00003E2F0000}"/>
    <cellStyle name="Normal 28 4 6 5" xfId="7880" xr:uid="{00000000-0005-0000-0000-00003F2F0000}"/>
    <cellStyle name="Normal 28 4 6 5 2" xfId="25544" xr:uid="{00000000-0005-0000-0000-0000402F0000}"/>
    <cellStyle name="Normal 28 4 6 6" xfId="7881" xr:uid="{00000000-0005-0000-0000-0000412F0000}"/>
    <cellStyle name="Normal 28 4 6 6 2" xfId="25545" xr:uid="{00000000-0005-0000-0000-0000422F0000}"/>
    <cellStyle name="Normal 28 4 6 7" xfId="7882" xr:uid="{00000000-0005-0000-0000-0000432F0000}"/>
    <cellStyle name="Normal 28 4 6 7 2" xfId="25546" xr:uid="{00000000-0005-0000-0000-0000442F0000}"/>
    <cellStyle name="Normal 28 4 6 8" xfId="7883" xr:uid="{00000000-0005-0000-0000-0000452F0000}"/>
    <cellStyle name="Normal 28 4 6 8 2" xfId="25547" xr:uid="{00000000-0005-0000-0000-0000462F0000}"/>
    <cellStyle name="Normal 28 4 6 9" xfId="7884" xr:uid="{00000000-0005-0000-0000-0000472F0000}"/>
    <cellStyle name="Normal 28 4 6 9 2" xfId="25548" xr:uid="{00000000-0005-0000-0000-0000482F0000}"/>
    <cellStyle name="Normal 28 4 7" xfId="7885" xr:uid="{00000000-0005-0000-0000-0000492F0000}"/>
    <cellStyle name="Normal 28 4 7 10" xfId="7886" xr:uid="{00000000-0005-0000-0000-00004A2F0000}"/>
    <cellStyle name="Normal 28 4 7 10 2" xfId="25550" xr:uid="{00000000-0005-0000-0000-00004B2F0000}"/>
    <cellStyle name="Normal 28 4 7 11" xfId="7887" xr:uid="{00000000-0005-0000-0000-00004C2F0000}"/>
    <cellStyle name="Normal 28 4 7 11 2" xfId="25551" xr:uid="{00000000-0005-0000-0000-00004D2F0000}"/>
    <cellStyle name="Normal 28 4 7 12" xfId="7888" xr:uid="{00000000-0005-0000-0000-00004E2F0000}"/>
    <cellStyle name="Normal 28 4 7 12 2" xfId="25552" xr:uid="{00000000-0005-0000-0000-00004F2F0000}"/>
    <cellStyle name="Normal 28 4 7 13" xfId="7889" xr:uid="{00000000-0005-0000-0000-0000502F0000}"/>
    <cellStyle name="Normal 28 4 7 13 2" xfId="25553" xr:uid="{00000000-0005-0000-0000-0000512F0000}"/>
    <cellStyle name="Normal 28 4 7 14" xfId="7890" xr:uid="{00000000-0005-0000-0000-0000522F0000}"/>
    <cellStyle name="Normal 28 4 7 14 2" xfId="25554" xr:uid="{00000000-0005-0000-0000-0000532F0000}"/>
    <cellStyle name="Normal 28 4 7 15" xfId="25549" xr:uid="{00000000-0005-0000-0000-0000542F0000}"/>
    <cellStyle name="Normal 28 4 7 2" xfId="7891" xr:uid="{00000000-0005-0000-0000-0000552F0000}"/>
    <cellStyle name="Normal 28 4 7 2 2" xfId="25555" xr:uid="{00000000-0005-0000-0000-0000562F0000}"/>
    <cellStyle name="Normal 28 4 7 3" xfId="7892" xr:uid="{00000000-0005-0000-0000-0000572F0000}"/>
    <cellStyle name="Normal 28 4 7 3 2" xfId="25556" xr:uid="{00000000-0005-0000-0000-0000582F0000}"/>
    <cellStyle name="Normal 28 4 7 4" xfId="7893" xr:uid="{00000000-0005-0000-0000-0000592F0000}"/>
    <cellStyle name="Normal 28 4 7 4 2" xfId="25557" xr:uid="{00000000-0005-0000-0000-00005A2F0000}"/>
    <cellStyle name="Normal 28 4 7 5" xfId="7894" xr:uid="{00000000-0005-0000-0000-00005B2F0000}"/>
    <cellStyle name="Normal 28 4 7 5 2" xfId="25558" xr:uid="{00000000-0005-0000-0000-00005C2F0000}"/>
    <cellStyle name="Normal 28 4 7 6" xfId="7895" xr:uid="{00000000-0005-0000-0000-00005D2F0000}"/>
    <cellStyle name="Normal 28 4 7 6 2" xfId="25559" xr:uid="{00000000-0005-0000-0000-00005E2F0000}"/>
    <cellStyle name="Normal 28 4 7 7" xfId="7896" xr:uid="{00000000-0005-0000-0000-00005F2F0000}"/>
    <cellStyle name="Normal 28 4 7 7 2" xfId="25560" xr:uid="{00000000-0005-0000-0000-0000602F0000}"/>
    <cellStyle name="Normal 28 4 7 8" xfId="7897" xr:uid="{00000000-0005-0000-0000-0000612F0000}"/>
    <cellStyle name="Normal 28 4 7 8 2" xfId="25561" xr:uid="{00000000-0005-0000-0000-0000622F0000}"/>
    <cellStyle name="Normal 28 4 7 9" xfId="7898" xr:uid="{00000000-0005-0000-0000-0000632F0000}"/>
    <cellStyle name="Normal 28 4 7 9 2" xfId="25562" xr:uid="{00000000-0005-0000-0000-0000642F0000}"/>
    <cellStyle name="Normal 28 4 8" xfId="7899" xr:uid="{00000000-0005-0000-0000-0000652F0000}"/>
    <cellStyle name="Normal 28 4 8 10" xfId="7900" xr:uid="{00000000-0005-0000-0000-0000662F0000}"/>
    <cellStyle name="Normal 28 4 8 10 2" xfId="25564" xr:uid="{00000000-0005-0000-0000-0000672F0000}"/>
    <cellStyle name="Normal 28 4 8 11" xfId="7901" xr:uid="{00000000-0005-0000-0000-0000682F0000}"/>
    <cellStyle name="Normal 28 4 8 11 2" xfId="25565" xr:uid="{00000000-0005-0000-0000-0000692F0000}"/>
    <cellStyle name="Normal 28 4 8 12" xfId="7902" xr:uid="{00000000-0005-0000-0000-00006A2F0000}"/>
    <cellStyle name="Normal 28 4 8 12 2" xfId="25566" xr:uid="{00000000-0005-0000-0000-00006B2F0000}"/>
    <cellStyle name="Normal 28 4 8 13" xfId="7903" xr:uid="{00000000-0005-0000-0000-00006C2F0000}"/>
    <cellStyle name="Normal 28 4 8 13 2" xfId="25567" xr:uid="{00000000-0005-0000-0000-00006D2F0000}"/>
    <cellStyle name="Normal 28 4 8 14" xfId="7904" xr:uid="{00000000-0005-0000-0000-00006E2F0000}"/>
    <cellStyle name="Normal 28 4 8 14 2" xfId="25568" xr:uid="{00000000-0005-0000-0000-00006F2F0000}"/>
    <cellStyle name="Normal 28 4 8 15" xfId="25563" xr:uid="{00000000-0005-0000-0000-0000702F0000}"/>
    <cellStyle name="Normal 28 4 8 2" xfId="7905" xr:uid="{00000000-0005-0000-0000-0000712F0000}"/>
    <cellStyle name="Normal 28 4 8 2 2" xfId="25569" xr:uid="{00000000-0005-0000-0000-0000722F0000}"/>
    <cellStyle name="Normal 28 4 8 3" xfId="7906" xr:uid="{00000000-0005-0000-0000-0000732F0000}"/>
    <cellStyle name="Normal 28 4 8 3 2" xfId="25570" xr:uid="{00000000-0005-0000-0000-0000742F0000}"/>
    <cellStyle name="Normal 28 4 8 4" xfId="7907" xr:uid="{00000000-0005-0000-0000-0000752F0000}"/>
    <cellStyle name="Normal 28 4 8 4 2" xfId="25571" xr:uid="{00000000-0005-0000-0000-0000762F0000}"/>
    <cellStyle name="Normal 28 4 8 5" xfId="7908" xr:uid="{00000000-0005-0000-0000-0000772F0000}"/>
    <cellStyle name="Normal 28 4 8 5 2" xfId="25572" xr:uid="{00000000-0005-0000-0000-0000782F0000}"/>
    <cellStyle name="Normal 28 4 8 6" xfId="7909" xr:uid="{00000000-0005-0000-0000-0000792F0000}"/>
    <cellStyle name="Normal 28 4 8 6 2" xfId="25573" xr:uid="{00000000-0005-0000-0000-00007A2F0000}"/>
    <cellStyle name="Normal 28 4 8 7" xfId="7910" xr:uid="{00000000-0005-0000-0000-00007B2F0000}"/>
    <cellStyle name="Normal 28 4 8 7 2" xfId="25574" xr:uid="{00000000-0005-0000-0000-00007C2F0000}"/>
    <cellStyle name="Normal 28 4 8 8" xfId="7911" xr:uid="{00000000-0005-0000-0000-00007D2F0000}"/>
    <cellStyle name="Normal 28 4 8 8 2" xfId="25575" xr:uid="{00000000-0005-0000-0000-00007E2F0000}"/>
    <cellStyle name="Normal 28 4 8 9" xfId="7912" xr:uid="{00000000-0005-0000-0000-00007F2F0000}"/>
    <cellStyle name="Normal 28 4 8 9 2" xfId="25576" xr:uid="{00000000-0005-0000-0000-0000802F0000}"/>
    <cellStyle name="Normal 28 4 9" xfId="7913" xr:uid="{00000000-0005-0000-0000-0000812F0000}"/>
    <cellStyle name="Normal 28 4 9 10" xfId="7914" xr:uid="{00000000-0005-0000-0000-0000822F0000}"/>
    <cellStyle name="Normal 28 4 9 10 2" xfId="25578" xr:uid="{00000000-0005-0000-0000-0000832F0000}"/>
    <cellStyle name="Normal 28 4 9 11" xfId="7915" xr:uid="{00000000-0005-0000-0000-0000842F0000}"/>
    <cellStyle name="Normal 28 4 9 11 2" xfId="25579" xr:uid="{00000000-0005-0000-0000-0000852F0000}"/>
    <cellStyle name="Normal 28 4 9 12" xfId="7916" xr:uid="{00000000-0005-0000-0000-0000862F0000}"/>
    <cellStyle name="Normal 28 4 9 12 2" xfId="25580" xr:uid="{00000000-0005-0000-0000-0000872F0000}"/>
    <cellStyle name="Normal 28 4 9 13" xfId="7917" xr:uid="{00000000-0005-0000-0000-0000882F0000}"/>
    <cellStyle name="Normal 28 4 9 13 2" xfId="25581" xr:uid="{00000000-0005-0000-0000-0000892F0000}"/>
    <cellStyle name="Normal 28 4 9 14" xfId="7918" xr:uid="{00000000-0005-0000-0000-00008A2F0000}"/>
    <cellStyle name="Normal 28 4 9 14 2" xfId="25582" xr:uid="{00000000-0005-0000-0000-00008B2F0000}"/>
    <cellStyle name="Normal 28 4 9 15" xfId="25577" xr:uid="{00000000-0005-0000-0000-00008C2F0000}"/>
    <cellStyle name="Normal 28 4 9 2" xfId="7919" xr:uid="{00000000-0005-0000-0000-00008D2F0000}"/>
    <cellStyle name="Normal 28 4 9 2 2" xfId="25583" xr:uid="{00000000-0005-0000-0000-00008E2F0000}"/>
    <cellStyle name="Normal 28 4 9 3" xfId="7920" xr:uid="{00000000-0005-0000-0000-00008F2F0000}"/>
    <cellStyle name="Normal 28 4 9 3 2" xfId="25584" xr:uid="{00000000-0005-0000-0000-0000902F0000}"/>
    <cellStyle name="Normal 28 4 9 4" xfId="7921" xr:uid="{00000000-0005-0000-0000-0000912F0000}"/>
    <cellStyle name="Normal 28 4 9 4 2" xfId="25585" xr:uid="{00000000-0005-0000-0000-0000922F0000}"/>
    <cellStyle name="Normal 28 4 9 5" xfId="7922" xr:uid="{00000000-0005-0000-0000-0000932F0000}"/>
    <cellStyle name="Normal 28 4 9 5 2" xfId="25586" xr:uid="{00000000-0005-0000-0000-0000942F0000}"/>
    <cellStyle name="Normal 28 4 9 6" xfId="7923" xr:uid="{00000000-0005-0000-0000-0000952F0000}"/>
    <cellStyle name="Normal 28 4 9 6 2" xfId="25587" xr:uid="{00000000-0005-0000-0000-0000962F0000}"/>
    <cellStyle name="Normal 28 4 9 7" xfId="7924" xr:uid="{00000000-0005-0000-0000-0000972F0000}"/>
    <cellStyle name="Normal 28 4 9 7 2" xfId="25588" xr:uid="{00000000-0005-0000-0000-0000982F0000}"/>
    <cellStyle name="Normal 28 4 9 8" xfId="7925" xr:uid="{00000000-0005-0000-0000-0000992F0000}"/>
    <cellStyle name="Normal 28 4 9 8 2" xfId="25589" xr:uid="{00000000-0005-0000-0000-00009A2F0000}"/>
    <cellStyle name="Normal 28 4 9 9" xfId="7926" xr:uid="{00000000-0005-0000-0000-00009B2F0000}"/>
    <cellStyle name="Normal 28 4 9 9 2" xfId="25590" xr:uid="{00000000-0005-0000-0000-00009C2F0000}"/>
    <cellStyle name="Normal 28 5" xfId="7927" xr:uid="{00000000-0005-0000-0000-00009D2F0000}"/>
    <cellStyle name="Normal 28 6" xfId="7928" xr:uid="{00000000-0005-0000-0000-00009E2F0000}"/>
    <cellStyle name="Normal 28 7" xfId="7929" xr:uid="{00000000-0005-0000-0000-00009F2F0000}"/>
    <cellStyle name="Normal 29" xfId="434" xr:uid="{00000000-0005-0000-0000-0000A02F0000}"/>
    <cellStyle name="Normal 29 2" xfId="592" xr:uid="{00000000-0005-0000-0000-0000A12F0000}"/>
    <cellStyle name="Normal 29 2 2" xfId="7931" xr:uid="{00000000-0005-0000-0000-0000A22F0000}"/>
    <cellStyle name="Normal 29 3" xfId="7932" xr:uid="{00000000-0005-0000-0000-0000A32F0000}"/>
    <cellStyle name="Normal 29 4" xfId="7930" xr:uid="{00000000-0005-0000-0000-0000A42F0000}"/>
    <cellStyle name="Normal 3" xfId="52" xr:uid="{00000000-0005-0000-0000-0000A52F0000}"/>
    <cellStyle name="Normal 3 10" xfId="7933" xr:uid="{00000000-0005-0000-0000-0000A62F0000}"/>
    <cellStyle name="Normal 3 10 10" xfId="7934" xr:uid="{00000000-0005-0000-0000-0000A72F0000}"/>
    <cellStyle name="Normal 3 10 11" xfId="7935" xr:uid="{00000000-0005-0000-0000-0000A82F0000}"/>
    <cellStyle name="Normal 3 10 11 10" xfId="7936" xr:uid="{00000000-0005-0000-0000-0000A92F0000}"/>
    <cellStyle name="Normal 3 10 11 10 2" xfId="25592" xr:uid="{00000000-0005-0000-0000-0000AA2F0000}"/>
    <cellStyle name="Normal 3 10 11 11" xfId="7937" xr:uid="{00000000-0005-0000-0000-0000AB2F0000}"/>
    <cellStyle name="Normal 3 10 11 11 2" xfId="25593" xr:uid="{00000000-0005-0000-0000-0000AC2F0000}"/>
    <cellStyle name="Normal 3 10 11 12" xfId="7938" xr:uid="{00000000-0005-0000-0000-0000AD2F0000}"/>
    <cellStyle name="Normal 3 10 11 12 2" xfId="25594" xr:uid="{00000000-0005-0000-0000-0000AE2F0000}"/>
    <cellStyle name="Normal 3 10 11 13" xfId="7939" xr:uid="{00000000-0005-0000-0000-0000AF2F0000}"/>
    <cellStyle name="Normal 3 10 11 13 2" xfId="25595" xr:uid="{00000000-0005-0000-0000-0000B02F0000}"/>
    <cellStyle name="Normal 3 10 11 14" xfId="7940" xr:uid="{00000000-0005-0000-0000-0000B12F0000}"/>
    <cellStyle name="Normal 3 10 11 14 2" xfId="25596" xr:uid="{00000000-0005-0000-0000-0000B22F0000}"/>
    <cellStyle name="Normal 3 10 11 15" xfId="7941" xr:uid="{00000000-0005-0000-0000-0000B32F0000}"/>
    <cellStyle name="Normal 3 10 11 15 2" xfId="25597" xr:uid="{00000000-0005-0000-0000-0000B42F0000}"/>
    <cellStyle name="Normal 3 10 11 16" xfId="7942" xr:uid="{00000000-0005-0000-0000-0000B52F0000}"/>
    <cellStyle name="Normal 3 10 11 16 2" xfId="25598" xr:uid="{00000000-0005-0000-0000-0000B62F0000}"/>
    <cellStyle name="Normal 3 10 11 17" xfId="7943" xr:uid="{00000000-0005-0000-0000-0000B72F0000}"/>
    <cellStyle name="Normal 3 10 11 17 2" xfId="25599" xr:uid="{00000000-0005-0000-0000-0000B82F0000}"/>
    <cellStyle name="Normal 3 10 11 18" xfId="25591" xr:uid="{00000000-0005-0000-0000-0000B92F0000}"/>
    <cellStyle name="Normal 3 10 11 2" xfId="7944" xr:uid="{00000000-0005-0000-0000-0000BA2F0000}"/>
    <cellStyle name="Normal 3 10 11 3" xfId="7945" xr:uid="{00000000-0005-0000-0000-0000BB2F0000}"/>
    <cellStyle name="Normal 3 10 11 4" xfId="7946" xr:uid="{00000000-0005-0000-0000-0000BC2F0000}"/>
    <cellStyle name="Normal 3 10 11 5" xfId="7947" xr:uid="{00000000-0005-0000-0000-0000BD2F0000}"/>
    <cellStyle name="Normal 3 10 11 5 2" xfId="25600" xr:uid="{00000000-0005-0000-0000-0000BE2F0000}"/>
    <cellStyle name="Normal 3 10 11 6" xfId="7948" xr:uid="{00000000-0005-0000-0000-0000BF2F0000}"/>
    <cellStyle name="Normal 3 10 11 6 2" xfId="25601" xr:uid="{00000000-0005-0000-0000-0000C02F0000}"/>
    <cellStyle name="Normal 3 10 11 7" xfId="7949" xr:uid="{00000000-0005-0000-0000-0000C12F0000}"/>
    <cellStyle name="Normal 3 10 11 7 2" xfId="25602" xr:uid="{00000000-0005-0000-0000-0000C22F0000}"/>
    <cellStyle name="Normal 3 10 11 8" xfId="7950" xr:uid="{00000000-0005-0000-0000-0000C32F0000}"/>
    <cellStyle name="Normal 3 10 11 8 2" xfId="25603" xr:uid="{00000000-0005-0000-0000-0000C42F0000}"/>
    <cellStyle name="Normal 3 10 11 9" xfId="7951" xr:uid="{00000000-0005-0000-0000-0000C52F0000}"/>
    <cellStyle name="Normal 3 10 11 9 2" xfId="25604" xr:uid="{00000000-0005-0000-0000-0000C62F0000}"/>
    <cellStyle name="Normal 3 10 12" xfId="7952" xr:uid="{00000000-0005-0000-0000-0000C72F0000}"/>
    <cellStyle name="Normal 3 10 13" xfId="7953" xr:uid="{00000000-0005-0000-0000-0000C82F0000}"/>
    <cellStyle name="Normal 3 10 14" xfId="7954" xr:uid="{00000000-0005-0000-0000-0000C92F0000}"/>
    <cellStyle name="Normal 3 10 14 10" xfId="7955" xr:uid="{00000000-0005-0000-0000-0000CA2F0000}"/>
    <cellStyle name="Normal 3 10 14 10 2" xfId="25606" xr:uid="{00000000-0005-0000-0000-0000CB2F0000}"/>
    <cellStyle name="Normal 3 10 14 11" xfId="7956" xr:uid="{00000000-0005-0000-0000-0000CC2F0000}"/>
    <cellStyle name="Normal 3 10 14 11 2" xfId="25607" xr:uid="{00000000-0005-0000-0000-0000CD2F0000}"/>
    <cellStyle name="Normal 3 10 14 12" xfId="7957" xr:uid="{00000000-0005-0000-0000-0000CE2F0000}"/>
    <cellStyle name="Normal 3 10 14 12 2" xfId="25608" xr:uid="{00000000-0005-0000-0000-0000CF2F0000}"/>
    <cellStyle name="Normal 3 10 14 13" xfId="7958" xr:uid="{00000000-0005-0000-0000-0000D02F0000}"/>
    <cellStyle name="Normal 3 10 14 13 2" xfId="25609" xr:uid="{00000000-0005-0000-0000-0000D12F0000}"/>
    <cellStyle name="Normal 3 10 14 14" xfId="7959" xr:uid="{00000000-0005-0000-0000-0000D22F0000}"/>
    <cellStyle name="Normal 3 10 14 14 2" xfId="25610" xr:uid="{00000000-0005-0000-0000-0000D32F0000}"/>
    <cellStyle name="Normal 3 10 14 15" xfId="7960" xr:uid="{00000000-0005-0000-0000-0000D42F0000}"/>
    <cellStyle name="Normal 3 10 14 15 2" xfId="25611" xr:uid="{00000000-0005-0000-0000-0000D52F0000}"/>
    <cellStyle name="Normal 3 10 14 16" xfId="25605" xr:uid="{00000000-0005-0000-0000-0000D62F0000}"/>
    <cellStyle name="Normal 3 10 14 2" xfId="7961" xr:uid="{00000000-0005-0000-0000-0000D72F0000}"/>
    <cellStyle name="Normal 3 10 14 2 10" xfId="7962" xr:uid="{00000000-0005-0000-0000-0000D82F0000}"/>
    <cellStyle name="Normal 3 10 14 2 10 2" xfId="25613" xr:uid="{00000000-0005-0000-0000-0000D92F0000}"/>
    <cellStyle name="Normal 3 10 14 2 11" xfId="7963" xr:uid="{00000000-0005-0000-0000-0000DA2F0000}"/>
    <cellStyle name="Normal 3 10 14 2 11 2" xfId="25614" xr:uid="{00000000-0005-0000-0000-0000DB2F0000}"/>
    <cellStyle name="Normal 3 10 14 2 12" xfId="7964" xr:uid="{00000000-0005-0000-0000-0000DC2F0000}"/>
    <cellStyle name="Normal 3 10 14 2 12 2" xfId="25615" xr:uid="{00000000-0005-0000-0000-0000DD2F0000}"/>
    <cellStyle name="Normal 3 10 14 2 13" xfId="7965" xr:uid="{00000000-0005-0000-0000-0000DE2F0000}"/>
    <cellStyle name="Normal 3 10 14 2 13 2" xfId="25616" xr:uid="{00000000-0005-0000-0000-0000DF2F0000}"/>
    <cellStyle name="Normal 3 10 14 2 14" xfId="7966" xr:uid="{00000000-0005-0000-0000-0000E02F0000}"/>
    <cellStyle name="Normal 3 10 14 2 14 2" xfId="25617" xr:uid="{00000000-0005-0000-0000-0000E12F0000}"/>
    <cellStyle name="Normal 3 10 14 2 15" xfId="25612" xr:uid="{00000000-0005-0000-0000-0000E22F0000}"/>
    <cellStyle name="Normal 3 10 14 2 2" xfId="7967" xr:uid="{00000000-0005-0000-0000-0000E32F0000}"/>
    <cellStyle name="Normal 3 10 14 2 2 2" xfId="25618" xr:uid="{00000000-0005-0000-0000-0000E42F0000}"/>
    <cellStyle name="Normal 3 10 14 2 3" xfId="7968" xr:uid="{00000000-0005-0000-0000-0000E52F0000}"/>
    <cellStyle name="Normal 3 10 14 2 3 2" xfId="25619" xr:uid="{00000000-0005-0000-0000-0000E62F0000}"/>
    <cellStyle name="Normal 3 10 14 2 4" xfId="7969" xr:uid="{00000000-0005-0000-0000-0000E72F0000}"/>
    <cellStyle name="Normal 3 10 14 2 4 2" xfId="25620" xr:uid="{00000000-0005-0000-0000-0000E82F0000}"/>
    <cellStyle name="Normal 3 10 14 2 5" xfId="7970" xr:uid="{00000000-0005-0000-0000-0000E92F0000}"/>
    <cellStyle name="Normal 3 10 14 2 5 2" xfId="25621" xr:uid="{00000000-0005-0000-0000-0000EA2F0000}"/>
    <cellStyle name="Normal 3 10 14 2 6" xfId="7971" xr:uid="{00000000-0005-0000-0000-0000EB2F0000}"/>
    <cellStyle name="Normal 3 10 14 2 6 2" xfId="25622" xr:uid="{00000000-0005-0000-0000-0000EC2F0000}"/>
    <cellStyle name="Normal 3 10 14 2 7" xfId="7972" xr:uid="{00000000-0005-0000-0000-0000ED2F0000}"/>
    <cellStyle name="Normal 3 10 14 2 7 2" xfId="25623" xr:uid="{00000000-0005-0000-0000-0000EE2F0000}"/>
    <cellStyle name="Normal 3 10 14 2 8" xfId="7973" xr:uid="{00000000-0005-0000-0000-0000EF2F0000}"/>
    <cellStyle name="Normal 3 10 14 2 8 2" xfId="25624" xr:uid="{00000000-0005-0000-0000-0000F02F0000}"/>
    <cellStyle name="Normal 3 10 14 2 9" xfId="7974" xr:uid="{00000000-0005-0000-0000-0000F12F0000}"/>
    <cellStyle name="Normal 3 10 14 2 9 2" xfId="25625" xr:uid="{00000000-0005-0000-0000-0000F22F0000}"/>
    <cellStyle name="Normal 3 10 14 3" xfId="7975" xr:uid="{00000000-0005-0000-0000-0000F32F0000}"/>
    <cellStyle name="Normal 3 10 14 3 2" xfId="25626" xr:uid="{00000000-0005-0000-0000-0000F42F0000}"/>
    <cellStyle name="Normal 3 10 14 4" xfId="7976" xr:uid="{00000000-0005-0000-0000-0000F52F0000}"/>
    <cellStyle name="Normal 3 10 14 4 2" xfId="25627" xr:uid="{00000000-0005-0000-0000-0000F62F0000}"/>
    <cellStyle name="Normal 3 10 14 5" xfId="7977" xr:uid="{00000000-0005-0000-0000-0000F72F0000}"/>
    <cellStyle name="Normal 3 10 14 5 2" xfId="25628" xr:uid="{00000000-0005-0000-0000-0000F82F0000}"/>
    <cellStyle name="Normal 3 10 14 6" xfId="7978" xr:uid="{00000000-0005-0000-0000-0000F92F0000}"/>
    <cellStyle name="Normal 3 10 14 6 2" xfId="25629" xr:uid="{00000000-0005-0000-0000-0000FA2F0000}"/>
    <cellStyle name="Normal 3 10 14 7" xfId="7979" xr:uid="{00000000-0005-0000-0000-0000FB2F0000}"/>
    <cellStyle name="Normal 3 10 14 7 2" xfId="25630" xr:uid="{00000000-0005-0000-0000-0000FC2F0000}"/>
    <cellStyle name="Normal 3 10 14 8" xfId="7980" xr:uid="{00000000-0005-0000-0000-0000FD2F0000}"/>
    <cellStyle name="Normal 3 10 14 8 2" xfId="25631" xr:uid="{00000000-0005-0000-0000-0000FE2F0000}"/>
    <cellStyle name="Normal 3 10 14 9" xfId="7981" xr:uid="{00000000-0005-0000-0000-0000FF2F0000}"/>
    <cellStyle name="Normal 3 10 14 9 2" xfId="25632" xr:uid="{00000000-0005-0000-0000-000000300000}"/>
    <cellStyle name="Normal 3 10 15" xfId="7982" xr:uid="{00000000-0005-0000-0000-000001300000}"/>
    <cellStyle name="Normal 3 10 15 10" xfId="7983" xr:uid="{00000000-0005-0000-0000-000002300000}"/>
    <cellStyle name="Normal 3 10 15 10 2" xfId="25634" xr:uid="{00000000-0005-0000-0000-000003300000}"/>
    <cellStyle name="Normal 3 10 15 11" xfId="7984" xr:uid="{00000000-0005-0000-0000-000004300000}"/>
    <cellStyle name="Normal 3 10 15 11 2" xfId="25635" xr:uid="{00000000-0005-0000-0000-000005300000}"/>
    <cellStyle name="Normal 3 10 15 12" xfId="7985" xr:uid="{00000000-0005-0000-0000-000006300000}"/>
    <cellStyle name="Normal 3 10 15 12 2" xfId="25636" xr:uid="{00000000-0005-0000-0000-000007300000}"/>
    <cellStyle name="Normal 3 10 15 13" xfId="7986" xr:uid="{00000000-0005-0000-0000-000008300000}"/>
    <cellStyle name="Normal 3 10 15 13 2" xfId="25637" xr:uid="{00000000-0005-0000-0000-000009300000}"/>
    <cellStyle name="Normal 3 10 15 14" xfId="7987" xr:uid="{00000000-0005-0000-0000-00000A300000}"/>
    <cellStyle name="Normal 3 10 15 14 2" xfId="25638" xr:uid="{00000000-0005-0000-0000-00000B300000}"/>
    <cellStyle name="Normal 3 10 15 15" xfId="7988" xr:uid="{00000000-0005-0000-0000-00000C300000}"/>
    <cellStyle name="Normal 3 10 15 15 2" xfId="25639" xr:uid="{00000000-0005-0000-0000-00000D300000}"/>
    <cellStyle name="Normal 3 10 15 16" xfId="25633" xr:uid="{00000000-0005-0000-0000-00000E300000}"/>
    <cellStyle name="Normal 3 10 15 2" xfId="7989" xr:uid="{00000000-0005-0000-0000-00000F300000}"/>
    <cellStyle name="Normal 3 10 15 2 10" xfId="7990" xr:uid="{00000000-0005-0000-0000-000010300000}"/>
    <cellStyle name="Normal 3 10 15 2 10 2" xfId="25641" xr:uid="{00000000-0005-0000-0000-000011300000}"/>
    <cellStyle name="Normal 3 10 15 2 11" xfId="7991" xr:uid="{00000000-0005-0000-0000-000012300000}"/>
    <cellStyle name="Normal 3 10 15 2 11 2" xfId="25642" xr:uid="{00000000-0005-0000-0000-000013300000}"/>
    <cellStyle name="Normal 3 10 15 2 12" xfId="7992" xr:uid="{00000000-0005-0000-0000-000014300000}"/>
    <cellStyle name="Normal 3 10 15 2 12 2" xfId="25643" xr:uid="{00000000-0005-0000-0000-000015300000}"/>
    <cellStyle name="Normal 3 10 15 2 13" xfId="7993" xr:uid="{00000000-0005-0000-0000-000016300000}"/>
    <cellStyle name="Normal 3 10 15 2 13 2" xfId="25644" xr:uid="{00000000-0005-0000-0000-000017300000}"/>
    <cellStyle name="Normal 3 10 15 2 14" xfId="7994" xr:uid="{00000000-0005-0000-0000-000018300000}"/>
    <cellStyle name="Normal 3 10 15 2 14 2" xfId="25645" xr:uid="{00000000-0005-0000-0000-000019300000}"/>
    <cellStyle name="Normal 3 10 15 2 15" xfId="25640" xr:uid="{00000000-0005-0000-0000-00001A300000}"/>
    <cellStyle name="Normal 3 10 15 2 2" xfId="7995" xr:uid="{00000000-0005-0000-0000-00001B300000}"/>
    <cellStyle name="Normal 3 10 15 2 2 2" xfId="25646" xr:uid="{00000000-0005-0000-0000-00001C300000}"/>
    <cellStyle name="Normal 3 10 15 2 3" xfId="7996" xr:uid="{00000000-0005-0000-0000-00001D300000}"/>
    <cellStyle name="Normal 3 10 15 2 3 2" xfId="25647" xr:uid="{00000000-0005-0000-0000-00001E300000}"/>
    <cellStyle name="Normal 3 10 15 2 4" xfId="7997" xr:uid="{00000000-0005-0000-0000-00001F300000}"/>
    <cellStyle name="Normal 3 10 15 2 4 2" xfId="25648" xr:uid="{00000000-0005-0000-0000-000020300000}"/>
    <cellStyle name="Normal 3 10 15 2 5" xfId="7998" xr:uid="{00000000-0005-0000-0000-000021300000}"/>
    <cellStyle name="Normal 3 10 15 2 5 2" xfId="25649" xr:uid="{00000000-0005-0000-0000-000022300000}"/>
    <cellStyle name="Normal 3 10 15 2 6" xfId="7999" xr:uid="{00000000-0005-0000-0000-000023300000}"/>
    <cellStyle name="Normal 3 10 15 2 6 2" xfId="25650" xr:uid="{00000000-0005-0000-0000-000024300000}"/>
    <cellStyle name="Normal 3 10 15 2 7" xfId="8000" xr:uid="{00000000-0005-0000-0000-000025300000}"/>
    <cellStyle name="Normal 3 10 15 2 7 2" xfId="25651" xr:uid="{00000000-0005-0000-0000-000026300000}"/>
    <cellStyle name="Normal 3 10 15 2 8" xfId="8001" xr:uid="{00000000-0005-0000-0000-000027300000}"/>
    <cellStyle name="Normal 3 10 15 2 8 2" xfId="25652" xr:uid="{00000000-0005-0000-0000-000028300000}"/>
    <cellStyle name="Normal 3 10 15 2 9" xfId="8002" xr:uid="{00000000-0005-0000-0000-000029300000}"/>
    <cellStyle name="Normal 3 10 15 2 9 2" xfId="25653" xr:uid="{00000000-0005-0000-0000-00002A300000}"/>
    <cellStyle name="Normal 3 10 15 3" xfId="8003" xr:uid="{00000000-0005-0000-0000-00002B300000}"/>
    <cellStyle name="Normal 3 10 15 3 2" xfId="25654" xr:uid="{00000000-0005-0000-0000-00002C300000}"/>
    <cellStyle name="Normal 3 10 15 4" xfId="8004" xr:uid="{00000000-0005-0000-0000-00002D300000}"/>
    <cellStyle name="Normal 3 10 15 4 2" xfId="25655" xr:uid="{00000000-0005-0000-0000-00002E300000}"/>
    <cellStyle name="Normal 3 10 15 5" xfId="8005" xr:uid="{00000000-0005-0000-0000-00002F300000}"/>
    <cellStyle name="Normal 3 10 15 5 2" xfId="25656" xr:uid="{00000000-0005-0000-0000-000030300000}"/>
    <cellStyle name="Normal 3 10 15 6" xfId="8006" xr:uid="{00000000-0005-0000-0000-000031300000}"/>
    <cellStyle name="Normal 3 10 15 6 2" xfId="25657" xr:uid="{00000000-0005-0000-0000-000032300000}"/>
    <cellStyle name="Normal 3 10 15 7" xfId="8007" xr:uid="{00000000-0005-0000-0000-000033300000}"/>
    <cellStyle name="Normal 3 10 15 7 2" xfId="25658" xr:uid="{00000000-0005-0000-0000-000034300000}"/>
    <cellStyle name="Normal 3 10 15 8" xfId="8008" xr:uid="{00000000-0005-0000-0000-000035300000}"/>
    <cellStyle name="Normal 3 10 15 8 2" xfId="25659" xr:uid="{00000000-0005-0000-0000-000036300000}"/>
    <cellStyle name="Normal 3 10 15 9" xfId="8009" xr:uid="{00000000-0005-0000-0000-000037300000}"/>
    <cellStyle name="Normal 3 10 15 9 2" xfId="25660" xr:uid="{00000000-0005-0000-0000-000038300000}"/>
    <cellStyle name="Normal 3 10 16" xfId="8010" xr:uid="{00000000-0005-0000-0000-000039300000}"/>
    <cellStyle name="Normal 3 10 16 10" xfId="8011" xr:uid="{00000000-0005-0000-0000-00003A300000}"/>
    <cellStyle name="Normal 3 10 16 10 2" xfId="25662" xr:uid="{00000000-0005-0000-0000-00003B300000}"/>
    <cellStyle name="Normal 3 10 16 11" xfId="8012" xr:uid="{00000000-0005-0000-0000-00003C300000}"/>
    <cellStyle name="Normal 3 10 16 11 2" xfId="25663" xr:uid="{00000000-0005-0000-0000-00003D300000}"/>
    <cellStyle name="Normal 3 10 16 12" xfId="8013" xr:uid="{00000000-0005-0000-0000-00003E300000}"/>
    <cellStyle name="Normal 3 10 16 12 2" xfId="25664" xr:uid="{00000000-0005-0000-0000-00003F300000}"/>
    <cellStyle name="Normal 3 10 16 13" xfId="8014" xr:uid="{00000000-0005-0000-0000-000040300000}"/>
    <cellStyle name="Normal 3 10 16 13 2" xfId="25665" xr:uid="{00000000-0005-0000-0000-000041300000}"/>
    <cellStyle name="Normal 3 10 16 14" xfId="8015" xr:uid="{00000000-0005-0000-0000-000042300000}"/>
    <cellStyle name="Normal 3 10 16 14 2" xfId="25666" xr:uid="{00000000-0005-0000-0000-000043300000}"/>
    <cellStyle name="Normal 3 10 16 15" xfId="8016" xr:uid="{00000000-0005-0000-0000-000044300000}"/>
    <cellStyle name="Normal 3 10 16 15 2" xfId="25667" xr:uid="{00000000-0005-0000-0000-000045300000}"/>
    <cellStyle name="Normal 3 10 16 16" xfId="25661" xr:uid="{00000000-0005-0000-0000-000046300000}"/>
    <cellStyle name="Normal 3 10 16 2" xfId="8017" xr:uid="{00000000-0005-0000-0000-000047300000}"/>
    <cellStyle name="Normal 3 10 16 2 10" xfId="8018" xr:uid="{00000000-0005-0000-0000-000048300000}"/>
    <cellStyle name="Normal 3 10 16 2 10 2" xfId="25669" xr:uid="{00000000-0005-0000-0000-000049300000}"/>
    <cellStyle name="Normal 3 10 16 2 11" xfId="8019" xr:uid="{00000000-0005-0000-0000-00004A300000}"/>
    <cellStyle name="Normal 3 10 16 2 11 2" xfId="25670" xr:uid="{00000000-0005-0000-0000-00004B300000}"/>
    <cellStyle name="Normal 3 10 16 2 12" xfId="8020" xr:uid="{00000000-0005-0000-0000-00004C300000}"/>
    <cellStyle name="Normal 3 10 16 2 12 2" xfId="25671" xr:uid="{00000000-0005-0000-0000-00004D300000}"/>
    <cellStyle name="Normal 3 10 16 2 13" xfId="8021" xr:uid="{00000000-0005-0000-0000-00004E300000}"/>
    <cellStyle name="Normal 3 10 16 2 13 2" xfId="25672" xr:uid="{00000000-0005-0000-0000-00004F300000}"/>
    <cellStyle name="Normal 3 10 16 2 14" xfId="8022" xr:uid="{00000000-0005-0000-0000-000050300000}"/>
    <cellStyle name="Normal 3 10 16 2 14 2" xfId="25673" xr:uid="{00000000-0005-0000-0000-000051300000}"/>
    <cellStyle name="Normal 3 10 16 2 15" xfId="25668" xr:uid="{00000000-0005-0000-0000-000052300000}"/>
    <cellStyle name="Normal 3 10 16 2 2" xfId="8023" xr:uid="{00000000-0005-0000-0000-000053300000}"/>
    <cellStyle name="Normal 3 10 16 2 2 2" xfId="25674" xr:uid="{00000000-0005-0000-0000-000054300000}"/>
    <cellStyle name="Normal 3 10 16 2 3" xfId="8024" xr:uid="{00000000-0005-0000-0000-000055300000}"/>
    <cellStyle name="Normal 3 10 16 2 3 2" xfId="25675" xr:uid="{00000000-0005-0000-0000-000056300000}"/>
    <cellStyle name="Normal 3 10 16 2 4" xfId="8025" xr:uid="{00000000-0005-0000-0000-000057300000}"/>
    <cellStyle name="Normal 3 10 16 2 4 2" xfId="25676" xr:uid="{00000000-0005-0000-0000-000058300000}"/>
    <cellStyle name="Normal 3 10 16 2 5" xfId="8026" xr:uid="{00000000-0005-0000-0000-000059300000}"/>
    <cellStyle name="Normal 3 10 16 2 5 2" xfId="25677" xr:uid="{00000000-0005-0000-0000-00005A300000}"/>
    <cellStyle name="Normal 3 10 16 2 6" xfId="8027" xr:uid="{00000000-0005-0000-0000-00005B300000}"/>
    <cellStyle name="Normal 3 10 16 2 6 2" xfId="25678" xr:uid="{00000000-0005-0000-0000-00005C300000}"/>
    <cellStyle name="Normal 3 10 16 2 7" xfId="8028" xr:uid="{00000000-0005-0000-0000-00005D300000}"/>
    <cellStyle name="Normal 3 10 16 2 7 2" xfId="25679" xr:uid="{00000000-0005-0000-0000-00005E300000}"/>
    <cellStyle name="Normal 3 10 16 2 8" xfId="8029" xr:uid="{00000000-0005-0000-0000-00005F300000}"/>
    <cellStyle name="Normal 3 10 16 2 8 2" xfId="25680" xr:uid="{00000000-0005-0000-0000-000060300000}"/>
    <cellStyle name="Normal 3 10 16 2 9" xfId="8030" xr:uid="{00000000-0005-0000-0000-000061300000}"/>
    <cellStyle name="Normal 3 10 16 2 9 2" xfId="25681" xr:uid="{00000000-0005-0000-0000-000062300000}"/>
    <cellStyle name="Normal 3 10 16 3" xfId="8031" xr:uid="{00000000-0005-0000-0000-000063300000}"/>
    <cellStyle name="Normal 3 10 16 3 2" xfId="25682" xr:uid="{00000000-0005-0000-0000-000064300000}"/>
    <cellStyle name="Normal 3 10 16 4" xfId="8032" xr:uid="{00000000-0005-0000-0000-000065300000}"/>
    <cellStyle name="Normal 3 10 16 4 2" xfId="25683" xr:uid="{00000000-0005-0000-0000-000066300000}"/>
    <cellStyle name="Normal 3 10 16 5" xfId="8033" xr:uid="{00000000-0005-0000-0000-000067300000}"/>
    <cellStyle name="Normal 3 10 16 5 2" xfId="25684" xr:uid="{00000000-0005-0000-0000-000068300000}"/>
    <cellStyle name="Normal 3 10 16 6" xfId="8034" xr:uid="{00000000-0005-0000-0000-000069300000}"/>
    <cellStyle name="Normal 3 10 16 6 2" xfId="25685" xr:uid="{00000000-0005-0000-0000-00006A300000}"/>
    <cellStyle name="Normal 3 10 16 7" xfId="8035" xr:uid="{00000000-0005-0000-0000-00006B300000}"/>
    <cellStyle name="Normal 3 10 16 7 2" xfId="25686" xr:uid="{00000000-0005-0000-0000-00006C300000}"/>
    <cellStyle name="Normal 3 10 16 8" xfId="8036" xr:uid="{00000000-0005-0000-0000-00006D300000}"/>
    <cellStyle name="Normal 3 10 16 8 2" xfId="25687" xr:uid="{00000000-0005-0000-0000-00006E300000}"/>
    <cellStyle name="Normal 3 10 16 9" xfId="8037" xr:uid="{00000000-0005-0000-0000-00006F300000}"/>
    <cellStyle name="Normal 3 10 16 9 2" xfId="25688" xr:uid="{00000000-0005-0000-0000-000070300000}"/>
    <cellStyle name="Normal 3 10 17" xfId="8038" xr:uid="{00000000-0005-0000-0000-000071300000}"/>
    <cellStyle name="Normal 3 10 17 10" xfId="8039" xr:uid="{00000000-0005-0000-0000-000072300000}"/>
    <cellStyle name="Normal 3 10 17 10 2" xfId="25690" xr:uid="{00000000-0005-0000-0000-000073300000}"/>
    <cellStyle name="Normal 3 10 17 11" xfId="8040" xr:uid="{00000000-0005-0000-0000-000074300000}"/>
    <cellStyle name="Normal 3 10 17 11 2" xfId="25691" xr:uid="{00000000-0005-0000-0000-000075300000}"/>
    <cellStyle name="Normal 3 10 17 12" xfId="8041" xr:uid="{00000000-0005-0000-0000-000076300000}"/>
    <cellStyle name="Normal 3 10 17 12 2" xfId="25692" xr:uid="{00000000-0005-0000-0000-000077300000}"/>
    <cellStyle name="Normal 3 10 17 13" xfId="8042" xr:uid="{00000000-0005-0000-0000-000078300000}"/>
    <cellStyle name="Normal 3 10 17 13 2" xfId="25693" xr:uid="{00000000-0005-0000-0000-000079300000}"/>
    <cellStyle name="Normal 3 10 17 14" xfId="8043" xr:uid="{00000000-0005-0000-0000-00007A300000}"/>
    <cellStyle name="Normal 3 10 17 14 2" xfId="25694" xr:uid="{00000000-0005-0000-0000-00007B300000}"/>
    <cellStyle name="Normal 3 10 17 15" xfId="25689" xr:uid="{00000000-0005-0000-0000-00007C300000}"/>
    <cellStyle name="Normal 3 10 17 2" xfId="8044" xr:uid="{00000000-0005-0000-0000-00007D300000}"/>
    <cellStyle name="Normal 3 10 17 2 2" xfId="25695" xr:uid="{00000000-0005-0000-0000-00007E300000}"/>
    <cellStyle name="Normal 3 10 17 3" xfId="8045" xr:uid="{00000000-0005-0000-0000-00007F300000}"/>
    <cellStyle name="Normal 3 10 17 3 2" xfId="25696" xr:uid="{00000000-0005-0000-0000-000080300000}"/>
    <cellStyle name="Normal 3 10 17 4" xfId="8046" xr:uid="{00000000-0005-0000-0000-000081300000}"/>
    <cellStyle name="Normal 3 10 17 4 2" xfId="25697" xr:uid="{00000000-0005-0000-0000-000082300000}"/>
    <cellStyle name="Normal 3 10 17 5" xfId="8047" xr:uid="{00000000-0005-0000-0000-000083300000}"/>
    <cellStyle name="Normal 3 10 17 5 2" xfId="25698" xr:uid="{00000000-0005-0000-0000-000084300000}"/>
    <cellStyle name="Normal 3 10 17 6" xfId="8048" xr:uid="{00000000-0005-0000-0000-000085300000}"/>
    <cellStyle name="Normal 3 10 17 6 2" xfId="25699" xr:uid="{00000000-0005-0000-0000-000086300000}"/>
    <cellStyle name="Normal 3 10 17 7" xfId="8049" xr:uid="{00000000-0005-0000-0000-000087300000}"/>
    <cellStyle name="Normal 3 10 17 7 2" xfId="25700" xr:uid="{00000000-0005-0000-0000-000088300000}"/>
    <cellStyle name="Normal 3 10 17 8" xfId="8050" xr:uid="{00000000-0005-0000-0000-000089300000}"/>
    <cellStyle name="Normal 3 10 17 8 2" xfId="25701" xr:uid="{00000000-0005-0000-0000-00008A300000}"/>
    <cellStyle name="Normal 3 10 17 9" xfId="8051" xr:uid="{00000000-0005-0000-0000-00008B300000}"/>
    <cellStyle name="Normal 3 10 17 9 2" xfId="25702" xr:uid="{00000000-0005-0000-0000-00008C300000}"/>
    <cellStyle name="Normal 3 10 18" xfId="8052" xr:uid="{00000000-0005-0000-0000-00008D300000}"/>
    <cellStyle name="Normal 3 10 18 10" xfId="8053" xr:uid="{00000000-0005-0000-0000-00008E300000}"/>
    <cellStyle name="Normal 3 10 18 10 2" xfId="25704" xr:uid="{00000000-0005-0000-0000-00008F300000}"/>
    <cellStyle name="Normal 3 10 18 11" xfId="8054" xr:uid="{00000000-0005-0000-0000-000090300000}"/>
    <cellStyle name="Normal 3 10 18 11 2" xfId="25705" xr:uid="{00000000-0005-0000-0000-000091300000}"/>
    <cellStyle name="Normal 3 10 18 12" xfId="8055" xr:uid="{00000000-0005-0000-0000-000092300000}"/>
    <cellStyle name="Normal 3 10 18 12 2" xfId="25706" xr:uid="{00000000-0005-0000-0000-000093300000}"/>
    <cellStyle name="Normal 3 10 18 13" xfId="8056" xr:uid="{00000000-0005-0000-0000-000094300000}"/>
    <cellStyle name="Normal 3 10 18 13 2" xfId="25707" xr:uid="{00000000-0005-0000-0000-000095300000}"/>
    <cellStyle name="Normal 3 10 18 14" xfId="8057" xr:uid="{00000000-0005-0000-0000-000096300000}"/>
    <cellStyle name="Normal 3 10 18 14 2" xfId="25708" xr:uid="{00000000-0005-0000-0000-000097300000}"/>
    <cellStyle name="Normal 3 10 18 15" xfId="25703" xr:uid="{00000000-0005-0000-0000-000098300000}"/>
    <cellStyle name="Normal 3 10 18 2" xfId="8058" xr:uid="{00000000-0005-0000-0000-000099300000}"/>
    <cellStyle name="Normal 3 10 18 2 2" xfId="25709" xr:uid="{00000000-0005-0000-0000-00009A300000}"/>
    <cellStyle name="Normal 3 10 18 3" xfId="8059" xr:uid="{00000000-0005-0000-0000-00009B300000}"/>
    <cellStyle name="Normal 3 10 18 3 2" xfId="25710" xr:uid="{00000000-0005-0000-0000-00009C300000}"/>
    <cellStyle name="Normal 3 10 18 4" xfId="8060" xr:uid="{00000000-0005-0000-0000-00009D300000}"/>
    <cellStyle name="Normal 3 10 18 4 2" xfId="25711" xr:uid="{00000000-0005-0000-0000-00009E300000}"/>
    <cellStyle name="Normal 3 10 18 5" xfId="8061" xr:uid="{00000000-0005-0000-0000-00009F300000}"/>
    <cellStyle name="Normal 3 10 18 5 2" xfId="25712" xr:uid="{00000000-0005-0000-0000-0000A0300000}"/>
    <cellStyle name="Normal 3 10 18 6" xfId="8062" xr:uid="{00000000-0005-0000-0000-0000A1300000}"/>
    <cellStyle name="Normal 3 10 18 6 2" xfId="25713" xr:uid="{00000000-0005-0000-0000-0000A2300000}"/>
    <cellStyle name="Normal 3 10 18 7" xfId="8063" xr:uid="{00000000-0005-0000-0000-0000A3300000}"/>
    <cellStyle name="Normal 3 10 18 7 2" xfId="25714" xr:uid="{00000000-0005-0000-0000-0000A4300000}"/>
    <cellStyle name="Normal 3 10 18 8" xfId="8064" xr:uid="{00000000-0005-0000-0000-0000A5300000}"/>
    <cellStyle name="Normal 3 10 18 8 2" xfId="25715" xr:uid="{00000000-0005-0000-0000-0000A6300000}"/>
    <cellStyle name="Normal 3 10 18 9" xfId="8065" xr:uid="{00000000-0005-0000-0000-0000A7300000}"/>
    <cellStyle name="Normal 3 10 18 9 2" xfId="25716" xr:uid="{00000000-0005-0000-0000-0000A8300000}"/>
    <cellStyle name="Normal 3 10 19" xfId="8066" xr:uid="{00000000-0005-0000-0000-0000A9300000}"/>
    <cellStyle name="Normal 3 10 19 10" xfId="8067" xr:uid="{00000000-0005-0000-0000-0000AA300000}"/>
    <cellStyle name="Normal 3 10 19 10 2" xfId="25718" xr:uid="{00000000-0005-0000-0000-0000AB300000}"/>
    <cellStyle name="Normal 3 10 19 11" xfId="8068" xr:uid="{00000000-0005-0000-0000-0000AC300000}"/>
    <cellStyle name="Normal 3 10 19 11 2" xfId="25719" xr:uid="{00000000-0005-0000-0000-0000AD300000}"/>
    <cellStyle name="Normal 3 10 19 12" xfId="8069" xr:uid="{00000000-0005-0000-0000-0000AE300000}"/>
    <cellStyle name="Normal 3 10 19 12 2" xfId="25720" xr:uid="{00000000-0005-0000-0000-0000AF300000}"/>
    <cellStyle name="Normal 3 10 19 13" xfId="8070" xr:uid="{00000000-0005-0000-0000-0000B0300000}"/>
    <cellStyle name="Normal 3 10 19 13 2" xfId="25721" xr:uid="{00000000-0005-0000-0000-0000B1300000}"/>
    <cellStyle name="Normal 3 10 19 14" xfId="8071" xr:uid="{00000000-0005-0000-0000-0000B2300000}"/>
    <cellStyle name="Normal 3 10 19 14 2" xfId="25722" xr:uid="{00000000-0005-0000-0000-0000B3300000}"/>
    <cellStyle name="Normal 3 10 19 15" xfId="25717" xr:uid="{00000000-0005-0000-0000-0000B4300000}"/>
    <cellStyle name="Normal 3 10 19 2" xfId="8072" xr:uid="{00000000-0005-0000-0000-0000B5300000}"/>
    <cellStyle name="Normal 3 10 19 2 2" xfId="25723" xr:uid="{00000000-0005-0000-0000-0000B6300000}"/>
    <cellStyle name="Normal 3 10 19 3" xfId="8073" xr:uid="{00000000-0005-0000-0000-0000B7300000}"/>
    <cellStyle name="Normal 3 10 19 3 2" xfId="25724" xr:uid="{00000000-0005-0000-0000-0000B8300000}"/>
    <cellStyle name="Normal 3 10 19 4" xfId="8074" xr:uid="{00000000-0005-0000-0000-0000B9300000}"/>
    <cellStyle name="Normal 3 10 19 4 2" xfId="25725" xr:uid="{00000000-0005-0000-0000-0000BA300000}"/>
    <cellStyle name="Normal 3 10 19 5" xfId="8075" xr:uid="{00000000-0005-0000-0000-0000BB300000}"/>
    <cellStyle name="Normal 3 10 19 5 2" xfId="25726" xr:uid="{00000000-0005-0000-0000-0000BC300000}"/>
    <cellStyle name="Normal 3 10 19 6" xfId="8076" xr:uid="{00000000-0005-0000-0000-0000BD300000}"/>
    <cellStyle name="Normal 3 10 19 6 2" xfId="25727" xr:uid="{00000000-0005-0000-0000-0000BE300000}"/>
    <cellStyle name="Normal 3 10 19 7" xfId="8077" xr:uid="{00000000-0005-0000-0000-0000BF300000}"/>
    <cellStyle name="Normal 3 10 19 7 2" xfId="25728" xr:uid="{00000000-0005-0000-0000-0000C0300000}"/>
    <cellStyle name="Normal 3 10 19 8" xfId="8078" xr:uid="{00000000-0005-0000-0000-0000C1300000}"/>
    <cellStyle name="Normal 3 10 19 8 2" xfId="25729" xr:uid="{00000000-0005-0000-0000-0000C2300000}"/>
    <cellStyle name="Normal 3 10 19 9" xfId="8079" xr:uid="{00000000-0005-0000-0000-0000C3300000}"/>
    <cellStyle name="Normal 3 10 19 9 2" xfId="25730" xr:uid="{00000000-0005-0000-0000-0000C4300000}"/>
    <cellStyle name="Normal 3 10 2" xfId="8080" xr:uid="{00000000-0005-0000-0000-0000C5300000}"/>
    <cellStyle name="Normal 3 10 20" xfId="8081" xr:uid="{00000000-0005-0000-0000-0000C6300000}"/>
    <cellStyle name="Normal 3 10 20 10" xfId="8082" xr:uid="{00000000-0005-0000-0000-0000C7300000}"/>
    <cellStyle name="Normal 3 10 20 10 2" xfId="25732" xr:uid="{00000000-0005-0000-0000-0000C8300000}"/>
    <cellStyle name="Normal 3 10 20 11" xfId="8083" xr:uid="{00000000-0005-0000-0000-0000C9300000}"/>
    <cellStyle name="Normal 3 10 20 11 2" xfId="25733" xr:uid="{00000000-0005-0000-0000-0000CA300000}"/>
    <cellStyle name="Normal 3 10 20 12" xfId="8084" xr:uid="{00000000-0005-0000-0000-0000CB300000}"/>
    <cellStyle name="Normal 3 10 20 12 2" xfId="25734" xr:uid="{00000000-0005-0000-0000-0000CC300000}"/>
    <cellStyle name="Normal 3 10 20 13" xfId="8085" xr:uid="{00000000-0005-0000-0000-0000CD300000}"/>
    <cellStyle name="Normal 3 10 20 13 2" xfId="25735" xr:uid="{00000000-0005-0000-0000-0000CE300000}"/>
    <cellStyle name="Normal 3 10 20 14" xfId="8086" xr:uid="{00000000-0005-0000-0000-0000CF300000}"/>
    <cellStyle name="Normal 3 10 20 14 2" xfId="25736" xr:uid="{00000000-0005-0000-0000-0000D0300000}"/>
    <cellStyle name="Normal 3 10 20 15" xfId="25731" xr:uid="{00000000-0005-0000-0000-0000D1300000}"/>
    <cellStyle name="Normal 3 10 20 2" xfId="8087" xr:uid="{00000000-0005-0000-0000-0000D2300000}"/>
    <cellStyle name="Normal 3 10 20 2 2" xfId="25737" xr:uid="{00000000-0005-0000-0000-0000D3300000}"/>
    <cellStyle name="Normal 3 10 20 3" xfId="8088" xr:uid="{00000000-0005-0000-0000-0000D4300000}"/>
    <cellStyle name="Normal 3 10 20 3 2" xfId="25738" xr:uid="{00000000-0005-0000-0000-0000D5300000}"/>
    <cellStyle name="Normal 3 10 20 4" xfId="8089" xr:uid="{00000000-0005-0000-0000-0000D6300000}"/>
    <cellStyle name="Normal 3 10 20 4 2" xfId="25739" xr:uid="{00000000-0005-0000-0000-0000D7300000}"/>
    <cellStyle name="Normal 3 10 20 5" xfId="8090" xr:uid="{00000000-0005-0000-0000-0000D8300000}"/>
    <cellStyle name="Normal 3 10 20 5 2" xfId="25740" xr:uid="{00000000-0005-0000-0000-0000D9300000}"/>
    <cellStyle name="Normal 3 10 20 6" xfId="8091" xr:uid="{00000000-0005-0000-0000-0000DA300000}"/>
    <cellStyle name="Normal 3 10 20 6 2" xfId="25741" xr:uid="{00000000-0005-0000-0000-0000DB300000}"/>
    <cellStyle name="Normal 3 10 20 7" xfId="8092" xr:uid="{00000000-0005-0000-0000-0000DC300000}"/>
    <cellStyle name="Normal 3 10 20 7 2" xfId="25742" xr:uid="{00000000-0005-0000-0000-0000DD300000}"/>
    <cellStyle name="Normal 3 10 20 8" xfId="8093" xr:uid="{00000000-0005-0000-0000-0000DE300000}"/>
    <cellStyle name="Normal 3 10 20 8 2" xfId="25743" xr:uid="{00000000-0005-0000-0000-0000DF300000}"/>
    <cellStyle name="Normal 3 10 20 9" xfId="8094" xr:uid="{00000000-0005-0000-0000-0000E0300000}"/>
    <cellStyle name="Normal 3 10 20 9 2" xfId="25744" xr:uid="{00000000-0005-0000-0000-0000E1300000}"/>
    <cellStyle name="Normal 3 10 21" xfId="8095" xr:uid="{00000000-0005-0000-0000-0000E2300000}"/>
    <cellStyle name="Normal 3 10 21 10" xfId="8096" xr:uid="{00000000-0005-0000-0000-0000E3300000}"/>
    <cellStyle name="Normal 3 10 21 10 2" xfId="25746" xr:uid="{00000000-0005-0000-0000-0000E4300000}"/>
    <cellStyle name="Normal 3 10 21 11" xfId="8097" xr:uid="{00000000-0005-0000-0000-0000E5300000}"/>
    <cellStyle name="Normal 3 10 21 11 2" xfId="25747" xr:uid="{00000000-0005-0000-0000-0000E6300000}"/>
    <cellStyle name="Normal 3 10 21 12" xfId="8098" xr:uid="{00000000-0005-0000-0000-0000E7300000}"/>
    <cellStyle name="Normal 3 10 21 12 2" xfId="25748" xr:uid="{00000000-0005-0000-0000-0000E8300000}"/>
    <cellStyle name="Normal 3 10 21 13" xfId="8099" xr:uid="{00000000-0005-0000-0000-0000E9300000}"/>
    <cellStyle name="Normal 3 10 21 13 2" xfId="25749" xr:uid="{00000000-0005-0000-0000-0000EA300000}"/>
    <cellStyle name="Normal 3 10 21 14" xfId="8100" xr:uid="{00000000-0005-0000-0000-0000EB300000}"/>
    <cellStyle name="Normal 3 10 21 14 2" xfId="25750" xr:uid="{00000000-0005-0000-0000-0000EC300000}"/>
    <cellStyle name="Normal 3 10 21 15" xfId="25745" xr:uid="{00000000-0005-0000-0000-0000ED300000}"/>
    <cellStyle name="Normal 3 10 21 2" xfId="8101" xr:uid="{00000000-0005-0000-0000-0000EE300000}"/>
    <cellStyle name="Normal 3 10 21 2 2" xfId="25751" xr:uid="{00000000-0005-0000-0000-0000EF300000}"/>
    <cellStyle name="Normal 3 10 21 3" xfId="8102" xr:uid="{00000000-0005-0000-0000-0000F0300000}"/>
    <cellStyle name="Normal 3 10 21 3 2" xfId="25752" xr:uid="{00000000-0005-0000-0000-0000F1300000}"/>
    <cellStyle name="Normal 3 10 21 4" xfId="8103" xr:uid="{00000000-0005-0000-0000-0000F2300000}"/>
    <cellStyle name="Normal 3 10 21 4 2" xfId="25753" xr:uid="{00000000-0005-0000-0000-0000F3300000}"/>
    <cellStyle name="Normal 3 10 21 5" xfId="8104" xr:uid="{00000000-0005-0000-0000-0000F4300000}"/>
    <cellStyle name="Normal 3 10 21 5 2" xfId="25754" xr:uid="{00000000-0005-0000-0000-0000F5300000}"/>
    <cellStyle name="Normal 3 10 21 6" xfId="8105" xr:uid="{00000000-0005-0000-0000-0000F6300000}"/>
    <cellStyle name="Normal 3 10 21 6 2" xfId="25755" xr:uid="{00000000-0005-0000-0000-0000F7300000}"/>
    <cellStyle name="Normal 3 10 21 7" xfId="8106" xr:uid="{00000000-0005-0000-0000-0000F8300000}"/>
    <cellStyle name="Normal 3 10 21 7 2" xfId="25756" xr:uid="{00000000-0005-0000-0000-0000F9300000}"/>
    <cellStyle name="Normal 3 10 21 8" xfId="8107" xr:uid="{00000000-0005-0000-0000-0000FA300000}"/>
    <cellStyle name="Normal 3 10 21 8 2" xfId="25757" xr:uid="{00000000-0005-0000-0000-0000FB300000}"/>
    <cellStyle name="Normal 3 10 21 9" xfId="8108" xr:uid="{00000000-0005-0000-0000-0000FC300000}"/>
    <cellStyle name="Normal 3 10 21 9 2" xfId="25758" xr:uid="{00000000-0005-0000-0000-0000FD300000}"/>
    <cellStyle name="Normal 3 10 22" xfId="8109" xr:uid="{00000000-0005-0000-0000-0000FE300000}"/>
    <cellStyle name="Normal 3 10 22 10" xfId="8110" xr:uid="{00000000-0005-0000-0000-0000FF300000}"/>
    <cellStyle name="Normal 3 10 22 10 2" xfId="25760" xr:uid="{00000000-0005-0000-0000-000000310000}"/>
    <cellStyle name="Normal 3 10 22 11" xfId="8111" xr:uid="{00000000-0005-0000-0000-000001310000}"/>
    <cellStyle name="Normal 3 10 22 11 2" xfId="25761" xr:uid="{00000000-0005-0000-0000-000002310000}"/>
    <cellStyle name="Normal 3 10 22 12" xfId="8112" xr:uid="{00000000-0005-0000-0000-000003310000}"/>
    <cellStyle name="Normal 3 10 22 12 2" xfId="25762" xr:uid="{00000000-0005-0000-0000-000004310000}"/>
    <cellStyle name="Normal 3 10 22 13" xfId="8113" xr:uid="{00000000-0005-0000-0000-000005310000}"/>
    <cellStyle name="Normal 3 10 22 13 2" xfId="25763" xr:uid="{00000000-0005-0000-0000-000006310000}"/>
    <cellStyle name="Normal 3 10 22 14" xfId="8114" xr:uid="{00000000-0005-0000-0000-000007310000}"/>
    <cellStyle name="Normal 3 10 22 14 2" xfId="25764" xr:uid="{00000000-0005-0000-0000-000008310000}"/>
    <cellStyle name="Normal 3 10 22 15" xfId="25759" xr:uid="{00000000-0005-0000-0000-000009310000}"/>
    <cellStyle name="Normal 3 10 22 2" xfId="8115" xr:uid="{00000000-0005-0000-0000-00000A310000}"/>
    <cellStyle name="Normal 3 10 22 2 2" xfId="25765" xr:uid="{00000000-0005-0000-0000-00000B310000}"/>
    <cellStyle name="Normal 3 10 22 3" xfId="8116" xr:uid="{00000000-0005-0000-0000-00000C310000}"/>
    <cellStyle name="Normal 3 10 22 3 2" xfId="25766" xr:uid="{00000000-0005-0000-0000-00000D310000}"/>
    <cellStyle name="Normal 3 10 22 4" xfId="8117" xr:uid="{00000000-0005-0000-0000-00000E310000}"/>
    <cellStyle name="Normal 3 10 22 4 2" xfId="25767" xr:uid="{00000000-0005-0000-0000-00000F310000}"/>
    <cellStyle name="Normal 3 10 22 5" xfId="8118" xr:uid="{00000000-0005-0000-0000-000010310000}"/>
    <cellStyle name="Normal 3 10 22 5 2" xfId="25768" xr:uid="{00000000-0005-0000-0000-000011310000}"/>
    <cellStyle name="Normal 3 10 22 6" xfId="8119" xr:uid="{00000000-0005-0000-0000-000012310000}"/>
    <cellStyle name="Normal 3 10 22 6 2" xfId="25769" xr:uid="{00000000-0005-0000-0000-000013310000}"/>
    <cellStyle name="Normal 3 10 22 7" xfId="8120" xr:uid="{00000000-0005-0000-0000-000014310000}"/>
    <cellStyle name="Normal 3 10 22 7 2" xfId="25770" xr:uid="{00000000-0005-0000-0000-000015310000}"/>
    <cellStyle name="Normal 3 10 22 8" xfId="8121" xr:uid="{00000000-0005-0000-0000-000016310000}"/>
    <cellStyle name="Normal 3 10 22 8 2" xfId="25771" xr:uid="{00000000-0005-0000-0000-000017310000}"/>
    <cellStyle name="Normal 3 10 22 9" xfId="8122" xr:uid="{00000000-0005-0000-0000-000018310000}"/>
    <cellStyle name="Normal 3 10 22 9 2" xfId="25772" xr:uid="{00000000-0005-0000-0000-000019310000}"/>
    <cellStyle name="Normal 3 10 23" xfId="8123" xr:uid="{00000000-0005-0000-0000-00001A310000}"/>
    <cellStyle name="Normal 3 10 24" xfId="8124" xr:uid="{00000000-0005-0000-0000-00001B310000}"/>
    <cellStyle name="Normal 3 10 25" xfId="8125" xr:uid="{00000000-0005-0000-0000-00001C310000}"/>
    <cellStyle name="Normal 3 10 25 10" xfId="8126" xr:uid="{00000000-0005-0000-0000-00001D310000}"/>
    <cellStyle name="Normal 3 10 25 10 2" xfId="25774" xr:uid="{00000000-0005-0000-0000-00001E310000}"/>
    <cellStyle name="Normal 3 10 25 11" xfId="8127" xr:uid="{00000000-0005-0000-0000-00001F310000}"/>
    <cellStyle name="Normal 3 10 25 11 2" xfId="25775" xr:uid="{00000000-0005-0000-0000-000020310000}"/>
    <cellStyle name="Normal 3 10 25 12" xfId="8128" xr:uid="{00000000-0005-0000-0000-000021310000}"/>
    <cellStyle name="Normal 3 10 25 12 2" xfId="25776" xr:uid="{00000000-0005-0000-0000-000022310000}"/>
    <cellStyle name="Normal 3 10 25 13" xfId="8129" xr:uid="{00000000-0005-0000-0000-000023310000}"/>
    <cellStyle name="Normal 3 10 25 13 2" xfId="25777" xr:uid="{00000000-0005-0000-0000-000024310000}"/>
    <cellStyle name="Normal 3 10 25 14" xfId="8130" xr:uid="{00000000-0005-0000-0000-000025310000}"/>
    <cellStyle name="Normal 3 10 25 14 2" xfId="25778" xr:uid="{00000000-0005-0000-0000-000026310000}"/>
    <cellStyle name="Normal 3 10 25 15" xfId="25773" xr:uid="{00000000-0005-0000-0000-000027310000}"/>
    <cellStyle name="Normal 3 10 25 2" xfId="8131" xr:uid="{00000000-0005-0000-0000-000028310000}"/>
    <cellStyle name="Normal 3 10 25 2 2" xfId="25779" xr:uid="{00000000-0005-0000-0000-000029310000}"/>
    <cellStyle name="Normal 3 10 25 3" xfId="8132" xr:uid="{00000000-0005-0000-0000-00002A310000}"/>
    <cellStyle name="Normal 3 10 25 3 2" xfId="25780" xr:uid="{00000000-0005-0000-0000-00002B310000}"/>
    <cellStyle name="Normal 3 10 25 4" xfId="8133" xr:uid="{00000000-0005-0000-0000-00002C310000}"/>
    <cellStyle name="Normal 3 10 25 4 2" xfId="25781" xr:uid="{00000000-0005-0000-0000-00002D310000}"/>
    <cellStyle name="Normal 3 10 25 5" xfId="8134" xr:uid="{00000000-0005-0000-0000-00002E310000}"/>
    <cellStyle name="Normal 3 10 25 5 2" xfId="25782" xr:uid="{00000000-0005-0000-0000-00002F310000}"/>
    <cellStyle name="Normal 3 10 25 6" xfId="8135" xr:uid="{00000000-0005-0000-0000-000030310000}"/>
    <cellStyle name="Normal 3 10 25 6 2" xfId="25783" xr:uid="{00000000-0005-0000-0000-000031310000}"/>
    <cellStyle name="Normal 3 10 25 7" xfId="8136" xr:uid="{00000000-0005-0000-0000-000032310000}"/>
    <cellStyle name="Normal 3 10 25 7 2" xfId="25784" xr:uid="{00000000-0005-0000-0000-000033310000}"/>
    <cellStyle name="Normal 3 10 25 8" xfId="8137" xr:uid="{00000000-0005-0000-0000-000034310000}"/>
    <cellStyle name="Normal 3 10 25 8 2" xfId="25785" xr:uid="{00000000-0005-0000-0000-000035310000}"/>
    <cellStyle name="Normal 3 10 25 9" xfId="8138" xr:uid="{00000000-0005-0000-0000-000036310000}"/>
    <cellStyle name="Normal 3 10 25 9 2" xfId="25786" xr:uid="{00000000-0005-0000-0000-000037310000}"/>
    <cellStyle name="Normal 3 10 26" xfId="8139" xr:uid="{00000000-0005-0000-0000-000038310000}"/>
    <cellStyle name="Normal 3 10 26 10" xfId="8140" xr:uid="{00000000-0005-0000-0000-000039310000}"/>
    <cellStyle name="Normal 3 10 26 10 2" xfId="25788" xr:uid="{00000000-0005-0000-0000-00003A310000}"/>
    <cellStyle name="Normal 3 10 26 11" xfId="8141" xr:uid="{00000000-0005-0000-0000-00003B310000}"/>
    <cellStyle name="Normal 3 10 26 11 2" xfId="25789" xr:uid="{00000000-0005-0000-0000-00003C310000}"/>
    <cellStyle name="Normal 3 10 26 12" xfId="8142" xr:uid="{00000000-0005-0000-0000-00003D310000}"/>
    <cellStyle name="Normal 3 10 26 12 2" xfId="25790" xr:uid="{00000000-0005-0000-0000-00003E310000}"/>
    <cellStyle name="Normal 3 10 26 13" xfId="8143" xr:uid="{00000000-0005-0000-0000-00003F310000}"/>
    <cellStyle name="Normal 3 10 26 13 2" xfId="25791" xr:uid="{00000000-0005-0000-0000-000040310000}"/>
    <cellStyle name="Normal 3 10 26 14" xfId="8144" xr:uid="{00000000-0005-0000-0000-000041310000}"/>
    <cellStyle name="Normal 3 10 26 14 2" xfId="25792" xr:uid="{00000000-0005-0000-0000-000042310000}"/>
    <cellStyle name="Normal 3 10 26 15" xfId="25787" xr:uid="{00000000-0005-0000-0000-000043310000}"/>
    <cellStyle name="Normal 3 10 26 2" xfId="8145" xr:uid="{00000000-0005-0000-0000-000044310000}"/>
    <cellStyle name="Normal 3 10 26 2 2" xfId="25793" xr:uid="{00000000-0005-0000-0000-000045310000}"/>
    <cellStyle name="Normal 3 10 26 3" xfId="8146" xr:uid="{00000000-0005-0000-0000-000046310000}"/>
    <cellStyle name="Normal 3 10 26 3 2" xfId="25794" xr:uid="{00000000-0005-0000-0000-000047310000}"/>
    <cellStyle name="Normal 3 10 26 4" xfId="8147" xr:uid="{00000000-0005-0000-0000-000048310000}"/>
    <cellStyle name="Normal 3 10 26 4 2" xfId="25795" xr:uid="{00000000-0005-0000-0000-000049310000}"/>
    <cellStyle name="Normal 3 10 26 5" xfId="8148" xr:uid="{00000000-0005-0000-0000-00004A310000}"/>
    <cellStyle name="Normal 3 10 26 5 2" xfId="25796" xr:uid="{00000000-0005-0000-0000-00004B310000}"/>
    <cellStyle name="Normal 3 10 26 6" xfId="8149" xr:uid="{00000000-0005-0000-0000-00004C310000}"/>
    <cellStyle name="Normal 3 10 26 6 2" xfId="25797" xr:uid="{00000000-0005-0000-0000-00004D310000}"/>
    <cellStyle name="Normal 3 10 26 7" xfId="8150" xr:uid="{00000000-0005-0000-0000-00004E310000}"/>
    <cellStyle name="Normal 3 10 26 7 2" xfId="25798" xr:uid="{00000000-0005-0000-0000-00004F310000}"/>
    <cellStyle name="Normal 3 10 26 8" xfId="8151" xr:uid="{00000000-0005-0000-0000-000050310000}"/>
    <cellStyle name="Normal 3 10 26 8 2" xfId="25799" xr:uid="{00000000-0005-0000-0000-000051310000}"/>
    <cellStyle name="Normal 3 10 26 9" xfId="8152" xr:uid="{00000000-0005-0000-0000-000052310000}"/>
    <cellStyle name="Normal 3 10 26 9 2" xfId="25800" xr:uid="{00000000-0005-0000-0000-000053310000}"/>
    <cellStyle name="Normal 3 10 3" xfId="8153" xr:uid="{00000000-0005-0000-0000-000054310000}"/>
    <cellStyle name="Normal 3 10 4" xfId="8154" xr:uid="{00000000-0005-0000-0000-000055310000}"/>
    <cellStyle name="Normal 3 10 5" xfId="8155" xr:uid="{00000000-0005-0000-0000-000056310000}"/>
    <cellStyle name="Normal 3 10 6" xfId="8156" xr:uid="{00000000-0005-0000-0000-000057310000}"/>
    <cellStyle name="Normal 3 10 7" xfId="8157" xr:uid="{00000000-0005-0000-0000-000058310000}"/>
    <cellStyle name="Normal 3 10 8" xfId="8158" xr:uid="{00000000-0005-0000-0000-000059310000}"/>
    <cellStyle name="Normal 3 10 9" xfId="8159" xr:uid="{00000000-0005-0000-0000-00005A310000}"/>
    <cellStyle name="Normal 3 11" xfId="8160" xr:uid="{00000000-0005-0000-0000-00005B310000}"/>
    <cellStyle name="Normal 3 11 10" xfId="8161" xr:uid="{00000000-0005-0000-0000-00005C310000}"/>
    <cellStyle name="Normal 3 11 11" xfId="8162" xr:uid="{00000000-0005-0000-0000-00005D310000}"/>
    <cellStyle name="Normal 3 11 11 10" xfId="8163" xr:uid="{00000000-0005-0000-0000-00005E310000}"/>
    <cellStyle name="Normal 3 11 11 10 2" xfId="25802" xr:uid="{00000000-0005-0000-0000-00005F310000}"/>
    <cellStyle name="Normal 3 11 11 11" xfId="8164" xr:uid="{00000000-0005-0000-0000-000060310000}"/>
    <cellStyle name="Normal 3 11 11 11 2" xfId="25803" xr:uid="{00000000-0005-0000-0000-000061310000}"/>
    <cellStyle name="Normal 3 11 11 12" xfId="8165" xr:uid="{00000000-0005-0000-0000-000062310000}"/>
    <cellStyle name="Normal 3 11 11 12 2" xfId="25804" xr:uid="{00000000-0005-0000-0000-000063310000}"/>
    <cellStyle name="Normal 3 11 11 13" xfId="8166" xr:uid="{00000000-0005-0000-0000-000064310000}"/>
    <cellStyle name="Normal 3 11 11 13 2" xfId="25805" xr:uid="{00000000-0005-0000-0000-000065310000}"/>
    <cellStyle name="Normal 3 11 11 14" xfId="8167" xr:uid="{00000000-0005-0000-0000-000066310000}"/>
    <cellStyle name="Normal 3 11 11 14 2" xfId="25806" xr:uid="{00000000-0005-0000-0000-000067310000}"/>
    <cellStyle name="Normal 3 11 11 15" xfId="8168" xr:uid="{00000000-0005-0000-0000-000068310000}"/>
    <cellStyle name="Normal 3 11 11 15 2" xfId="25807" xr:uid="{00000000-0005-0000-0000-000069310000}"/>
    <cellStyle name="Normal 3 11 11 16" xfId="8169" xr:uid="{00000000-0005-0000-0000-00006A310000}"/>
    <cellStyle name="Normal 3 11 11 16 2" xfId="25808" xr:uid="{00000000-0005-0000-0000-00006B310000}"/>
    <cellStyle name="Normal 3 11 11 17" xfId="8170" xr:uid="{00000000-0005-0000-0000-00006C310000}"/>
    <cellStyle name="Normal 3 11 11 17 2" xfId="25809" xr:uid="{00000000-0005-0000-0000-00006D310000}"/>
    <cellStyle name="Normal 3 11 11 18" xfId="25801" xr:uid="{00000000-0005-0000-0000-00006E310000}"/>
    <cellStyle name="Normal 3 11 11 2" xfId="8171" xr:uid="{00000000-0005-0000-0000-00006F310000}"/>
    <cellStyle name="Normal 3 11 11 3" xfId="8172" xr:uid="{00000000-0005-0000-0000-000070310000}"/>
    <cellStyle name="Normal 3 11 11 4" xfId="8173" xr:uid="{00000000-0005-0000-0000-000071310000}"/>
    <cellStyle name="Normal 3 11 11 5" xfId="8174" xr:uid="{00000000-0005-0000-0000-000072310000}"/>
    <cellStyle name="Normal 3 11 11 5 2" xfId="25810" xr:uid="{00000000-0005-0000-0000-000073310000}"/>
    <cellStyle name="Normal 3 11 11 6" xfId="8175" xr:uid="{00000000-0005-0000-0000-000074310000}"/>
    <cellStyle name="Normal 3 11 11 6 2" xfId="25811" xr:uid="{00000000-0005-0000-0000-000075310000}"/>
    <cellStyle name="Normal 3 11 11 7" xfId="8176" xr:uid="{00000000-0005-0000-0000-000076310000}"/>
    <cellStyle name="Normal 3 11 11 7 2" xfId="25812" xr:uid="{00000000-0005-0000-0000-000077310000}"/>
    <cellStyle name="Normal 3 11 11 8" xfId="8177" xr:uid="{00000000-0005-0000-0000-000078310000}"/>
    <cellStyle name="Normal 3 11 11 8 2" xfId="25813" xr:uid="{00000000-0005-0000-0000-000079310000}"/>
    <cellStyle name="Normal 3 11 11 9" xfId="8178" xr:uid="{00000000-0005-0000-0000-00007A310000}"/>
    <cellStyle name="Normal 3 11 11 9 2" xfId="25814" xr:uid="{00000000-0005-0000-0000-00007B310000}"/>
    <cellStyle name="Normal 3 11 12" xfId="8179" xr:uid="{00000000-0005-0000-0000-00007C310000}"/>
    <cellStyle name="Normal 3 11 13" xfId="8180" xr:uid="{00000000-0005-0000-0000-00007D310000}"/>
    <cellStyle name="Normal 3 11 14" xfId="8181" xr:uid="{00000000-0005-0000-0000-00007E310000}"/>
    <cellStyle name="Normal 3 11 14 10" xfId="8182" xr:uid="{00000000-0005-0000-0000-00007F310000}"/>
    <cellStyle name="Normal 3 11 14 10 2" xfId="25816" xr:uid="{00000000-0005-0000-0000-000080310000}"/>
    <cellStyle name="Normal 3 11 14 11" xfId="8183" xr:uid="{00000000-0005-0000-0000-000081310000}"/>
    <cellStyle name="Normal 3 11 14 11 2" xfId="25817" xr:uid="{00000000-0005-0000-0000-000082310000}"/>
    <cellStyle name="Normal 3 11 14 12" xfId="8184" xr:uid="{00000000-0005-0000-0000-000083310000}"/>
    <cellStyle name="Normal 3 11 14 12 2" xfId="25818" xr:uid="{00000000-0005-0000-0000-000084310000}"/>
    <cellStyle name="Normal 3 11 14 13" xfId="8185" xr:uid="{00000000-0005-0000-0000-000085310000}"/>
    <cellStyle name="Normal 3 11 14 13 2" xfId="25819" xr:uid="{00000000-0005-0000-0000-000086310000}"/>
    <cellStyle name="Normal 3 11 14 14" xfId="8186" xr:uid="{00000000-0005-0000-0000-000087310000}"/>
    <cellStyle name="Normal 3 11 14 14 2" xfId="25820" xr:uid="{00000000-0005-0000-0000-000088310000}"/>
    <cellStyle name="Normal 3 11 14 15" xfId="8187" xr:uid="{00000000-0005-0000-0000-000089310000}"/>
    <cellStyle name="Normal 3 11 14 15 2" xfId="25821" xr:uid="{00000000-0005-0000-0000-00008A310000}"/>
    <cellStyle name="Normal 3 11 14 16" xfId="25815" xr:uid="{00000000-0005-0000-0000-00008B310000}"/>
    <cellStyle name="Normal 3 11 14 2" xfId="8188" xr:uid="{00000000-0005-0000-0000-00008C310000}"/>
    <cellStyle name="Normal 3 11 14 2 10" xfId="8189" xr:uid="{00000000-0005-0000-0000-00008D310000}"/>
    <cellStyle name="Normal 3 11 14 2 10 2" xfId="25823" xr:uid="{00000000-0005-0000-0000-00008E310000}"/>
    <cellStyle name="Normal 3 11 14 2 11" xfId="8190" xr:uid="{00000000-0005-0000-0000-00008F310000}"/>
    <cellStyle name="Normal 3 11 14 2 11 2" xfId="25824" xr:uid="{00000000-0005-0000-0000-000090310000}"/>
    <cellStyle name="Normal 3 11 14 2 12" xfId="8191" xr:uid="{00000000-0005-0000-0000-000091310000}"/>
    <cellStyle name="Normal 3 11 14 2 12 2" xfId="25825" xr:uid="{00000000-0005-0000-0000-000092310000}"/>
    <cellStyle name="Normal 3 11 14 2 13" xfId="8192" xr:uid="{00000000-0005-0000-0000-000093310000}"/>
    <cellStyle name="Normal 3 11 14 2 13 2" xfId="25826" xr:uid="{00000000-0005-0000-0000-000094310000}"/>
    <cellStyle name="Normal 3 11 14 2 14" xfId="8193" xr:uid="{00000000-0005-0000-0000-000095310000}"/>
    <cellStyle name="Normal 3 11 14 2 14 2" xfId="25827" xr:uid="{00000000-0005-0000-0000-000096310000}"/>
    <cellStyle name="Normal 3 11 14 2 15" xfId="25822" xr:uid="{00000000-0005-0000-0000-000097310000}"/>
    <cellStyle name="Normal 3 11 14 2 2" xfId="8194" xr:uid="{00000000-0005-0000-0000-000098310000}"/>
    <cellStyle name="Normal 3 11 14 2 2 2" xfId="25828" xr:uid="{00000000-0005-0000-0000-000099310000}"/>
    <cellStyle name="Normal 3 11 14 2 3" xfId="8195" xr:uid="{00000000-0005-0000-0000-00009A310000}"/>
    <cellStyle name="Normal 3 11 14 2 3 2" xfId="25829" xr:uid="{00000000-0005-0000-0000-00009B310000}"/>
    <cellStyle name="Normal 3 11 14 2 4" xfId="8196" xr:uid="{00000000-0005-0000-0000-00009C310000}"/>
    <cellStyle name="Normal 3 11 14 2 4 2" xfId="25830" xr:uid="{00000000-0005-0000-0000-00009D310000}"/>
    <cellStyle name="Normal 3 11 14 2 5" xfId="8197" xr:uid="{00000000-0005-0000-0000-00009E310000}"/>
    <cellStyle name="Normal 3 11 14 2 5 2" xfId="25831" xr:uid="{00000000-0005-0000-0000-00009F310000}"/>
    <cellStyle name="Normal 3 11 14 2 6" xfId="8198" xr:uid="{00000000-0005-0000-0000-0000A0310000}"/>
    <cellStyle name="Normal 3 11 14 2 6 2" xfId="25832" xr:uid="{00000000-0005-0000-0000-0000A1310000}"/>
    <cellStyle name="Normal 3 11 14 2 7" xfId="8199" xr:uid="{00000000-0005-0000-0000-0000A2310000}"/>
    <cellStyle name="Normal 3 11 14 2 7 2" xfId="25833" xr:uid="{00000000-0005-0000-0000-0000A3310000}"/>
    <cellStyle name="Normal 3 11 14 2 8" xfId="8200" xr:uid="{00000000-0005-0000-0000-0000A4310000}"/>
    <cellStyle name="Normal 3 11 14 2 8 2" xfId="25834" xr:uid="{00000000-0005-0000-0000-0000A5310000}"/>
    <cellStyle name="Normal 3 11 14 2 9" xfId="8201" xr:uid="{00000000-0005-0000-0000-0000A6310000}"/>
    <cellStyle name="Normal 3 11 14 2 9 2" xfId="25835" xr:uid="{00000000-0005-0000-0000-0000A7310000}"/>
    <cellStyle name="Normal 3 11 14 3" xfId="8202" xr:uid="{00000000-0005-0000-0000-0000A8310000}"/>
    <cellStyle name="Normal 3 11 14 3 2" xfId="25836" xr:uid="{00000000-0005-0000-0000-0000A9310000}"/>
    <cellStyle name="Normal 3 11 14 4" xfId="8203" xr:uid="{00000000-0005-0000-0000-0000AA310000}"/>
    <cellStyle name="Normal 3 11 14 4 2" xfId="25837" xr:uid="{00000000-0005-0000-0000-0000AB310000}"/>
    <cellStyle name="Normal 3 11 14 5" xfId="8204" xr:uid="{00000000-0005-0000-0000-0000AC310000}"/>
    <cellStyle name="Normal 3 11 14 5 2" xfId="25838" xr:uid="{00000000-0005-0000-0000-0000AD310000}"/>
    <cellStyle name="Normal 3 11 14 6" xfId="8205" xr:uid="{00000000-0005-0000-0000-0000AE310000}"/>
    <cellStyle name="Normal 3 11 14 6 2" xfId="25839" xr:uid="{00000000-0005-0000-0000-0000AF310000}"/>
    <cellStyle name="Normal 3 11 14 7" xfId="8206" xr:uid="{00000000-0005-0000-0000-0000B0310000}"/>
    <cellStyle name="Normal 3 11 14 7 2" xfId="25840" xr:uid="{00000000-0005-0000-0000-0000B1310000}"/>
    <cellStyle name="Normal 3 11 14 8" xfId="8207" xr:uid="{00000000-0005-0000-0000-0000B2310000}"/>
    <cellStyle name="Normal 3 11 14 8 2" xfId="25841" xr:uid="{00000000-0005-0000-0000-0000B3310000}"/>
    <cellStyle name="Normal 3 11 14 9" xfId="8208" xr:uid="{00000000-0005-0000-0000-0000B4310000}"/>
    <cellStyle name="Normal 3 11 14 9 2" xfId="25842" xr:uid="{00000000-0005-0000-0000-0000B5310000}"/>
    <cellStyle name="Normal 3 11 15" xfId="8209" xr:uid="{00000000-0005-0000-0000-0000B6310000}"/>
    <cellStyle name="Normal 3 11 15 10" xfId="8210" xr:uid="{00000000-0005-0000-0000-0000B7310000}"/>
    <cellStyle name="Normal 3 11 15 10 2" xfId="25844" xr:uid="{00000000-0005-0000-0000-0000B8310000}"/>
    <cellStyle name="Normal 3 11 15 11" xfId="8211" xr:uid="{00000000-0005-0000-0000-0000B9310000}"/>
    <cellStyle name="Normal 3 11 15 11 2" xfId="25845" xr:uid="{00000000-0005-0000-0000-0000BA310000}"/>
    <cellStyle name="Normal 3 11 15 12" xfId="8212" xr:uid="{00000000-0005-0000-0000-0000BB310000}"/>
    <cellStyle name="Normal 3 11 15 12 2" xfId="25846" xr:uid="{00000000-0005-0000-0000-0000BC310000}"/>
    <cellStyle name="Normal 3 11 15 13" xfId="8213" xr:uid="{00000000-0005-0000-0000-0000BD310000}"/>
    <cellStyle name="Normal 3 11 15 13 2" xfId="25847" xr:uid="{00000000-0005-0000-0000-0000BE310000}"/>
    <cellStyle name="Normal 3 11 15 14" xfId="8214" xr:uid="{00000000-0005-0000-0000-0000BF310000}"/>
    <cellStyle name="Normal 3 11 15 14 2" xfId="25848" xr:uid="{00000000-0005-0000-0000-0000C0310000}"/>
    <cellStyle name="Normal 3 11 15 15" xfId="8215" xr:uid="{00000000-0005-0000-0000-0000C1310000}"/>
    <cellStyle name="Normal 3 11 15 15 2" xfId="25849" xr:uid="{00000000-0005-0000-0000-0000C2310000}"/>
    <cellStyle name="Normal 3 11 15 16" xfId="25843" xr:uid="{00000000-0005-0000-0000-0000C3310000}"/>
    <cellStyle name="Normal 3 11 15 2" xfId="8216" xr:uid="{00000000-0005-0000-0000-0000C4310000}"/>
    <cellStyle name="Normal 3 11 15 2 10" xfId="8217" xr:uid="{00000000-0005-0000-0000-0000C5310000}"/>
    <cellStyle name="Normal 3 11 15 2 10 2" xfId="25851" xr:uid="{00000000-0005-0000-0000-0000C6310000}"/>
    <cellStyle name="Normal 3 11 15 2 11" xfId="8218" xr:uid="{00000000-0005-0000-0000-0000C7310000}"/>
    <cellStyle name="Normal 3 11 15 2 11 2" xfId="25852" xr:uid="{00000000-0005-0000-0000-0000C8310000}"/>
    <cellStyle name="Normal 3 11 15 2 12" xfId="8219" xr:uid="{00000000-0005-0000-0000-0000C9310000}"/>
    <cellStyle name="Normal 3 11 15 2 12 2" xfId="25853" xr:uid="{00000000-0005-0000-0000-0000CA310000}"/>
    <cellStyle name="Normal 3 11 15 2 13" xfId="8220" xr:uid="{00000000-0005-0000-0000-0000CB310000}"/>
    <cellStyle name="Normal 3 11 15 2 13 2" xfId="25854" xr:uid="{00000000-0005-0000-0000-0000CC310000}"/>
    <cellStyle name="Normal 3 11 15 2 14" xfId="8221" xr:uid="{00000000-0005-0000-0000-0000CD310000}"/>
    <cellStyle name="Normal 3 11 15 2 14 2" xfId="25855" xr:uid="{00000000-0005-0000-0000-0000CE310000}"/>
    <cellStyle name="Normal 3 11 15 2 15" xfId="25850" xr:uid="{00000000-0005-0000-0000-0000CF310000}"/>
    <cellStyle name="Normal 3 11 15 2 2" xfId="8222" xr:uid="{00000000-0005-0000-0000-0000D0310000}"/>
    <cellStyle name="Normal 3 11 15 2 2 2" xfId="25856" xr:uid="{00000000-0005-0000-0000-0000D1310000}"/>
    <cellStyle name="Normal 3 11 15 2 3" xfId="8223" xr:uid="{00000000-0005-0000-0000-0000D2310000}"/>
    <cellStyle name="Normal 3 11 15 2 3 2" xfId="25857" xr:uid="{00000000-0005-0000-0000-0000D3310000}"/>
    <cellStyle name="Normal 3 11 15 2 4" xfId="8224" xr:uid="{00000000-0005-0000-0000-0000D4310000}"/>
    <cellStyle name="Normal 3 11 15 2 4 2" xfId="25858" xr:uid="{00000000-0005-0000-0000-0000D5310000}"/>
    <cellStyle name="Normal 3 11 15 2 5" xfId="8225" xr:uid="{00000000-0005-0000-0000-0000D6310000}"/>
    <cellStyle name="Normal 3 11 15 2 5 2" xfId="25859" xr:uid="{00000000-0005-0000-0000-0000D7310000}"/>
    <cellStyle name="Normal 3 11 15 2 6" xfId="8226" xr:uid="{00000000-0005-0000-0000-0000D8310000}"/>
    <cellStyle name="Normal 3 11 15 2 6 2" xfId="25860" xr:uid="{00000000-0005-0000-0000-0000D9310000}"/>
    <cellStyle name="Normal 3 11 15 2 7" xfId="8227" xr:uid="{00000000-0005-0000-0000-0000DA310000}"/>
    <cellStyle name="Normal 3 11 15 2 7 2" xfId="25861" xr:uid="{00000000-0005-0000-0000-0000DB310000}"/>
    <cellStyle name="Normal 3 11 15 2 8" xfId="8228" xr:uid="{00000000-0005-0000-0000-0000DC310000}"/>
    <cellStyle name="Normal 3 11 15 2 8 2" xfId="25862" xr:uid="{00000000-0005-0000-0000-0000DD310000}"/>
    <cellStyle name="Normal 3 11 15 2 9" xfId="8229" xr:uid="{00000000-0005-0000-0000-0000DE310000}"/>
    <cellStyle name="Normal 3 11 15 2 9 2" xfId="25863" xr:uid="{00000000-0005-0000-0000-0000DF310000}"/>
    <cellStyle name="Normal 3 11 15 3" xfId="8230" xr:uid="{00000000-0005-0000-0000-0000E0310000}"/>
    <cellStyle name="Normal 3 11 15 3 2" xfId="25864" xr:uid="{00000000-0005-0000-0000-0000E1310000}"/>
    <cellStyle name="Normal 3 11 15 4" xfId="8231" xr:uid="{00000000-0005-0000-0000-0000E2310000}"/>
    <cellStyle name="Normal 3 11 15 4 2" xfId="25865" xr:uid="{00000000-0005-0000-0000-0000E3310000}"/>
    <cellStyle name="Normal 3 11 15 5" xfId="8232" xr:uid="{00000000-0005-0000-0000-0000E4310000}"/>
    <cellStyle name="Normal 3 11 15 5 2" xfId="25866" xr:uid="{00000000-0005-0000-0000-0000E5310000}"/>
    <cellStyle name="Normal 3 11 15 6" xfId="8233" xr:uid="{00000000-0005-0000-0000-0000E6310000}"/>
    <cellStyle name="Normal 3 11 15 6 2" xfId="25867" xr:uid="{00000000-0005-0000-0000-0000E7310000}"/>
    <cellStyle name="Normal 3 11 15 7" xfId="8234" xr:uid="{00000000-0005-0000-0000-0000E8310000}"/>
    <cellStyle name="Normal 3 11 15 7 2" xfId="25868" xr:uid="{00000000-0005-0000-0000-0000E9310000}"/>
    <cellStyle name="Normal 3 11 15 8" xfId="8235" xr:uid="{00000000-0005-0000-0000-0000EA310000}"/>
    <cellStyle name="Normal 3 11 15 8 2" xfId="25869" xr:uid="{00000000-0005-0000-0000-0000EB310000}"/>
    <cellStyle name="Normal 3 11 15 9" xfId="8236" xr:uid="{00000000-0005-0000-0000-0000EC310000}"/>
    <cellStyle name="Normal 3 11 15 9 2" xfId="25870" xr:uid="{00000000-0005-0000-0000-0000ED310000}"/>
    <cellStyle name="Normal 3 11 16" xfId="8237" xr:uid="{00000000-0005-0000-0000-0000EE310000}"/>
    <cellStyle name="Normal 3 11 16 10" xfId="8238" xr:uid="{00000000-0005-0000-0000-0000EF310000}"/>
    <cellStyle name="Normal 3 11 16 10 2" xfId="25872" xr:uid="{00000000-0005-0000-0000-0000F0310000}"/>
    <cellStyle name="Normal 3 11 16 11" xfId="8239" xr:uid="{00000000-0005-0000-0000-0000F1310000}"/>
    <cellStyle name="Normal 3 11 16 11 2" xfId="25873" xr:uid="{00000000-0005-0000-0000-0000F2310000}"/>
    <cellStyle name="Normal 3 11 16 12" xfId="8240" xr:uid="{00000000-0005-0000-0000-0000F3310000}"/>
    <cellStyle name="Normal 3 11 16 12 2" xfId="25874" xr:uid="{00000000-0005-0000-0000-0000F4310000}"/>
    <cellStyle name="Normal 3 11 16 13" xfId="8241" xr:uid="{00000000-0005-0000-0000-0000F5310000}"/>
    <cellStyle name="Normal 3 11 16 13 2" xfId="25875" xr:uid="{00000000-0005-0000-0000-0000F6310000}"/>
    <cellStyle name="Normal 3 11 16 14" xfId="8242" xr:uid="{00000000-0005-0000-0000-0000F7310000}"/>
    <cellStyle name="Normal 3 11 16 14 2" xfId="25876" xr:uid="{00000000-0005-0000-0000-0000F8310000}"/>
    <cellStyle name="Normal 3 11 16 15" xfId="8243" xr:uid="{00000000-0005-0000-0000-0000F9310000}"/>
    <cellStyle name="Normal 3 11 16 15 2" xfId="25877" xr:uid="{00000000-0005-0000-0000-0000FA310000}"/>
    <cellStyle name="Normal 3 11 16 16" xfId="25871" xr:uid="{00000000-0005-0000-0000-0000FB310000}"/>
    <cellStyle name="Normal 3 11 16 2" xfId="8244" xr:uid="{00000000-0005-0000-0000-0000FC310000}"/>
    <cellStyle name="Normal 3 11 16 2 10" xfId="8245" xr:uid="{00000000-0005-0000-0000-0000FD310000}"/>
    <cellStyle name="Normal 3 11 16 2 10 2" xfId="25879" xr:uid="{00000000-0005-0000-0000-0000FE310000}"/>
    <cellStyle name="Normal 3 11 16 2 11" xfId="8246" xr:uid="{00000000-0005-0000-0000-0000FF310000}"/>
    <cellStyle name="Normal 3 11 16 2 11 2" xfId="25880" xr:uid="{00000000-0005-0000-0000-000000320000}"/>
    <cellStyle name="Normal 3 11 16 2 12" xfId="8247" xr:uid="{00000000-0005-0000-0000-000001320000}"/>
    <cellStyle name="Normal 3 11 16 2 12 2" xfId="25881" xr:uid="{00000000-0005-0000-0000-000002320000}"/>
    <cellStyle name="Normal 3 11 16 2 13" xfId="8248" xr:uid="{00000000-0005-0000-0000-000003320000}"/>
    <cellStyle name="Normal 3 11 16 2 13 2" xfId="25882" xr:uid="{00000000-0005-0000-0000-000004320000}"/>
    <cellStyle name="Normal 3 11 16 2 14" xfId="8249" xr:uid="{00000000-0005-0000-0000-000005320000}"/>
    <cellStyle name="Normal 3 11 16 2 14 2" xfId="25883" xr:uid="{00000000-0005-0000-0000-000006320000}"/>
    <cellStyle name="Normal 3 11 16 2 15" xfId="25878" xr:uid="{00000000-0005-0000-0000-000007320000}"/>
    <cellStyle name="Normal 3 11 16 2 2" xfId="8250" xr:uid="{00000000-0005-0000-0000-000008320000}"/>
    <cellStyle name="Normal 3 11 16 2 2 2" xfId="25884" xr:uid="{00000000-0005-0000-0000-000009320000}"/>
    <cellStyle name="Normal 3 11 16 2 3" xfId="8251" xr:uid="{00000000-0005-0000-0000-00000A320000}"/>
    <cellStyle name="Normal 3 11 16 2 3 2" xfId="25885" xr:uid="{00000000-0005-0000-0000-00000B320000}"/>
    <cellStyle name="Normal 3 11 16 2 4" xfId="8252" xr:uid="{00000000-0005-0000-0000-00000C320000}"/>
    <cellStyle name="Normal 3 11 16 2 4 2" xfId="25886" xr:uid="{00000000-0005-0000-0000-00000D320000}"/>
    <cellStyle name="Normal 3 11 16 2 5" xfId="8253" xr:uid="{00000000-0005-0000-0000-00000E320000}"/>
    <cellStyle name="Normal 3 11 16 2 5 2" xfId="25887" xr:uid="{00000000-0005-0000-0000-00000F320000}"/>
    <cellStyle name="Normal 3 11 16 2 6" xfId="8254" xr:uid="{00000000-0005-0000-0000-000010320000}"/>
    <cellStyle name="Normal 3 11 16 2 6 2" xfId="25888" xr:uid="{00000000-0005-0000-0000-000011320000}"/>
    <cellStyle name="Normal 3 11 16 2 7" xfId="8255" xr:uid="{00000000-0005-0000-0000-000012320000}"/>
    <cellStyle name="Normal 3 11 16 2 7 2" xfId="25889" xr:uid="{00000000-0005-0000-0000-000013320000}"/>
    <cellStyle name="Normal 3 11 16 2 8" xfId="8256" xr:uid="{00000000-0005-0000-0000-000014320000}"/>
    <cellStyle name="Normal 3 11 16 2 8 2" xfId="25890" xr:uid="{00000000-0005-0000-0000-000015320000}"/>
    <cellStyle name="Normal 3 11 16 2 9" xfId="8257" xr:uid="{00000000-0005-0000-0000-000016320000}"/>
    <cellStyle name="Normal 3 11 16 2 9 2" xfId="25891" xr:uid="{00000000-0005-0000-0000-000017320000}"/>
    <cellStyle name="Normal 3 11 16 3" xfId="8258" xr:uid="{00000000-0005-0000-0000-000018320000}"/>
    <cellStyle name="Normal 3 11 16 3 2" xfId="25892" xr:uid="{00000000-0005-0000-0000-000019320000}"/>
    <cellStyle name="Normal 3 11 16 4" xfId="8259" xr:uid="{00000000-0005-0000-0000-00001A320000}"/>
    <cellStyle name="Normal 3 11 16 4 2" xfId="25893" xr:uid="{00000000-0005-0000-0000-00001B320000}"/>
    <cellStyle name="Normal 3 11 16 5" xfId="8260" xr:uid="{00000000-0005-0000-0000-00001C320000}"/>
    <cellStyle name="Normal 3 11 16 5 2" xfId="25894" xr:uid="{00000000-0005-0000-0000-00001D320000}"/>
    <cellStyle name="Normal 3 11 16 6" xfId="8261" xr:uid="{00000000-0005-0000-0000-00001E320000}"/>
    <cellStyle name="Normal 3 11 16 6 2" xfId="25895" xr:uid="{00000000-0005-0000-0000-00001F320000}"/>
    <cellStyle name="Normal 3 11 16 7" xfId="8262" xr:uid="{00000000-0005-0000-0000-000020320000}"/>
    <cellStyle name="Normal 3 11 16 7 2" xfId="25896" xr:uid="{00000000-0005-0000-0000-000021320000}"/>
    <cellStyle name="Normal 3 11 16 8" xfId="8263" xr:uid="{00000000-0005-0000-0000-000022320000}"/>
    <cellStyle name="Normal 3 11 16 8 2" xfId="25897" xr:uid="{00000000-0005-0000-0000-000023320000}"/>
    <cellStyle name="Normal 3 11 16 9" xfId="8264" xr:uid="{00000000-0005-0000-0000-000024320000}"/>
    <cellStyle name="Normal 3 11 16 9 2" xfId="25898" xr:uid="{00000000-0005-0000-0000-000025320000}"/>
    <cellStyle name="Normal 3 11 17" xfId="8265" xr:uid="{00000000-0005-0000-0000-000026320000}"/>
    <cellStyle name="Normal 3 11 17 10" xfId="8266" xr:uid="{00000000-0005-0000-0000-000027320000}"/>
    <cellStyle name="Normal 3 11 17 10 2" xfId="25900" xr:uid="{00000000-0005-0000-0000-000028320000}"/>
    <cellStyle name="Normal 3 11 17 11" xfId="8267" xr:uid="{00000000-0005-0000-0000-000029320000}"/>
    <cellStyle name="Normal 3 11 17 11 2" xfId="25901" xr:uid="{00000000-0005-0000-0000-00002A320000}"/>
    <cellStyle name="Normal 3 11 17 12" xfId="8268" xr:uid="{00000000-0005-0000-0000-00002B320000}"/>
    <cellStyle name="Normal 3 11 17 12 2" xfId="25902" xr:uid="{00000000-0005-0000-0000-00002C320000}"/>
    <cellStyle name="Normal 3 11 17 13" xfId="8269" xr:uid="{00000000-0005-0000-0000-00002D320000}"/>
    <cellStyle name="Normal 3 11 17 13 2" xfId="25903" xr:uid="{00000000-0005-0000-0000-00002E320000}"/>
    <cellStyle name="Normal 3 11 17 14" xfId="8270" xr:uid="{00000000-0005-0000-0000-00002F320000}"/>
    <cellStyle name="Normal 3 11 17 14 2" xfId="25904" xr:uid="{00000000-0005-0000-0000-000030320000}"/>
    <cellStyle name="Normal 3 11 17 15" xfId="25899" xr:uid="{00000000-0005-0000-0000-000031320000}"/>
    <cellStyle name="Normal 3 11 17 2" xfId="8271" xr:uid="{00000000-0005-0000-0000-000032320000}"/>
    <cellStyle name="Normal 3 11 17 2 2" xfId="25905" xr:uid="{00000000-0005-0000-0000-000033320000}"/>
    <cellStyle name="Normal 3 11 17 3" xfId="8272" xr:uid="{00000000-0005-0000-0000-000034320000}"/>
    <cellStyle name="Normal 3 11 17 3 2" xfId="25906" xr:uid="{00000000-0005-0000-0000-000035320000}"/>
    <cellStyle name="Normal 3 11 17 4" xfId="8273" xr:uid="{00000000-0005-0000-0000-000036320000}"/>
    <cellStyle name="Normal 3 11 17 4 2" xfId="25907" xr:uid="{00000000-0005-0000-0000-000037320000}"/>
    <cellStyle name="Normal 3 11 17 5" xfId="8274" xr:uid="{00000000-0005-0000-0000-000038320000}"/>
    <cellStyle name="Normal 3 11 17 5 2" xfId="25908" xr:uid="{00000000-0005-0000-0000-000039320000}"/>
    <cellStyle name="Normal 3 11 17 6" xfId="8275" xr:uid="{00000000-0005-0000-0000-00003A320000}"/>
    <cellStyle name="Normal 3 11 17 6 2" xfId="25909" xr:uid="{00000000-0005-0000-0000-00003B320000}"/>
    <cellStyle name="Normal 3 11 17 7" xfId="8276" xr:uid="{00000000-0005-0000-0000-00003C320000}"/>
    <cellStyle name="Normal 3 11 17 7 2" xfId="25910" xr:uid="{00000000-0005-0000-0000-00003D320000}"/>
    <cellStyle name="Normal 3 11 17 8" xfId="8277" xr:uid="{00000000-0005-0000-0000-00003E320000}"/>
    <cellStyle name="Normal 3 11 17 8 2" xfId="25911" xr:uid="{00000000-0005-0000-0000-00003F320000}"/>
    <cellStyle name="Normal 3 11 17 9" xfId="8278" xr:uid="{00000000-0005-0000-0000-000040320000}"/>
    <cellStyle name="Normal 3 11 17 9 2" xfId="25912" xr:uid="{00000000-0005-0000-0000-000041320000}"/>
    <cellStyle name="Normal 3 11 18" xfId="8279" xr:uid="{00000000-0005-0000-0000-000042320000}"/>
    <cellStyle name="Normal 3 11 18 10" xfId="8280" xr:uid="{00000000-0005-0000-0000-000043320000}"/>
    <cellStyle name="Normal 3 11 18 10 2" xfId="25914" xr:uid="{00000000-0005-0000-0000-000044320000}"/>
    <cellStyle name="Normal 3 11 18 11" xfId="8281" xr:uid="{00000000-0005-0000-0000-000045320000}"/>
    <cellStyle name="Normal 3 11 18 11 2" xfId="25915" xr:uid="{00000000-0005-0000-0000-000046320000}"/>
    <cellStyle name="Normal 3 11 18 12" xfId="8282" xr:uid="{00000000-0005-0000-0000-000047320000}"/>
    <cellStyle name="Normal 3 11 18 12 2" xfId="25916" xr:uid="{00000000-0005-0000-0000-000048320000}"/>
    <cellStyle name="Normal 3 11 18 13" xfId="8283" xr:uid="{00000000-0005-0000-0000-000049320000}"/>
    <cellStyle name="Normal 3 11 18 13 2" xfId="25917" xr:uid="{00000000-0005-0000-0000-00004A320000}"/>
    <cellStyle name="Normal 3 11 18 14" xfId="8284" xr:uid="{00000000-0005-0000-0000-00004B320000}"/>
    <cellStyle name="Normal 3 11 18 14 2" xfId="25918" xr:uid="{00000000-0005-0000-0000-00004C320000}"/>
    <cellStyle name="Normal 3 11 18 15" xfId="25913" xr:uid="{00000000-0005-0000-0000-00004D320000}"/>
    <cellStyle name="Normal 3 11 18 2" xfId="8285" xr:uid="{00000000-0005-0000-0000-00004E320000}"/>
    <cellStyle name="Normal 3 11 18 2 2" xfId="25919" xr:uid="{00000000-0005-0000-0000-00004F320000}"/>
    <cellStyle name="Normal 3 11 18 3" xfId="8286" xr:uid="{00000000-0005-0000-0000-000050320000}"/>
    <cellStyle name="Normal 3 11 18 3 2" xfId="25920" xr:uid="{00000000-0005-0000-0000-000051320000}"/>
    <cellStyle name="Normal 3 11 18 4" xfId="8287" xr:uid="{00000000-0005-0000-0000-000052320000}"/>
    <cellStyle name="Normal 3 11 18 4 2" xfId="25921" xr:uid="{00000000-0005-0000-0000-000053320000}"/>
    <cellStyle name="Normal 3 11 18 5" xfId="8288" xr:uid="{00000000-0005-0000-0000-000054320000}"/>
    <cellStyle name="Normal 3 11 18 5 2" xfId="25922" xr:uid="{00000000-0005-0000-0000-000055320000}"/>
    <cellStyle name="Normal 3 11 18 6" xfId="8289" xr:uid="{00000000-0005-0000-0000-000056320000}"/>
    <cellStyle name="Normal 3 11 18 6 2" xfId="25923" xr:uid="{00000000-0005-0000-0000-000057320000}"/>
    <cellStyle name="Normal 3 11 18 7" xfId="8290" xr:uid="{00000000-0005-0000-0000-000058320000}"/>
    <cellStyle name="Normal 3 11 18 7 2" xfId="25924" xr:uid="{00000000-0005-0000-0000-000059320000}"/>
    <cellStyle name="Normal 3 11 18 8" xfId="8291" xr:uid="{00000000-0005-0000-0000-00005A320000}"/>
    <cellStyle name="Normal 3 11 18 8 2" xfId="25925" xr:uid="{00000000-0005-0000-0000-00005B320000}"/>
    <cellStyle name="Normal 3 11 18 9" xfId="8292" xr:uid="{00000000-0005-0000-0000-00005C320000}"/>
    <cellStyle name="Normal 3 11 18 9 2" xfId="25926" xr:uid="{00000000-0005-0000-0000-00005D320000}"/>
    <cellStyle name="Normal 3 11 19" xfId="8293" xr:uid="{00000000-0005-0000-0000-00005E320000}"/>
    <cellStyle name="Normal 3 11 19 10" xfId="8294" xr:uid="{00000000-0005-0000-0000-00005F320000}"/>
    <cellStyle name="Normal 3 11 19 10 2" xfId="25928" xr:uid="{00000000-0005-0000-0000-000060320000}"/>
    <cellStyle name="Normal 3 11 19 11" xfId="8295" xr:uid="{00000000-0005-0000-0000-000061320000}"/>
    <cellStyle name="Normal 3 11 19 11 2" xfId="25929" xr:uid="{00000000-0005-0000-0000-000062320000}"/>
    <cellStyle name="Normal 3 11 19 12" xfId="8296" xr:uid="{00000000-0005-0000-0000-000063320000}"/>
    <cellStyle name="Normal 3 11 19 12 2" xfId="25930" xr:uid="{00000000-0005-0000-0000-000064320000}"/>
    <cellStyle name="Normal 3 11 19 13" xfId="8297" xr:uid="{00000000-0005-0000-0000-000065320000}"/>
    <cellStyle name="Normal 3 11 19 13 2" xfId="25931" xr:uid="{00000000-0005-0000-0000-000066320000}"/>
    <cellStyle name="Normal 3 11 19 14" xfId="8298" xr:uid="{00000000-0005-0000-0000-000067320000}"/>
    <cellStyle name="Normal 3 11 19 14 2" xfId="25932" xr:uid="{00000000-0005-0000-0000-000068320000}"/>
    <cellStyle name="Normal 3 11 19 15" xfId="25927" xr:uid="{00000000-0005-0000-0000-000069320000}"/>
    <cellStyle name="Normal 3 11 19 2" xfId="8299" xr:uid="{00000000-0005-0000-0000-00006A320000}"/>
    <cellStyle name="Normal 3 11 19 2 2" xfId="25933" xr:uid="{00000000-0005-0000-0000-00006B320000}"/>
    <cellStyle name="Normal 3 11 19 3" xfId="8300" xr:uid="{00000000-0005-0000-0000-00006C320000}"/>
    <cellStyle name="Normal 3 11 19 3 2" xfId="25934" xr:uid="{00000000-0005-0000-0000-00006D320000}"/>
    <cellStyle name="Normal 3 11 19 4" xfId="8301" xr:uid="{00000000-0005-0000-0000-00006E320000}"/>
    <cellStyle name="Normal 3 11 19 4 2" xfId="25935" xr:uid="{00000000-0005-0000-0000-00006F320000}"/>
    <cellStyle name="Normal 3 11 19 5" xfId="8302" xr:uid="{00000000-0005-0000-0000-000070320000}"/>
    <cellStyle name="Normal 3 11 19 5 2" xfId="25936" xr:uid="{00000000-0005-0000-0000-000071320000}"/>
    <cellStyle name="Normal 3 11 19 6" xfId="8303" xr:uid="{00000000-0005-0000-0000-000072320000}"/>
    <cellStyle name="Normal 3 11 19 6 2" xfId="25937" xr:uid="{00000000-0005-0000-0000-000073320000}"/>
    <cellStyle name="Normal 3 11 19 7" xfId="8304" xr:uid="{00000000-0005-0000-0000-000074320000}"/>
    <cellStyle name="Normal 3 11 19 7 2" xfId="25938" xr:uid="{00000000-0005-0000-0000-000075320000}"/>
    <cellStyle name="Normal 3 11 19 8" xfId="8305" xr:uid="{00000000-0005-0000-0000-000076320000}"/>
    <cellStyle name="Normal 3 11 19 8 2" xfId="25939" xr:uid="{00000000-0005-0000-0000-000077320000}"/>
    <cellStyle name="Normal 3 11 19 9" xfId="8306" xr:uid="{00000000-0005-0000-0000-000078320000}"/>
    <cellStyle name="Normal 3 11 19 9 2" xfId="25940" xr:uid="{00000000-0005-0000-0000-000079320000}"/>
    <cellStyle name="Normal 3 11 2" xfId="8307" xr:uid="{00000000-0005-0000-0000-00007A320000}"/>
    <cellStyle name="Normal 3 11 20" xfId="8308" xr:uid="{00000000-0005-0000-0000-00007B320000}"/>
    <cellStyle name="Normal 3 11 20 10" xfId="8309" xr:uid="{00000000-0005-0000-0000-00007C320000}"/>
    <cellStyle name="Normal 3 11 20 10 2" xfId="25942" xr:uid="{00000000-0005-0000-0000-00007D320000}"/>
    <cellStyle name="Normal 3 11 20 11" xfId="8310" xr:uid="{00000000-0005-0000-0000-00007E320000}"/>
    <cellStyle name="Normal 3 11 20 11 2" xfId="25943" xr:uid="{00000000-0005-0000-0000-00007F320000}"/>
    <cellStyle name="Normal 3 11 20 12" xfId="8311" xr:uid="{00000000-0005-0000-0000-000080320000}"/>
    <cellStyle name="Normal 3 11 20 12 2" xfId="25944" xr:uid="{00000000-0005-0000-0000-000081320000}"/>
    <cellStyle name="Normal 3 11 20 13" xfId="8312" xr:uid="{00000000-0005-0000-0000-000082320000}"/>
    <cellStyle name="Normal 3 11 20 13 2" xfId="25945" xr:uid="{00000000-0005-0000-0000-000083320000}"/>
    <cellStyle name="Normal 3 11 20 14" xfId="8313" xr:uid="{00000000-0005-0000-0000-000084320000}"/>
    <cellStyle name="Normal 3 11 20 14 2" xfId="25946" xr:uid="{00000000-0005-0000-0000-000085320000}"/>
    <cellStyle name="Normal 3 11 20 15" xfId="25941" xr:uid="{00000000-0005-0000-0000-000086320000}"/>
    <cellStyle name="Normal 3 11 20 2" xfId="8314" xr:uid="{00000000-0005-0000-0000-000087320000}"/>
    <cellStyle name="Normal 3 11 20 2 2" xfId="25947" xr:uid="{00000000-0005-0000-0000-000088320000}"/>
    <cellStyle name="Normal 3 11 20 3" xfId="8315" xr:uid="{00000000-0005-0000-0000-000089320000}"/>
    <cellStyle name="Normal 3 11 20 3 2" xfId="25948" xr:uid="{00000000-0005-0000-0000-00008A320000}"/>
    <cellStyle name="Normal 3 11 20 4" xfId="8316" xr:uid="{00000000-0005-0000-0000-00008B320000}"/>
    <cellStyle name="Normal 3 11 20 4 2" xfId="25949" xr:uid="{00000000-0005-0000-0000-00008C320000}"/>
    <cellStyle name="Normal 3 11 20 5" xfId="8317" xr:uid="{00000000-0005-0000-0000-00008D320000}"/>
    <cellStyle name="Normal 3 11 20 5 2" xfId="25950" xr:uid="{00000000-0005-0000-0000-00008E320000}"/>
    <cellStyle name="Normal 3 11 20 6" xfId="8318" xr:uid="{00000000-0005-0000-0000-00008F320000}"/>
    <cellStyle name="Normal 3 11 20 6 2" xfId="25951" xr:uid="{00000000-0005-0000-0000-000090320000}"/>
    <cellStyle name="Normal 3 11 20 7" xfId="8319" xr:uid="{00000000-0005-0000-0000-000091320000}"/>
    <cellStyle name="Normal 3 11 20 7 2" xfId="25952" xr:uid="{00000000-0005-0000-0000-000092320000}"/>
    <cellStyle name="Normal 3 11 20 8" xfId="8320" xr:uid="{00000000-0005-0000-0000-000093320000}"/>
    <cellStyle name="Normal 3 11 20 8 2" xfId="25953" xr:uid="{00000000-0005-0000-0000-000094320000}"/>
    <cellStyle name="Normal 3 11 20 9" xfId="8321" xr:uid="{00000000-0005-0000-0000-000095320000}"/>
    <cellStyle name="Normal 3 11 20 9 2" xfId="25954" xr:uid="{00000000-0005-0000-0000-000096320000}"/>
    <cellStyle name="Normal 3 11 21" xfId="8322" xr:uid="{00000000-0005-0000-0000-000097320000}"/>
    <cellStyle name="Normal 3 11 21 10" xfId="8323" xr:uid="{00000000-0005-0000-0000-000098320000}"/>
    <cellStyle name="Normal 3 11 21 10 2" xfId="25956" xr:uid="{00000000-0005-0000-0000-000099320000}"/>
    <cellStyle name="Normal 3 11 21 11" xfId="8324" xr:uid="{00000000-0005-0000-0000-00009A320000}"/>
    <cellStyle name="Normal 3 11 21 11 2" xfId="25957" xr:uid="{00000000-0005-0000-0000-00009B320000}"/>
    <cellStyle name="Normal 3 11 21 12" xfId="8325" xr:uid="{00000000-0005-0000-0000-00009C320000}"/>
    <cellStyle name="Normal 3 11 21 12 2" xfId="25958" xr:uid="{00000000-0005-0000-0000-00009D320000}"/>
    <cellStyle name="Normal 3 11 21 13" xfId="8326" xr:uid="{00000000-0005-0000-0000-00009E320000}"/>
    <cellStyle name="Normal 3 11 21 13 2" xfId="25959" xr:uid="{00000000-0005-0000-0000-00009F320000}"/>
    <cellStyle name="Normal 3 11 21 14" xfId="8327" xr:uid="{00000000-0005-0000-0000-0000A0320000}"/>
    <cellStyle name="Normal 3 11 21 14 2" xfId="25960" xr:uid="{00000000-0005-0000-0000-0000A1320000}"/>
    <cellStyle name="Normal 3 11 21 15" xfId="25955" xr:uid="{00000000-0005-0000-0000-0000A2320000}"/>
    <cellStyle name="Normal 3 11 21 2" xfId="8328" xr:uid="{00000000-0005-0000-0000-0000A3320000}"/>
    <cellStyle name="Normal 3 11 21 2 2" xfId="25961" xr:uid="{00000000-0005-0000-0000-0000A4320000}"/>
    <cellStyle name="Normal 3 11 21 3" xfId="8329" xr:uid="{00000000-0005-0000-0000-0000A5320000}"/>
    <cellStyle name="Normal 3 11 21 3 2" xfId="25962" xr:uid="{00000000-0005-0000-0000-0000A6320000}"/>
    <cellStyle name="Normal 3 11 21 4" xfId="8330" xr:uid="{00000000-0005-0000-0000-0000A7320000}"/>
    <cellStyle name="Normal 3 11 21 4 2" xfId="25963" xr:uid="{00000000-0005-0000-0000-0000A8320000}"/>
    <cellStyle name="Normal 3 11 21 5" xfId="8331" xr:uid="{00000000-0005-0000-0000-0000A9320000}"/>
    <cellStyle name="Normal 3 11 21 5 2" xfId="25964" xr:uid="{00000000-0005-0000-0000-0000AA320000}"/>
    <cellStyle name="Normal 3 11 21 6" xfId="8332" xr:uid="{00000000-0005-0000-0000-0000AB320000}"/>
    <cellStyle name="Normal 3 11 21 6 2" xfId="25965" xr:uid="{00000000-0005-0000-0000-0000AC320000}"/>
    <cellStyle name="Normal 3 11 21 7" xfId="8333" xr:uid="{00000000-0005-0000-0000-0000AD320000}"/>
    <cellStyle name="Normal 3 11 21 7 2" xfId="25966" xr:uid="{00000000-0005-0000-0000-0000AE320000}"/>
    <cellStyle name="Normal 3 11 21 8" xfId="8334" xr:uid="{00000000-0005-0000-0000-0000AF320000}"/>
    <cellStyle name="Normal 3 11 21 8 2" xfId="25967" xr:uid="{00000000-0005-0000-0000-0000B0320000}"/>
    <cellStyle name="Normal 3 11 21 9" xfId="8335" xr:uid="{00000000-0005-0000-0000-0000B1320000}"/>
    <cellStyle name="Normal 3 11 21 9 2" xfId="25968" xr:uid="{00000000-0005-0000-0000-0000B2320000}"/>
    <cellStyle name="Normal 3 11 22" xfId="8336" xr:uid="{00000000-0005-0000-0000-0000B3320000}"/>
    <cellStyle name="Normal 3 11 22 10" xfId="8337" xr:uid="{00000000-0005-0000-0000-0000B4320000}"/>
    <cellStyle name="Normal 3 11 22 10 2" xfId="25970" xr:uid="{00000000-0005-0000-0000-0000B5320000}"/>
    <cellStyle name="Normal 3 11 22 11" xfId="8338" xr:uid="{00000000-0005-0000-0000-0000B6320000}"/>
    <cellStyle name="Normal 3 11 22 11 2" xfId="25971" xr:uid="{00000000-0005-0000-0000-0000B7320000}"/>
    <cellStyle name="Normal 3 11 22 12" xfId="8339" xr:uid="{00000000-0005-0000-0000-0000B8320000}"/>
    <cellStyle name="Normal 3 11 22 12 2" xfId="25972" xr:uid="{00000000-0005-0000-0000-0000B9320000}"/>
    <cellStyle name="Normal 3 11 22 13" xfId="8340" xr:uid="{00000000-0005-0000-0000-0000BA320000}"/>
    <cellStyle name="Normal 3 11 22 13 2" xfId="25973" xr:uid="{00000000-0005-0000-0000-0000BB320000}"/>
    <cellStyle name="Normal 3 11 22 14" xfId="8341" xr:uid="{00000000-0005-0000-0000-0000BC320000}"/>
    <cellStyle name="Normal 3 11 22 14 2" xfId="25974" xr:uid="{00000000-0005-0000-0000-0000BD320000}"/>
    <cellStyle name="Normal 3 11 22 15" xfId="25969" xr:uid="{00000000-0005-0000-0000-0000BE320000}"/>
    <cellStyle name="Normal 3 11 22 2" xfId="8342" xr:uid="{00000000-0005-0000-0000-0000BF320000}"/>
    <cellStyle name="Normal 3 11 22 2 2" xfId="25975" xr:uid="{00000000-0005-0000-0000-0000C0320000}"/>
    <cellStyle name="Normal 3 11 22 3" xfId="8343" xr:uid="{00000000-0005-0000-0000-0000C1320000}"/>
    <cellStyle name="Normal 3 11 22 3 2" xfId="25976" xr:uid="{00000000-0005-0000-0000-0000C2320000}"/>
    <cellStyle name="Normal 3 11 22 4" xfId="8344" xr:uid="{00000000-0005-0000-0000-0000C3320000}"/>
    <cellStyle name="Normal 3 11 22 4 2" xfId="25977" xr:uid="{00000000-0005-0000-0000-0000C4320000}"/>
    <cellStyle name="Normal 3 11 22 5" xfId="8345" xr:uid="{00000000-0005-0000-0000-0000C5320000}"/>
    <cellStyle name="Normal 3 11 22 5 2" xfId="25978" xr:uid="{00000000-0005-0000-0000-0000C6320000}"/>
    <cellStyle name="Normal 3 11 22 6" xfId="8346" xr:uid="{00000000-0005-0000-0000-0000C7320000}"/>
    <cellStyle name="Normal 3 11 22 6 2" xfId="25979" xr:uid="{00000000-0005-0000-0000-0000C8320000}"/>
    <cellStyle name="Normal 3 11 22 7" xfId="8347" xr:uid="{00000000-0005-0000-0000-0000C9320000}"/>
    <cellStyle name="Normal 3 11 22 7 2" xfId="25980" xr:uid="{00000000-0005-0000-0000-0000CA320000}"/>
    <cellStyle name="Normal 3 11 22 8" xfId="8348" xr:uid="{00000000-0005-0000-0000-0000CB320000}"/>
    <cellStyle name="Normal 3 11 22 8 2" xfId="25981" xr:uid="{00000000-0005-0000-0000-0000CC320000}"/>
    <cellStyle name="Normal 3 11 22 9" xfId="8349" xr:uid="{00000000-0005-0000-0000-0000CD320000}"/>
    <cellStyle name="Normal 3 11 22 9 2" xfId="25982" xr:uid="{00000000-0005-0000-0000-0000CE320000}"/>
    <cellStyle name="Normal 3 11 23" xfId="8350" xr:uid="{00000000-0005-0000-0000-0000CF320000}"/>
    <cellStyle name="Normal 3 11 24" xfId="8351" xr:uid="{00000000-0005-0000-0000-0000D0320000}"/>
    <cellStyle name="Normal 3 11 25" xfId="8352" xr:uid="{00000000-0005-0000-0000-0000D1320000}"/>
    <cellStyle name="Normal 3 11 25 10" xfId="8353" xr:uid="{00000000-0005-0000-0000-0000D2320000}"/>
    <cellStyle name="Normal 3 11 25 10 2" xfId="25984" xr:uid="{00000000-0005-0000-0000-0000D3320000}"/>
    <cellStyle name="Normal 3 11 25 11" xfId="8354" xr:uid="{00000000-0005-0000-0000-0000D4320000}"/>
    <cellStyle name="Normal 3 11 25 11 2" xfId="25985" xr:uid="{00000000-0005-0000-0000-0000D5320000}"/>
    <cellStyle name="Normal 3 11 25 12" xfId="8355" xr:uid="{00000000-0005-0000-0000-0000D6320000}"/>
    <cellStyle name="Normal 3 11 25 12 2" xfId="25986" xr:uid="{00000000-0005-0000-0000-0000D7320000}"/>
    <cellStyle name="Normal 3 11 25 13" xfId="8356" xr:uid="{00000000-0005-0000-0000-0000D8320000}"/>
    <cellStyle name="Normal 3 11 25 13 2" xfId="25987" xr:uid="{00000000-0005-0000-0000-0000D9320000}"/>
    <cellStyle name="Normal 3 11 25 14" xfId="8357" xr:uid="{00000000-0005-0000-0000-0000DA320000}"/>
    <cellStyle name="Normal 3 11 25 14 2" xfId="25988" xr:uid="{00000000-0005-0000-0000-0000DB320000}"/>
    <cellStyle name="Normal 3 11 25 15" xfId="25983" xr:uid="{00000000-0005-0000-0000-0000DC320000}"/>
    <cellStyle name="Normal 3 11 25 2" xfId="8358" xr:uid="{00000000-0005-0000-0000-0000DD320000}"/>
    <cellStyle name="Normal 3 11 25 2 2" xfId="25989" xr:uid="{00000000-0005-0000-0000-0000DE320000}"/>
    <cellStyle name="Normal 3 11 25 3" xfId="8359" xr:uid="{00000000-0005-0000-0000-0000DF320000}"/>
    <cellStyle name="Normal 3 11 25 3 2" xfId="25990" xr:uid="{00000000-0005-0000-0000-0000E0320000}"/>
    <cellStyle name="Normal 3 11 25 4" xfId="8360" xr:uid="{00000000-0005-0000-0000-0000E1320000}"/>
    <cellStyle name="Normal 3 11 25 4 2" xfId="25991" xr:uid="{00000000-0005-0000-0000-0000E2320000}"/>
    <cellStyle name="Normal 3 11 25 5" xfId="8361" xr:uid="{00000000-0005-0000-0000-0000E3320000}"/>
    <cellStyle name="Normal 3 11 25 5 2" xfId="25992" xr:uid="{00000000-0005-0000-0000-0000E4320000}"/>
    <cellStyle name="Normal 3 11 25 6" xfId="8362" xr:uid="{00000000-0005-0000-0000-0000E5320000}"/>
    <cellStyle name="Normal 3 11 25 6 2" xfId="25993" xr:uid="{00000000-0005-0000-0000-0000E6320000}"/>
    <cellStyle name="Normal 3 11 25 7" xfId="8363" xr:uid="{00000000-0005-0000-0000-0000E7320000}"/>
    <cellStyle name="Normal 3 11 25 7 2" xfId="25994" xr:uid="{00000000-0005-0000-0000-0000E8320000}"/>
    <cellStyle name="Normal 3 11 25 8" xfId="8364" xr:uid="{00000000-0005-0000-0000-0000E9320000}"/>
    <cellStyle name="Normal 3 11 25 8 2" xfId="25995" xr:uid="{00000000-0005-0000-0000-0000EA320000}"/>
    <cellStyle name="Normal 3 11 25 9" xfId="8365" xr:uid="{00000000-0005-0000-0000-0000EB320000}"/>
    <cellStyle name="Normal 3 11 25 9 2" xfId="25996" xr:uid="{00000000-0005-0000-0000-0000EC320000}"/>
    <cellStyle name="Normal 3 11 26" xfId="8366" xr:uid="{00000000-0005-0000-0000-0000ED320000}"/>
    <cellStyle name="Normal 3 11 26 10" xfId="8367" xr:uid="{00000000-0005-0000-0000-0000EE320000}"/>
    <cellStyle name="Normal 3 11 26 10 2" xfId="25998" xr:uid="{00000000-0005-0000-0000-0000EF320000}"/>
    <cellStyle name="Normal 3 11 26 11" xfId="8368" xr:uid="{00000000-0005-0000-0000-0000F0320000}"/>
    <cellStyle name="Normal 3 11 26 11 2" xfId="25999" xr:uid="{00000000-0005-0000-0000-0000F1320000}"/>
    <cellStyle name="Normal 3 11 26 12" xfId="8369" xr:uid="{00000000-0005-0000-0000-0000F2320000}"/>
    <cellStyle name="Normal 3 11 26 12 2" xfId="26000" xr:uid="{00000000-0005-0000-0000-0000F3320000}"/>
    <cellStyle name="Normal 3 11 26 13" xfId="8370" xr:uid="{00000000-0005-0000-0000-0000F4320000}"/>
    <cellStyle name="Normal 3 11 26 13 2" xfId="26001" xr:uid="{00000000-0005-0000-0000-0000F5320000}"/>
    <cellStyle name="Normal 3 11 26 14" xfId="8371" xr:uid="{00000000-0005-0000-0000-0000F6320000}"/>
    <cellStyle name="Normal 3 11 26 14 2" xfId="26002" xr:uid="{00000000-0005-0000-0000-0000F7320000}"/>
    <cellStyle name="Normal 3 11 26 15" xfId="25997" xr:uid="{00000000-0005-0000-0000-0000F8320000}"/>
    <cellStyle name="Normal 3 11 26 2" xfId="8372" xr:uid="{00000000-0005-0000-0000-0000F9320000}"/>
    <cellStyle name="Normal 3 11 26 2 2" xfId="26003" xr:uid="{00000000-0005-0000-0000-0000FA320000}"/>
    <cellStyle name="Normal 3 11 26 3" xfId="8373" xr:uid="{00000000-0005-0000-0000-0000FB320000}"/>
    <cellStyle name="Normal 3 11 26 3 2" xfId="26004" xr:uid="{00000000-0005-0000-0000-0000FC320000}"/>
    <cellStyle name="Normal 3 11 26 4" xfId="8374" xr:uid="{00000000-0005-0000-0000-0000FD320000}"/>
    <cellStyle name="Normal 3 11 26 4 2" xfId="26005" xr:uid="{00000000-0005-0000-0000-0000FE320000}"/>
    <cellStyle name="Normal 3 11 26 5" xfId="8375" xr:uid="{00000000-0005-0000-0000-0000FF320000}"/>
    <cellStyle name="Normal 3 11 26 5 2" xfId="26006" xr:uid="{00000000-0005-0000-0000-000000330000}"/>
    <cellStyle name="Normal 3 11 26 6" xfId="8376" xr:uid="{00000000-0005-0000-0000-000001330000}"/>
    <cellStyle name="Normal 3 11 26 6 2" xfId="26007" xr:uid="{00000000-0005-0000-0000-000002330000}"/>
    <cellStyle name="Normal 3 11 26 7" xfId="8377" xr:uid="{00000000-0005-0000-0000-000003330000}"/>
    <cellStyle name="Normal 3 11 26 7 2" xfId="26008" xr:uid="{00000000-0005-0000-0000-000004330000}"/>
    <cellStyle name="Normal 3 11 26 8" xfId="8378" xr:uid="{00000000-0005-0000-0000-000005330000}"/>
    <cellStyle name="Normal 3 11 26 8 2" xfId="26009" xr:uid="{00000000-0005-0000-0000-000006330000}"/>
    <cellStyle name="Normal 3 11 26 9" xfId="8379" xr:uid="{00000000-0005-0000-0000-000007330000}"/>
    <cellStyle name="Normal 3 11 26 9 2" xfId="26010" xr:uid="{00000000-0005-0000-0000-000008330000}"/>
    <cellStyle name="Normal 3 11 3" xfId="8380" xr:uid="{00000000-0005-0000-0000-000009330000}"/>
    <cellStyle name="Normal 3 11 4" xfId="8381" xr:uid="{00000000-0005-0000-0000-00000A330000}"/>
    <cellStyle name="Normal 3 11 5" xfId="8382" xr:uid="{00000000-0005-0000-0000-00000B330000}"/>
    <cellStyle name="Normal 3 11 6" xfId="8383" xr:uid="{00000000-0005-0000-0000-00000C330000}"/>
    <cellStyle name="Normal 3 11 7" xfId="8384" xr:uid="{00000000-0005-0000-0000-00000D330000}"/>
    <cellStyle name="Normal 3 11 8" xfId="8385" xr:uid="{00000000-0005-0000-0000-00000E330000}"/>
    <cellStyle name="Normal 3 11 9" xfId="8386" xr:uid="{00000000-0005-0000-0000-00000F330000}"/>
    <cellStyle name="Normal 3 12" xfId="8387" xr:uid="{00000000-0005-0000-0000-000010330000}"/>
    <cellStyle name="Normal 3 12 10" xfId="8388" xr:uid="{00000000-0005-0000-0000-000011330000}"/>
    <cellStyle name="Normal 3 12 10 10" xfId="8389" xr:uid="{00000000-0005-0000-0000-000012330000}"/>
    <cellStyle name="Normal 3 12 10 10 2" xfId="26012" xr:uid="{00000000-0005-0000-0000-000013330000}"/>
    <cellStyle name="Normal 3 12 10 11" xfId="8390" xr:uid="{00000000-0005-0000-0000-000014330000}"/>
    <cellStyle name="Normal 3 12 10 11 2" xfId="26013" xr:uid="{00000000-0005-0000-0000-000015330000}"/>
    <cellStyle name="Normal 3 12 10 12" xfId="8391" xr:uid="{00000000-0005-0000-0000-000016330000}"/>
    <cellStyle name="Normal 3 12 10 12 2" xfId="26014" xr:uid="{00000000-0005-0000-0000-000017330000}"/>
    <cellStyle name="Normal 3 12 10 13" xfId="8392" xr:uid="{00000000-0005-0000-0000-000018330000}"/>
    <cellStyle name="Normal 3 12 10 13 2" xfId="26015" xr:uid="{00000000-0005-0000-0000-000019330000}"/>
    <cellStyle name="Normal 3 12 10 14" xfId="8393" xr:uid="{00000000-0005-0000-0000-00001A330000}"/>
    <cellStyle name="Normal 3 12 10 14 2" xfId="26016" xr:uid="{00000000-0005-0000-0000-00001B330000}"/>
    <cellStyle name="Normal 3 12 10 15" xfId="26011" xr:uid="{00000000-0005-0000-0000-00001C330000}"/>
    <cellStyle name="Normal 3 12 10 2" xfId="8394" xr:uid="{00000000-0005-0000-0000-00001D330000}"/>
    <cellStyle name="Normal 3 12 10 2 2" xfId="26017" xr:uid="{00000000-0005-0000-0000-00001E330000}"/>
    <cellStyle name="Normal 3 12 10 3" xfId="8395" xr:uid="{00000000-0005-0000-0000-00001F330000}"/>
    <cellStyle name="Normal 3 12 10 3 2" xfId="26018" xr:uid="{00000000-0005-0000-0000-000020330000}"/>
    <cellStyle name="Normal 3 12 10 4" xfId="8396" xr:uid="{00000000-0005-0000-0000-000021330000}"/>
    <cellStyle name="Normal 3 12 10 4 2" xfId="26019" xr:uid="{00000000-0005-0000-0000-000022330000}"/>
    <cellStyle name="Normal 3 12 10 5" xfId="8397" xr:uid="{00000000-0005-0000-0000-000023330000}"/>
    <cellStyle name="Normal 3 12 10 5 2" xfId="26020" xr:uid="{00000000-0005-0000-0000-000024330000}"/>
    <cellStyle name="Normal 3 12 10 6" xfId="8398" xr:uid="{00000000-0005-0000-0000-000025330000}"/>
    <cellStyle name="Normal 3 12 10 6 2" xfId="26021" xr:uid="{00000000-0005-0000-0000-000026330000}"/>
    <cellStyle name="Normal 3 12 10 7" xfId="8399" xr:uid="{00000000-0005-0000-0000-000027330000}"/>
    <cellStyle name="Normal 3 12 10 7 2" xfId="26022" xr:uid="{00000000-0005-0000-0000-000028330000}"/>
    <cellStyle name="Normal 3 12 10 8" xfId="8400" xr:uid="{00000000-0005-0000-0000-000029330000}"/>
    <cellStyle name="Normal 3 12 10 8 2" xfId="26023" xr:uid="{00000000-0005-0000-0000-00002A330000}"/>
    <cellStyle name="Normal 3 12 10 9" xfId="8401" xr:uid="{00000000-0005-0000-0000-00002B330000}"/>
    <cellStyle name="Normal 3 12 10 9 2" xfId="26024" xr:uid="{00000000-0005-0000-0000-00002C330000}"/>
    <cellStyle name="Normal 3 12 11" xfId="8402" xr:uid="{00000000-0005-0000-0000-00002D330000}"/>
    <cellStyle name="Normal 3 12 11 10" xfId="8403" xr:uid="{00000000-0005-0000-0000-00002E330000}"/>
    <cellStyle name="Normal 3 12 11 10 2" xfId="26026" xr:uid="{00000000-0005-0000-0000-00002F330000}"/>
    <cellStyle name="Normal 3 12 11 11" xfId="8404" xr:uid="{00000000-0005-0000-0000-000030330000}"/>
    <cellStyle name="Normal 3 12 11 11 2" xfId="26027" xr:uid="{00000000-0005-0000-0000-000031330000}"/>
    <cellStyle name="Normal 3 12 11 12" xfId="8405" xr:uid="{00000000-0005-0000-0000-000032330000}"/>
    <cellStyle name="Normal 3 12 11 12 2" xfId="26028" xr:uid="{00000000-0005-0000-0000-000033330000}"/>
    <cellStyle name="Normal 3 12 11 13" xfId="8406" xr:uid="{00000000-0005-0000-0000-000034330000}"/>
    <cellStyle name="Normal 3 12 11 13 2" xfId="26029" xr:uid="{00000000-0005-0000-0000-000035330000}"/>
    <cellStyle name="Normal 3 12 11 14" xfId="8407" xr:uid="{00000000-0005-0000-0000-000036330000}"/>
    <cellStyle name="Normal 3 12 11 14 2" xfId="26030" xr:uid="{00000000-0005-0000-0000-000037330000}"/>
    <cellStyle name="Normal 3 12 11 15" xfId="26025" xr:uid="{00000000-0005-0000-0000-000038330000}"/>
    <cellStyle name="Normal 3 12 11 2" xfId="8408" xr:uid="{00000000-0005-0000-0000-000039330000}"/>
    <cellStyle name="Normal 3 12 11 2 2" xfId="26031" xr:uid="{00000000-0005-0000-0000-00003A330000}"/>
    <cellStyle name="Normal 3 12 11 3" xfId="8409" xr:uid="{00000000-0005-0000-0000-00003B330000}"/>
    <cellStyle name="Normal 3 12 11 3 2" xfId="26032" xr:uid="{00000000-0005-0000-0000-00003C330000}"/>
    <cellStyle name="Normal 3 12 11 4" xfId="8410" xr:uid="{00000000-0005-0000-0000-00003D330000}"/>
    <cellStyle name="Normal 3 12 11 4 2" xfId="26033" xr:uid="{00000000-0005-0000-0000-00003E330000}"/>
    <cellStyle name="Normal 3 12 11 5" xfId="8411" xr:uid="{00000000-0005-0000-0000-00003F330000}"/>
    <cellStyle name="Normal 3 12 11 5 2" xfId="26034" xr:uid="{00000000-0005-0000-0000-000040330000}"/>
    <cellStyle name="Normal 3 12 11 6" xfId="8412" xr:uid="{00000000-0005-0000-0000-000041330000}"/>
    <cellStyle name="Normal 3 12 11 6 2" xfId="26035" xr:uid="{00000000-0005-0000-0000-000042330000}"/>
    <cellStyle name="Normal 3 12 11 7" xfId="8413" xr:uid="{00000000-0005-0000-0000-000043330000}"/>
    <cellStyle name="Normal 3 12 11 7 2" xfId="26036" xr:uid="{00000000-0005-0000-0000-000044330000}"/>
    <cellStyle name="Normal 3 12 11 8" xfId="8414" xr:uid="{00000000-0005-0000-0000-000045330000}"/>
    <cellStyle name="Normal 3 12 11 8 2" xfId="26037" xr:uid="{00000000-0005-0000-0000-000046330000}"/>
    <cellStyle name="Normal 3 12 11 9" xfId="8415" xr:uid="{00000000-0005-0000-0000-000047330000}"/>
    <cellStyle name="Normal 3 12 11 9 2" xfId="26038" xr:uid="{00000000-0005-0000-0000-000048330000}"/>
    <cellStyle name="Normal 3 12 12" xfId="8416" xr:uid="{00000000-0005-0000-0000-000049330000}"/>
    <cellStyle name="Normal 3 12 12 10" xfId="8417" xr:uid="{00000000-0005-0000-0000-00004A330000}"/>
    <cellStyle name="Normal 3 12 12 10 2" xfId="26040" xr:uid="{00000000-0005-0000-0000-00004B330000}"/>
    <cellStyle name="Normal 3 12 12 11" xfId="8418" xr:uid="{00000000-0005-0000-0000-00004C330000}"/>
    <cellStyle name="Normal 3 12 12 11 2" xfId="26041" xr:uid="{00000000-0005-0000-0000-00004D330000}"/>
    <cellStyle name="Normal 3 12 12 12" xfId="8419" xr:uid="{00000000-0005-0000-0000-00004E330000}"/>
    <cellStyle name="Normal 3 12 12 12 2" xfId="26042" xr:uid="{00000000-0005-0000-0000-00004F330000}"/>
    <cellStyle name="Normal 3 12 12 13" xfId="8420" xr:uid="{00000000-0005-0000-0000-000050330000}"/>
    <cellStyle name="Normal 3 12 12 13 2" xfId="26043" xr:uid="{00000000-0005-0000-0000-000051330000}"/>
    <cellStyle name="Normal 3 12 12 14" xfId="8421" xr:uid="{00000000-0005-0000-0000-000052330000}"/>
    <cellStyle name="Normal 3 12 12 14 2" xfId="26044" xr:uid="{00000000-0005-0000-0000-000053330000}"/>
    <cellStyle name="Normal 3 12 12 15" xfId="26039" xr:uid="{00000000-0005-0000-0000-000054330000}"/>
    <cellStyle name="Normal 3 12 12 2" xfId="8422" xr:uid="{00000000-0005-0000-0000-000055330000}"/>
    <cellStyle name="Normal 3 12 12 2 2" xfId="26045" xr:uid="{00000000-0005-0000-0000-000056330000}"/>
    <cellStyle name="Normal 3 12 12 3" xfId="8423" xr:uid="{00000000-0005-0000-0000-000057330000}"/>
    <cellStyle name="Normal 3 12 12 3 2" xfId="26046" xr:uid="{00000000-0005-0000-0000-000058330000}"/>
    <cellStyle name="Normal 3 12 12 4" xfId="8424" xr:uid="{00000000-0005-0000-0000-000059330000}"/>
    <cellStyle name="Normal 3 12 12 4 2" xfId="26047" xr:uid="{00000000-0005-0000-0000-00005A330000}"/>
    <cellStyle name="Normal 3 12 12 5" xfId="8425" xr:uid="{00000000-0005-0000-0000-00005B330000}"/>
    <cellStyle name="Normal 3 12 12 5 2" xfId="26048" xr:uid="{00000000-0005-0000-0000-00005C330000}"/>
    <cellStyle name="Normal 3 12 12 6" xfId="8426" xr:uid="{00000000-0005-0000-0000-00005D330000}"/>
    <cellStyle name="Normal 3 12 12 6 2" xfId="26049" xr:uid="{00000000-0005-0000-0000-00005E330000}"/>
    <cellStyle name="Normal 3 12 12 7" xfId="8427" xr:uid="{00000000-0005-0000-0000-00005F330000}"/>
    <cellStyle name="Normal 3 12 12 7 2" xfId="26050" xr:uid="{00000000-0005-0000-0000-000060330000}"/>
    <cellStyle name="Normal 3 12 12 8" xfId="8428" xr:uid="{00000000-0005-0000-0000-000061330000}"/>
    <cellStyle name="Normal 3 12 12 8 2" xfId="26051" xr:uid="{00000000-0005-0000-0000-000062330000}"/>
    <cellStyle name="Normal 3 12 12 9" xfId="8429" xr:uid="{00000000-0005-0000-0000-000063330000}"/>
    <cellStyle name="Normal 3 12 12 9 2" xfId="26052" xr:uid="{00000000-0005-0000-0000-000064330000}"/>
    <cellStyle name="Normal 3 12 13" xfId="8430" xr:uid="{00000000-0005-0000-0000-000065330000}"/>
    <cellStyle name="Normal 3 12 13 10" xfId="8431" xr:uid="{00000000-0005-0000-0000-000066330000}"/>
    <cellStyle name="Normal 3 12 13 10 2" xfId="26054" xr:uid="{00000000-0005-0000-0000-000067330000}"/>
    <cellStyle name="Normal 3 12 13 11" xfId="8432" xr:uid="{00000000-0005-0000-0000-000068330000}"/>
    <cellStyle name="Normal 3 12 13 11 2" xfId="26055" xr:uid="{00000000-0005-0000-0000-000069330000}"/>
    <cellStyle name="Normal 3 12 13 12" xfId="8433" xr:uid="{00000000-0005-0000-0000-00006A330000}"/>
    <cellStyle name="Normal 3 12 13 12 2" xfId="26056" xr:uid="{00000000-0005-0000-0000-00006B330000}"/>
    <cellStyle name="Normal 3 12 13 13" xfId="8434" xr:uid="{00000000-0005-0000-0000-00006C330000}"/>
    <cellStyle name="Normal 3 12 13 13 2" xfId="26057" xr:uid="{00000000-0005-0000-0000-00006D330000}"/>
    <cellStyle name="Normal 3 12 13 14" xfId="8435" xr:uid="{00000000-0005-0000-0000-00006E330000}"/>
    <cellStyle name="Normal 3 12 13 14 2" xfId="26058" xr:uid="{00000000-0005-0000-0000-00006F330000}"/>
    <cellStyle name="Normal 3 12 13 15" xfId="26053" xr:uid="{00000000-0005-0000-0000-000070330000}"/>
    <cellStyle name="Normal 3 12 13 2" xfId="8436" xr:uid="{00000000-0005-0000-0000-000071330000}"/>
    <cellStyle name="Normal 3 12 13 2 2" xfId="26059" xr:uid="{00000000-0005-0000-0000-000072330000}"/>
    <cellStyle name="Normal 3 12 13 3" xfId="8437" xr:uid="{00000000-0005-0000-0000-000073330000}"/>
    <cellStyle name="Normal 3 12 13 3 2" xfId="26060" xr:uid="{00000000-0005-0000-0000-000074330000}"/>
    <cellStyle name="Normal 3 12 13 4" xfId="8438" xr:uid="{00000000-0005-0000-0000-000075330000}"/>
    <cellStyle name="Normal 3 12 13 4 2" xfId="26061" xr:uid="{00000000-0005-0000-0000-000076330000}"/>
    <cellStyle name="Normal 3 12 13 5" xfId="8439" xr:uid="{00000000-0005-0000-0000-000077330000}"/>
    <cellStyle name="Normal 3 12 13 5 2" xfId="26062" xr:uid="{00000000-0005-0000-0000-000078330000}"/>
    <cellStyle name="Normal 3 12 13 6" xfId="8440" xr:uid="{00000000-0005-0000-0000-000079330000}"/>
    <cellStyle name="Normal 3 12 13 6 2" xfId="26063" xr:uid="{00000000-0005-0000-0000-00007A330000}"/>
    <cellStyle name="Normal 3 12 13 7" xfId="8441" xr:uid="{00000000-0005-0000-0000-00007B330000}"/>
    <cellStyle name="Normal 3 12 13 7 2" xfId="26064" xr:uid="{00000000-0005-0000-0000-00007C330000}"/>
    <cellStyle name="Normal 3 12 13 8" xfId="8442" xr:uid="{00000000-0005-0000-0000-00007D330000}"/>
    <cellStyle name="Normal 3 12 13 8 2" xfId="26065" xr:uid="{00000000-0005-0000-0000-00007E330000}"/>
    <cellStyle name="Normal 3 12 13 9" xfId="8443" xr:uid="{00000000-0005-0000-0000-00007F330000}"/>
    <cellStyle name="Normal 3 12 13 9 2" xfId="26066" xr:uid="{00000000-0005-0000-0000-000080330000}"/>
    <cellStyle name="Normal 3 12 14" xfId="8444" xr:uid="{00000000-0005-0000-0000-000081330000}"/>
    <cellStyle name="Normal 3 12 14 10" xfId="8445" xr:uid="{00000000-0005-0000-0000-000082330000}"/>
    <cellStyle name="Normal 3 12 14 10 2" xfId="26068" xr:uid="{00000000-0005-0000-0000-000083330000}"/>
    <cellStyle name="Normal 3 12 14 11" xfId="8446" xr:uid="{00000000-0005-0000-0000-000084330000}"/>
    <cellStyle name="Normal 3 12 14 11 2" xfId="26069" xr:uid="{00000000-0005-0000-0000-000085330000}"/>
    <cellStyle name="Normal 3 12 14 12" xfId="8447" xr:uid="{00000000-0005-0000-0000-000086330000}"/>
    <cellStyle name="Normal 3 12 14 12 2" xfId="26070" xr:uid="{00000000-0005-0000-0000-000087330000}"/>
    <cellStyle name="Normal 3 12 14 13" xfId="8448" xr:uid="{00000000-0005-0000-0000-000088330000}"/>
    <cellStyle name="Normal 3 12 14 13 2" xfId="26071" xr:uid="{00000000-0005-0000-0000-000089330000}"/>
    <cellStyle name="Normal 3 12 14 14" xfId="8449" xr:uid="{00000000-0005-0000-0000-00008A330000}"/>
    <cellStyle name="Normal 3 12 14 14 2" xfId="26072" xr:uid="{00000000-0005-0000-0000-00008B330000}"/>
    <cellStyle name="Normal 3 12 14 15" xfId="26067" xr:uid="{00000000-0005-0000-0000-00008C330000}"/>
    <cellStyle name="Normal 3 12 14 2" xfId="8450" xr:uid="{00000000-0005-0000-0000-00008D330000}"/>
    <cellStyle name="Normal 3 12 14 2 2" xfId="26073" xr:uid="{00000000-0005-0000-0000-00008E330000}"/>
    <cellStyle name="Normal 3 12 14 3" xfId="8451" xr:uid="{00000000-0005-0000-0000-00008F330000}"/>
    <cellStyle name="Normal 3 12 14 3 2" xfId="26074" xr:uid="{00000000-0005-0000-0000-000090330000}"/>
    <cellStyle name="Normal 3 12 14 4" xfId="8452" xr:uid="{00000000-0005-0000-0000-000091330000}"/>
    <cellStyle name="Normal 3 12 14 4 2" xfId="26075" xr:uid="{00000000-0005-0000-0000-000092330000}"/>
    <cellStyle name="Normal 3 12 14 5" xfId="8453" xr:uid="{00000000-0005-0000-0000-000093330000}"/>
    <cellStyle name="Normal 3 12 14 5 2" xfId="26076" xr:uid="{00000000-0005-0000-0000-000094330000}"/>
    <cellStyle name="Normal 3 12 14 6" xfId="8454" xr:uid="{00000000-0005-0000-0000-000095330000}"/>
    <cellStyle name="Normal 3 12 14 6 2" xfId="26077" xr:uid="{00000000-0005-0000-0000-000096330000}"/>
    <cellStyle name="Normal 3 12 14 7" xfId="8455" xr:uid="{00000000-0005-0000-0000-000097330000}"/>
    <cellStyle name="Normal 3 12 14 7 2" xfId="26078" xr:uid="{00000000-0005-0000-0000-000098330000}"/>
    <cellStyle name="Normal 3 12 14 8" xfId="8456" xr:uid="{00000000-0005-0000-0000-000099330000}"/>
    <cellStyle name="Normal 3 12 14 8 2" xfId="26079" xr:uid="{00000000-0005-0000-0000-00009A330000}"/>
    <cellStyle name="Normal 3 12 14 9" xfId="8457" xr:uid="{00000000-0005-0000-0000-00009B330000}"/>
    <cellStyle name="Normal 3 12 14 9 2" xfId="26080" xr:uid="{00000000-0005-0000-0000-00009C330000}"/>
    <cellStyle name="Normal 3 12 15" xfId="8458" xr:uid="{00000000-0005-0000-0000-00009D330000}"/>
    <cellStyle name="Normal 3 12 16" xfId="8459" xr:uid="{00000000-0005-0000-0000-00009E330000}"/>
    <cellStyle name="Normal 3 12 17" xfId="8460" xr:uid="{00000000-0005-0000-0000-00009F330000}"/>
    <cellStyle name="Normal 3 12 17 10" xfId="8461" xr:uid="{00000000-0005-0000-0000-0000A0330000}"/>
    <cellStyle name="Normal 3 12 17 10 2" xfId="26082" xr:uid="{00000000-0005-0000-0000-0000A1330000}"/>
    <cellStyle name="Normal 3 12 17 11" xfId="8462" xr:uid="{00000000-0005-0000-0000-0000A2330000}"/>
    <cellStyle name="Normal 3 12 17 11 2" xfId="26083" xr:uid="{00000000-0005-0000-0000-0000A3330000}"/>
    <cellStyle name="Normal 3 12 17 12" xfId="8463" xr:uid="{00000000-0005-0000-0000-0000A4330000}"/>
    <cellStyle name="Normal 3 12 17 12 2" xfId="26084" xr:uid="{00000000-0005-0000-0000-0000A5330000}"/>
    <cellStyle name="Normal 3 12 17 13" xfId="8464" xr:uid="{00000000-0005-0000-0000-0000A6330000}"/>
    <cellStyle name="Normal 3 12 17 13 2" xfId="26085" xr:uid="{00000000-0005-0000-0000-0000A7330000}"/>
    <cellStyle name="Normal 3 12 17 14" xfId="8465" xr:uid="{00000000-0005-0000-0000-0000A8330000}"/>
    <cellStyle name="Normal 3 12 17 14 2" xfId="26086" xr:uid="{00000000-0005-0000-0000-0000A9330000}"/>
    <cellStyle name="Normal 3 12 17 15" xfId="26081" xr:uid="{00000000-0005-0000-0000-0000AA330000}"/>
    <cellStyle name="Normal 3 12 17 2" xfId="8466" xr:uid="{00000000-0005-0000-0000-0000AB330000}"/>
    <cellStyle name="Normal 3 12 17 2 2" xfId="26087" xr:uid="{00000000-0005-0000-0000-0000AC330000}"/>
    <cellStyle name="Normal 3 12 17 3" xfId="8467" xr:uid="{00000000-0005-0000-0000-0000AD330000}"/>
    <cellStyle name="Normal 3 12 17 3 2" xfId="26088" xr:uid="{00000000-0005-0000-0000-0000AE330000}"/>
    <cellStyle name="Normal 3 12 17 4" xfId="8468" xr:uid="{00000000-0005-0000-0000-0000AF330000}"/>
    <cellStyle name="Normal 3 12 17 4 2" xfId="26089" xr:uid="{00000000-0005-0000-0000-0000B0330000}"/>
    <cellStyle name="Normal 3 12 17 5" xfId="8469" xr:uid="{00000000-0005-0000-0000-0000B1330000}"/>
    <cellStyle name="Normal 3 12 17 5 2" xfId="26090" xr:uid="{00000000-0005-0000-0000-0000B2330000}"/>
    <cellStyle name="Normal 3 12 17 6" xfId="8470" xr:uid="{00000000-0005-0000-0000-0000B3330000}"/>
    <cellStyle name="Normal 3 12 17 6 2" xfId="26091" xr:uid="{00000000-0005-0000-0000-0000B4330000}"/>
    <cellStyle name="Normal 3 12 17 7" xfId="8471" xr:uid="{00000000-0005-0000-0000-0000B5330000}"/>
    <cellStyle name="Normal 3 12 17 7 2" xfId="26092" xr:uid="{00000000-0005-0000-0000-0000B6330000}"/>
    <cellStyle name="Normal 3 12 17 8" xfId="8472" xr:uid="{00000000-0005-0000-0000-0000B7330000}"/>
    <cellStyle name="Normal 3 12 17 8 2" xfId="26093" xr:uid="{00000000-0005-0000-0000-0000B8330000}"/>
    <cellStyle name="Normal 3 12 17 9" xfId="8473" xr:uid="{00000000-0005-0000-0000-0000B9330000}"/>
    <cellStyle name="Normal 3 12 17 9 2" xfId="26094" xr:uid="{00000000-0005-0000-0000-0000BA330000}"/>
    <cellStyle name="Normal 3 12 18" xfId="8474" xr:uid="{00000000-0005-0000-0000-0000BB330000}"/>
    <cellStyle name="Normal 3 12 18 10" xfId="8475" xr:uid="{00000000-0005-0000-0000-0000BC330000}"/>
    <cellStyle name="Normal 3 12 18 10 2" xfId="26096" xr:uid="{00000000-0005-0000-0000-0000BD330000}"/>
    <cellStyle name="Normal 3 12 18 11" xfId="8476" xr:uid="{00000000-0005-0000-0000-0000BE330000}"/>
    <cellStyle name="Normal 3 12 18 11 2" xfId="26097" xr:uid="{00000000-0005-0000-0000-0000BF330000}"/>
    <cellStyle name="Normal 3 12 18 12" xfId="8477" xr:uid="{00000000-0005-0000-0000-0000C0330000}"/>
    <cellStyle name="Normal 3 12 18 12 2" xfId="26098" xr:uid="{00000000-0005-0000-0000-0000C1330000}"/>
    <cellStyle name="Normal 3 12 18 13" xfId="8478" xr:uid="{00000000-0005-0000-0000-0000C2330000}"/>
    <cellStyle name="Normal 3 12 18 13 2" xfId="26099" xr:uid="{00000000-0005-0000-0000-0000C3330000}"/>
    <cellStyle name="Normal 3 12 18 14" xfId="8479" xr:uid="{00000000-0005-0000-0000-0000C4330000}"/>
    <cellStyle name="Normal 3 12 18 14 2" xfId="26100" xr:uid="{00000000-0005-0000-0000-0000C5330000}"/>
    <cellStyle name="Normal 3 12 18 15" xfId="26095" xr:uid="{00000000-0005-0000-0000-0000C6330000}"/>
    <cellStyle name="Normal 3 12 18 2" xfId="8480" xr:uid="{00000000-0005-0000-0000-0000C7330000}"/>
    <cellStyle name="Normal 3 12 18 2 2" xfId="26101" xr:uid="{00000000-0005-0000-0000-0000C8330000}"/>
    <cellStyle name="Normal 3 12 18 3" xfId="8481" xr:uid="{00000000-0005-0000-0000-0000C9330000}"/>
    <cellStyle name="Normal 3 12 18 3 2" xfId="26102" xr:uid="{00000000-0005-0000-0000-0000CA330000}"/>
    <cellStyle name="Normal 3 12 18 4" xfId="8482" xr:uid="{00000000-0005-0000-0000-0000CB330000}"/>
    <cellStyle name="Normal 3 12 18 4 2" xfId="26103" xr:uid="{00000000-0005-0000-0000-0000CC330000}"/>
    <cellStyle name="Normal 3 12 18 5" xfId="8483" xr:uid="{00000000-0005-0000-0000-0000CD330000}"/>
    <cellStyle name="Normal 3 12 18 5 2" xfId="26104" xr:uid="{00000000-0005-0000-0000-0000CE330000}"/>
    <cellStyle name="Normal 3 12 18 6" xfId="8484" xr:uid="{00000000-0005-0000-0000-0000CF330000}"/>
    <cellStyle name="Normal 3 12 18 6 2" xfId="26105" xr:uid="{00000000-0005-0000-0000-0000D0330000}"/>
    <cellStyle name="Normal 3 12 18 7" xfId="8485" xr:uid="{00000000-0005-0000-0000-0000D1330000}"/>
    <cellStyle name="Normal 3 12 18 7 2" xfId="26106" xr:uid="{00000000-0005-0000-0000-0000D2330000}"/>
    <cellStyle name="Normal 3 12 18 8" xfId="8486" xr:uid="{00000000-0005-0000-0000-0000D3330000}"/>
    <cellStyle name="Normal 3 12 18 8 2" xfId="26107" xr:uid="{00000000-0005-0000-0000-0000D4330000}"/>
    <cellStyle name="Normal 3 12 18 9" xfId="8487" xr:uid="{00000000-0005-0000-0000-0000D5330000}"/>
    <cellStyle name="Normal 3 12 18 9 2" xfId="26108" xr:uid="{00000000-0005-0000-0000-0000D6330000}"/>
    <cellStyle name="Normal 3 12 2" xfId="8488" xr:uid="{00000000-0005-0000-0000-0000D7330000}"/>
    <cellStyle name="Normal 3 12 2 10" xfId="8489" xr:uid="{00000000-0005-0000-0000-0000D8330000}"/>
    <cellStyle name="Normal 3 12 2 10 2" xfId="26110" xr:uid="{00000000-0005-0000-0000-0000D9330000}"/>
    <cellStyle name="Normal 3 12 2 11" xfId="8490" xr:uid="{00000000-0005-0000-0000-0000DA330000}"/>
    <cellStyle name="Normal 3 12 2 11 2" xfId="26111" xr:uid="{00000000-0005-0000-0000-0000DB330000}"/>
    <cellStyle name="Normal 3 12 2 12" xfId="8491" xr:uid="{00000000-0005-0000-0000-0000DC330000}"/>
    <cellStyle name="Normal 3 12 2 12 2" xfId="26112" xr:uid="{00000000-0005-0000-0000-0000DD330000}"/>
    <cellStyle name="Normal 3 12 2 13" xfId="8492" xr:uid="{00000000-0005-0000-0000-0000DE330000}"/>
    <cellStyle name="Normal 3 12 2 13 2" xfId="26113" xr:uid="{00000000-0005-0000-0000-0000DF330000}"/>
    <cellStyle name="Normal 3 12 2 14" xfId="8493" xr:uid="{00000000-0005-0000-0000-0000E0330000}"/>
    <cellStyle name="Normal 3 12 2 14 2" xfId="26114" xr:uid="{00000000-0005-0000-0000-0000E1330000}"/>
    <cellStyle name="Normal 3 12 2 15" xfId="8494" xr:uid="{00000000-0005-0000-0000-0000E2330000}"/>
    <cellStyle name="Normal 3 12 2 15 2" xfId="26115" xr:uid="{00000000-0005-0000-0000-0000E3330000}"/>
    <cellStyle name="Normal 3 12 2 16" xfId="8495" xr:uid="{00000000-0005-0000-0000-0000E4330000}"/>
    <cellStyle name="Normal 3 12 2 16 2" xfId="26116" xr:uid="{00000000-0005-0000-0000-0000E5330000}"/>
    <cellStyle name="Normal 3 12 2 17" xfId="8496" xr:uid="{00000000-0005-0000-0000-0000E6330000}"/>
    <cellStyle name="Normal 3 12 2 17 2" xfId="26117" xr:uid="{00000000-0005-0000-0000-0000E7330000}"/>
    <cellStyle name="Normal 3 12 2 18" xfId="26109" xr:uid="{00000000-0005-0000-0000-0000E8330000}"/>
    <cellStyle name="Normal 3 12 2 2" xfId="8497" xr:uid="{00000000-0005-0000-0000-0000E9330000}"/>
    <cellStyle name="Normal 3 12 2 3" xfId="8498" xr:uid="{00000000-0005-0000-0000-0000EA330000}"/>
    <cellStyle name="Normal 3 12 2 4" xfId="8499" xr:uid="{00000000-0005-0000-0000-0000EB330000}"/>
    <cellStyle name="Normal 3 12 2 5" xfId="8500" xr:uid="{00000000-0005-0000-0000-0000EC330000}"/>
    <cellStyle name="Normal 3 12 2 5 2" xfId="26118" xr:uid="{00000000-0005-0000-0000-0000ED330000}"/>
    <cellStyle name="Normal 3 12 2 6" xfId="8501" xr:uid="{00000000-0005-0000-0000-0000EE330000}"/>
    <cellStyle name="Normal 3 12 2 6 2" xfId="26119" xr:uid="{00000000-0005-0000-0000-0000EF330000}"/>
    <cellStyle name="Normal 3 12 2 7" xfId="8502" xr:uid="{00000000-0005-0000-0000-0000F0330000}"/>
    <cellStyle name="Normal 3 12 2 7 2" xfId="26120" xr:uid="{00000000-0005-0000-0000-0000F1330000}"/>
    <cellStyle name="Normal 3 12 2 8" xfId="8503" xr:uid="{00000000-0005-0000-0000-0000F2330000}"/>
    <cellStyle name="Normal 3 12 2 8 2" xfId="26121" xr:uid="{00000000-0005-0000-0000-0000F3330000}"/>
    <cellStyle name="Normal 3 12 2 9" xfId="8504" xr:uid="{00000000-0005-0000-0000-0000F4330000}"/>
    <cellStyle name="Normal 3 12 2 9 2" xfId="26122" xr:uid="{00000000-0005-0000-0000-0000F5330000}"/>
    <cellStyle name="Normal 3 12 3" xfId="8505" xr:uid="{00000000-0005-0000-0000-0000F6330000}"/>
    <cellStyle name="Normal 3 12 4" xfId="8506" xr:uid="{00000000-0005-0000-0000-0000F7330000}"/>
    <cellStyle name="Normal 3 12 5" xfId="8507" xr:uid="{00000000-0005-0000-0000-0000F8330000}"/>
    <cellStyle name="Normal 3 12 6" xfId="8508" xr:uid="{00000000-0005-0000-0000-0000F9330000}"/>
    <cellStyle name="Normal 3 12 6 10" xfId="8509" xr:uid="{00000000-0005-0000-0000-0000FA330000}"/>
    <cellStyle name="Normal 3 12 6 10 2" xfId="26124" xr:uid="{00000000-0005-0000-0000-0000FB330000}"/>
    <cellStyle name="Normal 3 12 6 11" xfId="8510" xr:uid="{00000000-0005-0000-0000-0000FC330000}"/>
    <cellStyle name="Normal 3 12 6 11 2" xfId="26125" xr:uid="{00000000-0005-0000-0000-0000FD330000}"/>
    <cellStyle name="Normal 3 12 6 12" xfId="8511" xr:uid="{00000000-0005-0000-0000-0000FE330000}"/>
    <cellStyle name="Normal 3 12 6 12 2" xfId="26126" xr:uid="{00000000-0005-0000-0000-0000FF330000}"/>
    <cellStyle name="Normal 3 12 6 13" xfId="8512" xr:uid="{00000000-0005-0000-0000-000000340000}"/>
    <cellStyle name="Normal 3 12 6 13 2" xfId="26127" xr:uid="{00000000-0005-0000-0000-000001340000}"/>
    <cellStyle name="Normal 3 12 6 14" xfId="8513" xr:uid="{00000000-0005-0000-0000-000002340000}"/>
    <cellStyle name="Normal 3 12 6 14 2" xfId="26128" xr:uid="{00000000-0005-0000-0000-000003340000}"/>
    <cellStyle name="Normal 3 12 6 15" xfId="8514" xr:uid="{00000000-0005-0000-0000-000004340000}"/>
    <cellStyle name="Normal 3 12 6 15 2" xfId="26129" xr:uid="{00000000-0005-0000-0000-000005340000}"/>
    <cellStyle name="Normal 3 12 6 16" xfId="26123" xr:uid="{00000000-0005-0000-0000-000006340000}"/>
    <cellStyle name="Normal 3 12 6 2" xfId="8515" xr:uid="{00000000-0005-0000-0000-000007340000}"/>
    <cellStyle name="Normal 3 12 6 2 10" xfId="8516" xr:uid="{00000000-0005-0000-0000-000008340000}"/>
    <cellStyle name="Normal 3 12 6 2 10 2" xfId="26131" xr:uid="{00000000-0005-0000-0000-000009340000}"/>
    <cellStyle name="Normal 3 12 6 2 11" xfId="8517" xr:uid="{00000000-0005-0000-0000-00000A340000}"/>
    <cellStyle name="Normal 3 12 6 2 11 2" xfId="26132" xr:uid="{00000000-0005-0000-0000-00000B340000}"/>
    <cellStyle name="Normal 3 12 6 2 12" xfId="8518" xr:uid="{00000000-0005-0000-0000-00000C340000}"/>
    <cellStyle name="Normal 3 12 6 2 12 2" xfId="26133" xr:uid="{00000000-0005-0000-0000-00000D340000}"/>
    <cellStyle name="Normal 3 12 6 2 13" xfId="8519" xr:uid="{00000000-0005-0000-0000-00000E340000}"/>
    <cellStyle name="Normal 3 12 6 2 13 2" xfId="26134" xr:uid="{00000000-0005-0000-0000-00000F340000}"/>
    <cellStyle name="Normal 3 12 6 2 14" xfId="8520" xr:uid="{00000000-0005-0000-0000-000010340000}"/>
    <cellStyle name="Normal 3 12 6 2 14 2" xfId="26135" xr:uid="{00000000-0005-0000-0000-000011340000}"/>
    <cellStyle name="Normal 3 12 6 2 15" xfId="26130" xr:uid="{00000000-0005-0000-0000-000012340000}"/>
    <cellStyle name="Normal 3 12 6 2 2" xfId="8521" xr:uid="{00000000-0005-0000-0000-000013340000}"/>
    <cellStyle name="Normal 3 12 6 2 2 2" xfId="26136" xr:uid="{00000000-0005-0000-0000-000014340000}"/>
    <cellStyle name="Normal 3 12 6 2 3" xfId="8522" xr:uid="{00000000-0005-0000-0000-000015340000}"/>
    <cellStyle name="Normal 3 12 6 2 3 2" xfId="26137" xr:uid="{00000000-0005-0000-0000-000016340000}"/>
    <cellStyle name="Normal 3 12 6 2 4" xfId="8523" xr:uid="{00000000-0005-0000-0000-000017340000}"/>
    <cellStyle name="Normal 3 12 6 2 4 2" xfId="26138" xr:uid="{00000000-0005-0000-0000-000018340000}"/>
    <cellStyle name="Normal 3 12 6 2 5" xfId="8524" xr:uid="{00000000-0005-0000-0000-000019340000}"/>
    <cellStyle name="Normal 3 12 6 2 5 2" xfId="26139" xr:uid="{00000000-0005-0000-0000-00001A340000}"/>
    <cellStyle name="Normal 3 12 6 2 6" xfId="8525" xr:uid="{00000000-0005-0000-0000-00001B340000}"/>
    <cellStyle name="Normal 3 12 6 2 6 2" xfId="26140" xr:uid="{00000000-0005-0000-0000-00001C340000}"/>
    <cellStyle name="Normal 3 12 6 2 7" xfId="8526" xr:uid="{00000000-0005-0000-0000-00001D340000}"/>
    <cellStyle name="Normal 3 12 6 2 7 2" xfId="26141" xr:uid="{00000000-0005-0000-0000-00001E340000}"/>
    <cellStyle name="Normal 3 12 6 2 8" xfId="8527" xr:uid="{00000000-0005-0000-0000-00001F340000}"/>
    <cellStyle name="Normal 3 12 6 2 8 2" xfId="26142" xr:uid="{00000000-0005-0000-0000-000020340000}"/>
    <cellStyle name="Normal 3 12 6 2 9" xfId="8528" xr:uid="{00000000-0005-0000-0000-000021340000}"/>
    <cellStyle name="Normal 3 12 6 2 9 2" xfId="26143" xr:uid="{00000000-0005-0000-0000-000022340000}"/>
    <cellStyle name="Normal 3 12 6 3" xfId="8529" xr:uid="{00000000-0005-0000-0000-000023340000}"/>
    <cellStyle name="Normal 3 12 6 3 2" xfId="26144" xr:uid="{00000000-0005-0000-0000-000024340000}"/>
    <cellStyle name="Normal 3 12 6 4" xfId="8530" xr:uid="{00000000-0005-0000-0000-000025340000}"/>
    <cellStyle name="Normal 3 12 6 4 2" xfId="26145" xr:uid="{00000000-0005-0000-0000-000026340000}"/>
    <cellStyle name="Normal 3 12 6 5" xfId="8531" xr:uid="{00000000-0005-0000-0000-000027340000}"/>
    <cellStyle name="Normal 3 12 6 5 2" xfId="26146" xr:uid="{00000000-0005-0000-0000-000028340000}"/>
    <cellStyle name="Normal 3 12 6 6" xfId="8532" xr:uid="{00000000-0005-0000-0000-000029340000}"/>
    <cellStyle name="Normal 3 12 6 6 2" xfId="26147" xr:uid="{00000000-0005-0000-0000-00002A340000}"/>
    <cellStyle name="Normal 3 12 6 7" xfId="8533" xr:uid="{00000000-0005-0000-0000-00002B340000}"/>
    <cellStyle name="Normal 3 12 6 7 2" xfId="26148" xr:uid="{00000000-0005-0000-0000-00002C340000}"/>
    <cellStyle name="Normal 3 12 6 8" xfId="8534" xr:uid="{00000000-0005-0000-0000-00002D340000}"/>
    <cellStyle name="Normal 3 12 6 8 2" xfId="26149" xr:uid="{00000000-0005-0000-0000-00002E340000}"/>
    <cellStyle name="Normal 3 12 6 9" xfId="8535" xr:uid="{00000000-0005-0000-0000-00002F340000}"/>
    <cellStyle name="Normal 3 12 6 9 2" xfId="26150" xr:uid="{00000000-0005-0000-0000-000030340000}"/>
    <cellStyle name="Normal 3 12 7" xfId="8536" xr:uid="{00000000-0005-0000-0000-000031340000}"/>
    <cellStyle name="Normal 3 12 7 10" xfId="8537" xr:uid="{00000000-0005-0000-0000-000032340000}"/>
    <cellStyle name="Normal 3 12 7 10 2" xfId="26152" xr:uid="{00000000-0005-0000-0000-000033340000}"/>
    <cellStyle name="Normal 3 12 7 11" xfId="8538" xr:uid="{00000000-0005-0000-0000-000034340000}"/>
    <cellStyle name="Normal 3 12 7 11 2" xfId="26153" xr:uid="{00000000-0005-0000-0000-000035340000}"/>
    <cellStyle name="Normal 3 12 7 12" xfId="8539" xr:uid="{00000000-0005-0000-0000-000036340000}"/>
    <cellStyle name="Normal 3 12 7 12 2" xfId="26154" xr:uid="{00000000-0005-0000-0000-000037340000}"/>
    <cellStyle name="Normal 3 12 7 13" xfId="8540" xr:uid="{00000000-0005-0000-0000-000038340000}"/>
    <cellStyle name="Normal 3 12 7 13 2" xfId="26155" xr:uid="{00000000-0005-0000-0000-000039340000}"/>
    <cellStyle name="Normal 3 12 7 14" xfId="8541" xr:uid="{00000000-0005-0000-0000-00003A340000}"/>
    <cellStyle name="Normal 3 12 7 14 2" xfId="26156" xr:uid="{00000000-0005-0000-0000-00003B340000}"/>
    <cellStyle name="Normal 3 12 7 15" xfId="8542" xr:uid="{00000000-0005-0000-0000-00003C340000}"/>
    <cellStyle name="Normal 3 12 7 15 2" xfId="26157" xr:uid="{00000000-0005-0000-0000-00003D340000}"/>
    <cellStyle name="Normal 3 12 7 16" xfId="26151" xr:uid="{00000000-0005-0000-0000-00003E340000}"/>
    <cellStyle name="Normal 3 12 7 2" xfId="8543" xr:uid="{00000000-0005-0000-0000-00003F340000}"/>
    <cellStyle name="Normal 3 12 7 2 10" xfId="8544" xr:uid="{00000000-0005-0000-0000-000040340000}"/>
    <cellStyle name="Normal 3 12 7 2 10 2" xfId="26159" xr:uid="{00000000-0005-0000-0000-000041340000}"/>
    <cellStyle name="Normal 3 12 7 2 11" xfId="8545" xr:uid="{00000000-0005-0000-0000-000042340000}"/>
    <cellStyle name="Normal 3 12 7 2 11 2" xfId="26160" xr:uid="{00000000-0005-0000-0000-000043340000}"/>
    <cellStyle name="Normal 3 12 7 2 12" xfId="8546" xr:uid="{00000000-0005-0000-0000-000044340000}"/>
    <cellStyle name="Normal 3 12 7 2 12 2" xfId="26161" xr:uid="{00000000-0005-0000-0000-000045340000}"/>
    <cellStyle name="Normal 3 12 7 2 13" xfId="8547" xr:uid="{00000000-0005-0000-0000-000046340000}"/>
    <cellStyle name="Normal 3 12 7 2 13 2" xfId="26162" xr:uid="{00000000-0005-0000-0000-000047340000}"/>
    <cellStyle name="Normal 3 12 7 2 14" xfId="8548" xr:uid="{00000000-0005-0000-0000-000048340000}"/>
    <cellStyle name="Normal 3 12 7 2 14 2" xfId="26163" xr:uid="{00000000-0005-0000-0000-000049340000}"/>
    <cellStyle name="Normal 3 12 7 2 15" xfId="26158" xr:uid="{00000000-0005-0000-0000-00004A340000}"/>
    <cellStyle name="Normal 3 12 7 2 2" xfId="8549" xr:uid="{00000000-0005-0000-0000-00004B340000}"/>
    <cellStyle name="Normal 3 12 7 2 2 2" xfId="26164" xr:uid="{00000000-0005-0000-0000-00004C340000}"/>
    <cellStyle name="Normal 3 12 7 2 3" xfId="8550" xr:uid="{00000000-0005-0000-0000-00004D340000}"/>
    <cellStyle name="Normal 3 12 7 2 3 2" xfId="26165" xr:uid="{00000000-0005-0000-0000-00004E340000}"/>
    <cellStyle name="Normal 3 12 7 2 4" xfId="8551" xr:uid="{00000000-0005-0000-0000-00004F340000}"/>
    <cellStyle name="Normal 3 12 7 2 4 2" xfId="26166" xr:uid="{00000000-0005-0000-0000-000050340000}"/>
    <cellStyle name="Normal 3 12 7 2 5" xfId="8552" xr:uid="{00000000-0005-0000-0000-000051340000}"/>
    <cellStyle name="Normal 3 12 7 2 5 2" xfId="26167" xr:uid="{00000000-0005-0000-0000-000052340000}"/>
    <cellStyle name="Normal 3 12 7 2 6" xfId="8553" xr:uid="{00000000-0005-0000-0000-000053340000}"/>
    <cellStyle name="Normal 3 12 7 2 6 2" xfId="26168" xr:uid="{00000000-0005-0000-0000-000054340000}"/>
    <cellStyle name="Normal 3 12 7 2 7" xfId="8554" xr:uid="{00000000-0005-0000-0000-000055340000}"/>
    <cellStyle name="Normal 3 12 7 2 7 2" xfId="26169" xr:uid="{00000000-0005-0000-0000-000056340000}"/>
    <cellStyle name="Normal 3 12 7 2 8" xfId="8555" xr:uid="{00000000-0005-0000-0000-000057340000}"/>
    <cellStyle name="Normal 3 12 7 2 8 2" xfId="26170" xr:uid="{00000000-0005-0000-0000-000058340000}"/>
    <cellStyle name="Normal 3 12 7 2 9" xfId="8556" xr:uid="{00000000-0005-0000-0000-000059340000}"/>
    <cellStyle name="Normal 3 12 7 2 9 2" xfId="26171" xr:uid="{00000000-0005-0000-0000-00005A340000}"/>
    <cellStyle name="Normal 3 12 7 3" xfId="8557" xr:uid="{00000000-0005-0000-0000-00005B340000}"/>
    <cellStyle name="Normal 3 12 7 3 2" xfId="26172" xr:uid="{00000000-0005-0000-0000-00005C340000}"/>
    <cellStyle name="Normal 3 12 7 4" xfId="8558" xr:uid="{00000000-0005-0000-0000-00005D340000}"/>
    <cellStyle name="Normal 3 12 7 4 2" xfId="26173" xr:uid="{00000000-0005-0000-0000-00005E340000}"/>
    <cellStyle name="Normal 3 12 7 5" xfId="8559" xr:uid="{00000000-0005-0000-0000-00005F340000}"/>
    <cellStyle name="Normal 3 12 7 5 2" xfId="26174" xr:uid="{00000000-0005-0000-0000-000060340000}"/>
    <cellStyle name="Normal 3 12 7 6" xfId="8560" xr:uid="{00000000-0005-0000-0000-000061340000}"/>
    <cellStyle name="Normal 3 12 7 6 2" xfId="26175" xr:uid="{00000000-0005-0000-0000-000062340000}"/>
    <cellStyle name="Normal 3 12 7 7" xfId="8561" xr:uid="{00000000-0005-0000-0000-000063340000}"/>
    <cellStyle name="Normal 3 12 7 7 2" xfId="26176" xr:uid="{00000000-0005-0000-0000-000064340000}"/>
    <cellStyle name="Normal 3 12 7 8" xfId="8562" xr:uid="{00000000-0005-0000-0000-000065340000}"/>
    <cellStyle name="Normal 3 12 7 8 2" xfId="26177" xr:uid="{00000000-0005-0000-0000-000066340000}"/>
    <cellStyle name="Normal 3 12 7 9" xfId="8563" xr:uid="{00000000-0005-0000-0000-000067340000}"/>
    <cellStyle name="Normal 3 12 7 9 2" xfId="26178" xr:uid="{00000000-0005-0000-0000-000068340000}"/>
    <cellStyle name="Normal 3 12 8" xfId="8564" xr:uid="{00000000-0005-0000-0000-000069340000}"/>
    <cellStyle name="Normal 3 12 8 10" xfId="8565" xr:uid="{00000000-0005-0000-0000-00006A340000}"/>
    <cellStyle name="Normal 3 12 8 10 2" xfId="26180" xr:uid="{00000000-0005-0000-0000-00006B340000}"/>
    <cellStyle name="Normal 3 12 8 11" xfId="8566" xr:uid="{00000000-0005-0000-0000-00006C340000}"/>
    <cellStyle name="Normal 3 12 8 11 2" xfId="26181" xr:uid="{00000000-0005-0000-0000-00006D340000}"/>
    <cellStyle name="Normal 3 12 8 12" xfId="8567" xr:uid="{00000000-0005-0000-0000-00006E340000}"/>
    <cellStyle name="Normal 3 12 8 12 2" xfId="26182" xr:uid="{00000000-0005-0000-0000-00006F340000}"/>
    <cellStyle name="Normal 3 12 8 13" xfId="8568" xr:uid="{00000000-0005-0000-0000-000070340000}"/>
    <cellStyle name="Normal 3 12 8 13 2" xfId="26183" xr:uid="{00000000-0005-0000-0000-000071340000}"/>
    <cellStyle name="Normal 3 12 8 14" xfId="8569" xr:uid="{00000000-0005-0000-0000-000072340000}"/>
    <cellStyle name="Normal 3 12 8 14 2" xfId="26184" xr:uid="{00000000-0005-0000-0000-000073340000}"/>
    <cellStyle name="Normal 3 12 8 15" xfId="8570" xr:uid="{00000000-0005-0000-0000-000074340000}"/>
    <cellStyle name="Normal 3 12 8 15 2" xfId="26185" xr:uid="{00000000-0005-0000-0000-000075340000}"/>
    <cellStyle name="Normal 3 12 8 16" xfId="26179" xr:uid="{00000000-0005-0000-0000-000076340000}"/>
    <cellStyle name="Normal 3 12 8 2" xfId="8571" xr:uid="{00000000-0005-0000-0000-000077340000}"/>
    <cellStyle name="Normal 3 12 8 2 10" xfId="8572" xr:uid="{00000000-0005-0000-0000-000078340000}"/>
    <cellStyle name="Normal 3 12 8 2 10 2" xfId="26187" xr:uid="{00000000-0005-0000-0000-000079340000}"/>
    <cellStyle name="Normal 3 12 8 2 11" xfId="8573" xr:uid="{00000000-0005-0000-0000-00007A340000}"/>
    <cellStyle name="Normal 3 12 8 2 11 2" xfId="26188" xr:uid="{00000000-0005-0000-0000-00007B340000}"/>
    <cellStyle name="Normal 3 12 8 2 12" xfId="8574" xr:uid="{00000000-0005-0000-0000-00007C340000}"/>
    <cellStyle name="Normal 3 12 8 2 12 2" xfId="26189" xr:uid="{00000000-0005-0000-0000-00007D340000}"/>
    <cellStyle name="Normal 3 12 8 2 13" xfId="8575" xr:uid="{00000000-0005-0000-0000-00007E340000}"/>
    <cellStyle name="Normal 3 12 8 2 13 2" xfId="26190" xr:uid="{00000000-0005-0000-0000-00007F340000}"/>
    <cellStyle name="Normal 3 12 8 2 14" xfId="8576" xr:uid="{00000000-0005-0000-0000-000080340000}"/>
    <cellStyle name="Normal 3 12 8 2 14 2" xfId="26191" xr:uid="{00000000-0005-0000-0000-000081340000}"/>
    <cellStyle name="Normal 3 12 8 2 15" xfId="26186" xr:uid="{00000000-0005-0000-0000-000082340000}"/>
    <cellStyle name="Normal 3 12 8 2 2" xfId="8577" xr:uid="{00000000-0005-0000-0000-000083340000}"/>
    <cellStyle name="Normal 3 12 8 2 2 2" xfId="26192" xr:uid="{00000000-0005-0000-0000-000084340000}"/>
    <cellStyle name="Normal 3 12 8 2 3" xfId="8578" xr:uid="{00000000-0005-0000-0000-000085340000}"/>
    <cellStyle name="Normal 3 12 8 2 3 2" xfId="26193" xr:uid="{00000000-0005-0000-0000-000086340000}"/>
    <cellStyle name="Normal 3 12 8 2 4" xfId="8579" xr:uid="{00000000-0005-0000-0000-000087340000}"/>
    <cellStyle name="Normal 3 12 8 2 4 2" xfId="26194" xr:uid="{00000000-0005-0000-0000-000088340000}"/>
    <cellStyle name="Normal 3 12 8 2 5" xfId="8580" xr:uid="{00000000-0005-0000-0000-000089340000}"/>
    <cellStyle name="Normal 3 12 8 2 5 2" xfId="26195" xr:uid="{00000000-0005-0000-0000-00008A340000}"/>
    <cellStyle name="Normal 3 12 8 2 6" xfId="8581" xr:uid="{00000000-0005-0000-0000-00008B340000}"/>
    <cellStyle name="Normal 3 12 8 2 6 2" xfId="26196" xr:uid="{00000000-0005-0000-0000-00008C340000}"/>
    <cellStyle name="Normal 3 12 8 2 7" xfId="8582" xr:uid="{00000000-0005-0000-0000-00008D340000}"/>
    <cellStyle name="Normal 3 12 8 2 7 2" xfId="26197" xr:uid="{00000000-0005-0000-0000-00008E340000}"/>
    <cellStyle name="Normal 3 12 8 2 8" xfId="8583" xr:uid="{00000000-0005-0000-0000-00008F340000}"/>
    <cellStyle name="Normal 3 12 8 2 8 2" xfId="26198" xr:uid="{00000000-0005-0000-0000-000090340000}"/>
    <cellStyle name="Normal 3 12 8 2 9" xfId="8584" xr:uid="{00000000-0005-0000-0000-000091340000}"/>
    <cellStyle name="Normal 3 12 8 2 9 2" xfId="26199" xr:uid="{00000000-0005-0000-0000-000092340000}"/>
    <cellStyle name="Normal 3 12 8 3" xfId="8585" xr:uid="{00000000-0005-0000-0000-000093340000}"/>
    <cellStyle name="Normal 3 12 8 3 2" xfId="26200" xr:uid="{00000000-0005-0000-0000-000094340000}"/>
    <cellStyle name="Normal 3 12 8 4" xfId="8586" xr:uid="{00000000-0005-0000-0000-000095340000}"/>
    <cellStyle name="Normal 3 12 8 4 2" xfId="26201" xr:uid="{00000000-0005-0000-0000-000096340000}"/>
    <cellStyle name="Normal 3 12 8 5" xfId="8587" xr:uid="{00000000-0005-0000-0000-000097340000}"/>
    <cellStyle name="Normal 3 12 8 5 2" xfId="26202" xr:uid="{00000000-0005-0000-0000-000098340000}"/>
    <cellStyle name="Normal 3 12 8 6" xfId="8588" xr:uid="{00000000-0005-0000-0000-000099340000}"/>
    <cellStyle name="Normal 3 12 8 6 2" xfId="26203" xr:uid="{00000000-0005-0000-0000-00009A340000}"/>
    <cellStyle name="Normal 3 12 8 7" xfId="8589" xr:uid="{00000000-0005-0000-0000-00009B340000}"/>
    <cellStyle name="Normal 3 12 8 7 2" xfId="26204" xr:uid="{00000000-0005-0000-0000-00009C340000}"/>
    <cellStyle name="Normal 3 12 8 8" xfId="8590" xr:uid="{00000000-0005-0000-0000-00009D340000}"/>
    <cellStyle name="Normal 3 12 8 8 2" xfId="26205" xr:uid="{00000000-0005-0000-0000-00009E340000}"/>
    <cellStyle name="Normal 3 12 8 9" xfId="8591" xr:uid="{00000000-0005-0000-0000-00009F340000}"/>
    <cellStyle name="Normal 3 12 8 9 2" xfId="26206" xr:uid="{00000000-0005-0000-0000-0000A0340000}"/>
    <cellStyle name="Normal 3 12 9" xfId="8592" xr:uid="{00000000-0005-0000-0000-0000A1340000}"/>
    <cellStyle name="Normal 3 12 9 10" xfId="8593" xr:uid="{00000000-0005-0000-0000-0000A2340000}"/>
    <cellStyle name="Normal 3 12 9 10 2" xfId="26208" xr:uid="{00000000-0005-0000-0000-0000A3340000}"/>
    <cellStyle name="Normal 3 12 9 11" xfId="8594" xr:uid="{00000000-0005-0000-0000-0000A4340000}"/>
    <cellStyle name="Normal 3 12 9 11 2" xfId="26209" xr:uid="{00000000-0005-0000-0000-0000A5340000}"/>
    <cellStyle name="Normal 3 12 9 12" xfId="8595" xr:uid="{00000000-0005-0000-0000-0000A6340000}"/>
    <cellStyle name="Normal 3 12 9 12 2" xfId="26210" xr:uid="{00000000-0005-0000-0000-0000A7340000}"/>
    <cellStyle name="Normal 3 12 9 13" xfId="8596" xr:uid="{00000000-0005-0000-0000-0000A8340000}"/>
    <cellStyle name="Normal 3 12 9 13 2" xfId="26211" xr:uid="{00000000-0005-0000-0000-0000A9340000}"/>
    <cellStyle name="Normal 3 12 9 14" xfId="8597" xr:uid="{00000000-0005-0000-0000-0000AA340000}"/>
    <cellStyle name="Normal 3 12 9 14 2" xfId="26212" xr:uid="{00000000-0005-0000-0000-0000AB340000}"/>
    <cellStyle name="Normal 3 12 9 15" xfId="26207" xr:uid="{00000000-0005-0000-0000-0000AC340000}"/>
    <cellStyle name="Normal 3 12 9 2" xfId="8598" xr:uid="{00000000-0005-0000-0000-0000AD340000}"/>
    <cellStyle name="Normal 3 12 9 2 2" xfId="26213" xr:uid="{00000000-0005-0000-0000-0000AE340000}"/>
    <cellStyle name="Normal 3 12 9 3" xfId="8599" xr:uid="{00000000-0005-0000-0000-0000AF340000}"/>
    <cellStyle name="Normal 3 12 9 3 2" xfId="26214" xr:uid="{00000000-0005-0000-0000-0000B0340000}"/>
    <cellStyle name="Normal 3 12 9 4" xfId="8600" xr:uid="{00000000-0005-0000-0000-0000B1340000}"/>
    <cellStyle name="Normal 3 12 9 4 2" xfId="26215" xr:uid="{00000000-0005-0000-0000-0000B2340000}"/>
    <cellStyle name="Normal 3 12 9 5" xfId="8601" xr:uid="{00000000-0005-0000-0000-0000B3340000}"/>
    <cellStyle name="Normal 3 12 9 5 2" xfId="26216" xr:uid="{00000000-0005-0000-0000-0000B4340000}"/>
    <cellStyle name="Normal 3 12 9 6" xfId="8602" xr:uid="{00000000-0005-0000-0000-0000B5340000}"/>
    <cellStyle name="Normal 3 12 9 6 2" xfId="26217" xr:uid="{00000000-0005-0000-0000-0000B6340000}"/>
    <cellStyle name="Normal 3 12 9 7" xfId="8603" xr:uid="{00000000-0005-0000-0000-0000B7340000}"/>
    <cellStyle name="Normal 3 12 9 7 2" xfId="26218" xr:uid="{00000000-0005-0000-0000-0000B8340000}"/>
    <cellStyle name="Normal 3 12 9 8" xfId="8604" xr:uid="{00000000-0005-0000-0000-0000B9340000}"/>
    <cellStyle name="Normal 3 12 9 8 2" xfId="26219" xr:uid="{00000000-0005-0000-0000-0000BA340000}"/>
    <cellStyle name="Normal 3 12 9 9" xfId="8605" xr:uid="{00000000-0005-0000-0000-0000BB340000}"/>
    <cellStyle name="Normal 3 12 9 9 2" xfId="26220" xr:uid="{00000000-0005-0000-0000-0000BC340000}"/>
    <cellStyle name="Normal 3 13" xfId="8606" xr:uid="{00000000-0005-0000-0000-0000BD340000}"/>
    <cellStyle name="Normal 3 13 10" xfId="8607" xr:uid="{00000000-0005-0000-0000-0000BE340000}"/>
    <cellStyle name="Normal 3 13 10 10" xfId="8608" xr:uid="{00000000-0005-0000-0000-0000BF340000}"/>
    <cellStyle name="Normal 3 13 10 10 2" xfId="26222" xr:uid="{00000000-0005-0000-0000-0000C0340000}"/>
    <cellStyle name="Normal 3 13 10 11" xfId="8609" xr:uid="{00000000-0005-0000-0000-0000C1340000}"/>
    <cellStyle name="Normal 3 13 10 11 2" xfId="26223" xr:uid="{00000000-0005-0000-0000-0000C2340000}"/>
    <cellStyle name="Normal 3 13 10 12" xfId="8610" xr:uid="{00000000-0005-0000-0000-0000C3340000}"/>
    <cellStyle name="Normal 3 13 10 12 2" xfId="26224" xr:uid="{00000000-0005-0000-0000-0000C4340000}"/>
    <cellStyle name="Normal 3 13 10 13" xfId="8611" xr:uid="{00000000-0005-0000-0000-0000C5340000}"/>
    <cellStyle name="Normal 3 13 10 13 2" xfId="26225" xr:uid="{00000000-0005-0000-0000-0000C6340000}"/>
    <cellStyle name="Normal 3 13 10 14" xfId="8612" xr:uid="{00000000-0005-0000-0000-0000C7340000}"/>
    <cellStyle name="Normal 3 13 10 14 2" xfId="26226" xr:uid="{00000000-0005-0000-0000-0000C8340000}"/>
    <cellStyle name="Normal 3 13 10 15" xfId="26221" xr:uid="{00000000-0005-0000-0000-0000C9340000}"/>
    <cellStyle name="Normal 3 13 10 2" xfId="8613" xr:uid="{00000000-0005-0000-0000-0000CA340000}"/>
    <cellStyle name="Normal 3 13 10 2 2" xfId="26227" xr:uid="{00000000-0005-0000-0000-0000CB340000}"/>
    <cellStyle name="Normal 3 13 10 3" xfId="8614" xr:uid="{00000000-0005-0000-0000-0000CC340000}"/>
    <cellStyle name="Normal 3 13 10 3 2" xfId="26228" xr:uid="{00000000-0005-0000-0000-0000CD340000}"/>
    <cellStyle name="Normal 3 13 10 4" xfId="8615" xr:uid="{00000000-0005-0000-0000-0000CE340000}"/>
    <cellStyle name="Normal 3 13 10 4 2" xfId="26229" xr:uid="{00000000-0005-0000-0000-0000CF340000}"/>
    <cellStyle name="Normal 3 13 10 5" xfId="8616" xr:uid="{00000000-0005-0000-0000-0000D0340000}"/>
    <cellStyle name="Normal 3 13 10 5 2" xfId="26230" xr:uid="{00000000-0005-0000-0000-0000D1340000}"/>
    <cellStyle name="Normal 3 13 10 6" xfId="8617" xr:uid="{00000000-0005-0000-0000-0000D2340000}"/>
    <cellStyle name="Normal 3 13 10 6 2" xfId="26231" xr:uid="{00000000-0005-0000-0000-0000D3340000}"/>
    <cellStyle name="Normal 3 13 10 7" xfId="8618" xr:uid="{00000000-0005-0000-0000-0000D4340000}"/>
    <cellStyle name="Normal 3 13 10 7 2" xfId="26232" xr:uid="{00000000-0005-0000-0000-0000D5340000}"/>
    <cellStyle name="Normal 3 13 10 8" xfId="8619" xr:uid="{00000000-0005-0000-0000-0000D6340000}"/>
    <cellStyle name="Normal 3 13 10 8 2" xfId="26233" xr:uid="{00000000-0005-0000-0000-0000D7340000}"/>
    <cellStyle name="Normal 3 13 10 9" xfId="8620" xr:uid="{00000000-0005-0000-0000-0000D8340000}"/>
    <cellStyle name="Normal 3 13 10 9 2" xfId="26234" xr:uid="{00000000-0005-0000-0000-0000D9340000}"/>
    <cellStyle name="Normal 3 13 11" xfId="8621" xr:uid="{00000000-0005-0000-0000-0000DA340000}"/>
    <cellStyle name="Normal 3 13 11 10" xfId="8622" xr:uid="{00000000-0005-0000-0000-0000DB340000}"/>
    <cellStyle name="Normal 3 13 11 10 2" xfId="26236" xr:uid="{00000000-0005-0000-0000-0000DC340000}"/>
    <cellStyle name="Normal 3 13 11 11" xfId="8623" xr:uid="{00000000-0005-0000-0000-0000DD340000}"/>
    <cellStyle name="Normal 3 13 11 11 2" xfId="26237" xr:uid="{00000000-0005-0000-0000-0000DE340000}"/>
    <cellStyle name="Normal 3 13 11 12" xfId="8624" xr:uid="{00000000-0005-0000-0000-0000DF340000}"/>
    <cellStyle name="Normal 3 13 11 12 2" xfId="26238" xr:uid="{00000000-0005-0000-0000-0000E0340000}"/>
    <cellStyle name="Normal 3 13 11 13" xfId="8625" xr:uid="{00000000-0005-0000-0000-0000E1340000}"/>
    <cellStyle name="Normal 3 13 11 13 2" xfId="26239" xr:uid="{00000000-0005-0000-0000-0000E2340000}"/>
    <cellStyle name="Normal 3 13 11 14" xfId="8626" xr:uid="{00000000-0005-0000-0000-0000E3340000}"/>
    <cellStyle name="Normal 3 13 11 14 2" xfId="26240" xr:uid="{00000000-0005-0000-0000-0000E4340000}"/>
    <cellStyle name="Normal 3 13 11 15" xfId="26235" xr:uid="{00000000-0005-0000-0000-0000E5340000}"/>
    <cellStyle name="Normal 3 13 11 2" xfId="8627" xr:uid="{00000000-0005-0000-0000-0000E6340000}"/>
    <cellStyle name="Normal 3 13 11 2 2" xfId="26241" xr:uid="{00000000-0005-0000-0000-0000E7340000}"/>
    <cellStyle name="Normal 3 13 11 3" xfId="8628" xr:uid="{00000000-0005-0000-0000-0000E8340000}"/>
    <cellStyle name="Normal 3 13 11 3 2" xfId="26242" xr:uid="{00000000-0005-0000-0000-0000E9340000}"/>
    <cellStyle name="Normal 3 13 11 4" xfId="8629" xr:uid="{00000000-0005-0000-0000-0000EA340000}"/>
    <cellStyle name="Normal 3 13 11 4 2" xfId="26243" xr:uid="{00000000-0005-0000-0000-0000EB340000}"/>
    <cellStyle name="Normal 3 13 11 5" xfId="8630" xr:uid="{00000000-0005-0000-0000-0000EC340000}"/>
    <cellStyle name="Normal 3 13 11 5 2" xfId="26244" xr:uid="{00000000-0005-0000-0000-0000ED340000}"/>
    <cellStyle name="Normal 3 13 11 6" xfId="8631" xr:uid="{00000000-0005-0000-0000-0000EE340000}"/>
    <cellStyle name="Normal 3 13 11 6 2" xfId="26245" xr:uid="{00000000-0005-0000-0000-0000EF340000}"/>
    <cellStyle name="Normal 3 13 11 7" xfId="8632" xr:uid="{00000000-0005-0000-0000-0000F0340000}"/>
    <cellStyle name="Normal 3 13 11 7 2" xfId="26246" xr:uid="{00000000-0005-0000-0000-0000F1340000}"/>
    <cellStyle name="Normal 3 13 11 8" xfId="8633" xr:uid="{00000000-0005-0000-0000-0000F2340000}"/>
    <cellStyle name="Normal 3 13 11 8 2" xfId="26247" xr:uid="{00000000-0005-0000-0000-0000F3340000}"/>
    <cellStyle name="Normal 3 13 11 9" xfId="8634" xr:uid="{00000000-0005-0000-0000-0000F4340000}"/>
    <cellStyle name="Normal 3 13 11 9 2" xfId="26248" xr:uid="{00000000-0005-0000-0000-0000F5340000}"/>
    <cellStyle name="Normal 3 13 12" xfId="8635" xr:uid="{00000000-0005-0000-0000-0000F6340000}"/>
    <cellStyle name="Normal 3 13 12 10" xfId="8636" xr:uid="{00000000-0005-0000-0000-0000F7340000}"/>
    <cellStyle name="Normal 3 13 12 10 2" xfId="26250" xr:uid="{00000000-0005-0000-0000-0000F8340000}"/>
    <cellStyle name="Normal 3 13 12 11" xfId="8637" xr:uid="{00000000-0005-0000-0000-0000F9340000}"/>
    <cellStyle name="Normal 3 13 12 11 2" xfId="26251" xr:uid="{00000000-0005-0000-0000-0000FA340000}"/>
    <cellStyle name="Normal 3 13 12 12" xfId="8638" xr:uid="{00000000-0005-0000-0000-0000FB340000}"/>
    <cellStyle name="Normal 3 13 12 12 2" xfId="26252" xr:uid="{00000000-0005-0000-0000-0000FC340000}"/>
    <cellStyle name="Normal 3 13 12 13" xfId="8639" xr:uid="{00000000-0005-0000-0000-0000FD340000}"/>
    <cellStyle name="Normal 3 13 12 13 2" xfId="26253" xr:uid="{00000000-0005-0000-0000-0000FE340000}"/>
    <cellStyle name="Normal 3 13 12 14" xfId="8640" xr:uid="{00000000-0005-0000-0000-0000FF340000}"/>
    <cellStyle name="Normal 3 13 12 14 2" xfId="26254" xr:uid="{00000000-0005-0000-0000-000000350000}"/>
    <cellStyle name="Normal 3 13 12 15" xfId="26249" xr:uid="{00000000-0005-0000-0000-000001350000}"/>
    <cellStyle name="Normal 3 13 12 2" xfId="8641" xr:uid="{00000000-0005-0000-0000-000002350000}"/>
    <cellStyle name="Normal 3 13 12 2 2" xfId="26255" xr:uid="{00000000-0005-0000-0000-000003350000}"/>
    <cellStyle name="Normal 3 13 12 3" xfId="8642" xr:uid="{00000000-0005-0000-0000-000004350000}"/>
    <cellStyle name="Normal 3 13 12 3 2" xfId="26256" xr:uid="{00000000-0005-0000-0000-000005350000}"/>
    <cellStyle name="Normal 3 13 12 4" xfId="8643" xr:uid="{00000000-0005-0000-0000-000006350000}"/>
    <cellStyle name="Normal 3 13 12 4 2" xfId="26257" xr:uid="{00000000-0005-0000-0000-000007350000}"/>
    <cellStyle name="Normal 3 13 12 5" xfId="8644" xr:uid="{00000000-0005-0000-0000-000008350000}"/>
    <cellStyle name="Normal 3 13 12 5 2" xfId="26258" xr:uid="{00000000-0005-0000-0000-000009350000}"/>
    <cellStyle name="Normal 3 13 12 6" xfId="8645" xr:uid="{00000000-0005-0000-0000-00000A350000}"/>
    <cellStyle name="Normal 3 13 12 6 2" xfId="26259" xr:uid="{00000000-0005-0000-0000-00000B350000}"/>
    <cellStyle name="Normal 3 13 12 7" xfId="8646" xr:uid="{00000000-0005-0000-0000-00000C350000}"/>
    <cellStyle name="Normal 3 13 12 7 2" xfId="26260" xr:uid="{00000000-0005-0000-0000-00000D350000}"/>
    <cellStyle name="Normal 3 13 12 8" xfId="8647" xr:uid="{00000000-0005-0000-0000-00000E350000}"/>
    <cellStyle name="Normal 3 13 12 8 2" xfId="26261" xr:uid="{00000000-0005-0000-0000-00000F350000}"/>
    <cellStyle name="Normal 3 13 12 9" xfId="8648" xr:uid="{00000000-0005-0000-0000-000010350000}"/>
    <cellStyle name="Normal 3 13 12 9 2" xfId="26262" xr:uid="{00000000-0005-0000-0000-000011350000}"/>
    <cellStyle name="Normal 3 13 13" xfId="8649" xr:uid="{00000000-0005-0000-0000-000012350000}"/>
    <cellStyle name="Normal 3 13 13 10" xfId="8650" xr:uid="{00000000-0005-0000-0000-000013350000}"/>
    <cellStyle name="Normal 3 13 13 10 2" xfId="26264" xr:uid="{00000000-0005-0000-0000-000014350000}"/>
    <cellStyle name="Normal 3 13 13 11" xfId="8651" xr:uid="{00000000-0005-0000-0000-000015350000}"/>
    <cellStyle name="Normal 3 13 13 11 2" xfId="26265" xr:uid="{00000000-0005-0000-0000-000016350000}"/>
    <cellStyle name="Normal 3 13 13 12" xfId="8652" xr:uid="{00000000-0005-0000-0000-000017350000}"/>
    <cellStyle name="Normal 3 13 13 12 2" xfId="26266" xr:uid="{00000000-0005-0000-0000-000018350000}"/>
    <cellStyle name="Normal 3 13 13 13" xfId="8653" xr:uid="{00000000-0005-0000-0000-000019350000}"/>
    <cellStyle name="Normal 3 13 13 13 2" xfId="26267" xr:uid="{00000000-0005-0000-0000-00001A350000}"/>
    <cellStyle name="Normal 3 13 13 14" xfId="8654" xr:uid="{00000000-0005-0000-0000-00001B350000}"/>
    <cellStyle name="Normal 3 13 13 14 2" xfId="26268" xr:uid="{00000000-0005-0000-0000-00001C350000}"/>
    <cellStyle name="Normal 3 13 13 15" xfId="26263" xr:uid="{00000000-0005-0000-0000-00001D350000}"/>
    <cellStyle name="Normal 3 13 13 2" xfId="8655" xr:uid="{00000000-0005-0000-0000-00001E350000}"/>
    <cellStyle name="Normal 3 13 13 2 2" xfId="26269" xr:uid="{00000000-0005-0000-0000-00001F350000}"/>
    <cellStyle name="Normal 3 13 13 3" xfId="8656" xr:uid="{00000000-0005-0000-0000-000020350000}"/>
    <cellStyle name="Normal 3 13 13 3 2" xfId="26270" xr:uid="{00000000-0005-0000-0000-000021350000}"/>
    <cellStyle name="Normal 3 13 13 4" xfId="8657" xr:uid="{00000000-0005-0000-0000-000022350000}"/>
    <cellStyle name="Normal 3 13 13 4 2" xfId="26271" xr:uid="{00000000-0005-0000-0000-000023350000}"/>
    <cellStyle name="Normal 3 13 13 5" xfId="8658" xr:uid="{00000000-0005-0000-0000-000024350000}"/>
    <cellStyle name="Normal 3 13 13 5 2" xfId="26272" xr:uid="{00000000-0005-0000-0000-000025350000}"/>
    <cellStyle name="Normal 3 13 13 6" xfId="8659" xr:uid="{00000000-0005-0000-0000-000026350000}"/>
    <cellStyle name="Normal 3 13 13 6 2" xfId="26273" xr:uid="{00000000-0005-0000-0000-000027350000}"/>
    <cellStyle name="Normal 3 13 13 7" xfId="8660" xr:uid="{00000000-0005-0000-0000-000028350000}"/>
    <cellStyle name="Normal 3 13 13 7 2" xfId="26274" xr:uid="{00000000-0005-0000-0000-000029350000}"/>
    <cellStyle name="Normal 3 13 13 8" xfId="8661" xr:uid="{00000000-0005-0000-0000-00002A350000}"/>
    <cellStyle name="Normal 3 13 13 8 2" xfId="26275" xr:uid="{00000000-0005-0000-0000-00002B350000}"/>
    <cellStyle name="Normal 3 13 13 9" xfId="8662" xr:uid="{00000000-0005-0000-0000-00002C350000}"/>
    <cellStyle name="Normal 3 13 13 9 2" xfId="26276" xr:uid="{00000000-0005-0000-0000-00002D350000}"/>
    <cellStyle name="Normal 3 13 14" xfId="8663" xr:uid="{00000000-0005-0000-0000-00002E350000}"/>
    <cellStyle name="Normal 3 13 14 10" xfId="8664" xr:uid="{00000000-0005-0000-0000-00002F350000}"/>
    <cellStyle name="Normal 3 13 14 10 2" xfId="26278" xr:uid="{00000000-0005-0000-0000-000030350000}"/>
    <cellStyle name="Normal 3 13 14 11" xfId="8665" xr:uid="{00000000-0005-0000-0000-000031350000}"/>
    <cellStyle name="Normal 3 13 14 11 2" xfId="26279" xr:uid="{00000000-0005-0000-0000-000032350000}"/>
    <cellStyle name="Normal 3 13 14 12" xfId="8666" xr:uid="{00000000-0005-0000-0000-000033350000}"/>
    <cellStyle name="Normal 3 13 14 12 2" xfId="26280" xr:uid="{00000000-0005-0000-0000-000034350000}"/>
    <cellStyle name="Normal 3 13 14 13" xfId="8667" xr:uid="{00000000-0005-0000-0000-000035350000}"/>
    <cellStyle name="Normal 3 13 14 13 2" xfId="26281" xr:uid="{00000000-0005-0000-0000-000036350000}"/>
    <cellStyle name="Normal 3 13 14 14" xfId="8668" xr:uid="{00000000-0005-0000-0000-000037350000}"/>
    <cellStyle name="Normal 3 13 14 14 2" xfId="26282" xr:uid="{00000000-0005-0000-0000-000038350000}"/>
    <cellStyle name="Normal 3 13 14 15" xfId="26277" xr:uid="{00000000-0005-0000-0000-000039350000}"/>
    <cellStyle name="Normal 3 13 14 2" xfId="8669" xr:uid="{00000000-0005-0000-0000-00003A350000}"/>
    <cellStyle name="Normal 3 13 14 2 2" xfId="26283" xr:uid="{00000000-0005-0000-0000-00003B350000}"/>
    <cellStyle name="Normal 3 13 14 3" xfId="8670" xr:uid="{00000000-0005-0000-0000-00003C350000}"/>
    <cellStyle name="Normal 3 13 14 3 2" xfId="26284" xr:uid="{00000000-0005-0000-0000-00003D350000}"/>
    <cellStyle name="Normal 3 13 14 4" xfId="8671" xr:uid="{00000000-0005-0000-0000-00003E350000}"/>
    <cellStyle name="Normal 3 13 14 4 2" xfId="26285" xr:uid="{00000000-0005-0000-0000-00003F350000}"/>
    <cellStyle name="Normal 3 13 14 5" xfId="8672" xr:uid="{00000000-0005-0000-0000-000040350000}"/>
    <cellStyle name="Normal 3 13 14 5 2" xfId="26286" xr:uid="{00000000-0005-0000-0000-000041350000}"/>
    <cellStyle name="Normal 3 13 14 6" xfId="8673" xr:uid="{00000000-0005-0000-0000-000042350000}"/>
    <cellStyle name="Normal 3 13 14 6 2" xfId="26287" xr:uid="{00000000-0005-0000-0000-000043350000}"/>
    <cellStyle name="Normal 3 13 14 7" xfId="8674" xr:uid="{00000000-0005-0000-0000-000044350000}"/>
    <cellStyle name="Normal 3 13 14 7 2" xfId="26288" xr:uid="{00000000-0005-0000-0000-000045350000}"/>
    <cellStyle name="Normal 3 13 14 8" xfId="8675" xr:uid="{00000000-0005-0000-0000-000046350000}"/>
    <cellStyle name="Normal 3 13 14 8 2" xfId="26289" xr:uid="{00000000-0005-0000-0000-000047350000}"/>
    <cellStyle name="Normal 3 13 14 9" xfId="8676" xr:uid="{00000000-0005-0000-0000-000048350000}"/>
    <cellStyle name="Normal 3 13 14 9 2" xfId="26290" xr:uid="{00000000-0005-0000-0000-000049350000}"/>
    <cellStyle name="Normal 3 13 15" xfId="8677" xr:uid="{00000000-0005-0000-0000-00004A350000}"/>
    <cellStyle name="Normal 3 13 16" xfId="8678" xr:uid="{00000000-0005-0000-0000-00004B350000}"/>
    <cellStyle name="Normal 3 13 17" xfId="8679" xr:uid="{00000000-0005-0000-0000-00004C350000}"/>
    <cellStyle name="Normal 3 13 17 10" xfId="8680" xr:uid="{00000000-0005-0000-0000-00004D350000}"/>
    <cellStyle name="Normal 3 13 17 10 2" xfId="26292" xr:uid="{00000000-0005-0000-0000-00004E350000}"/>
    <cellStyle name="Normal 3 13 17 11" xfId="8681" xr:uid="{00000000-0005-0000-0000-00004F350000}"/>
    <cellStyle name="Normal 3 13 17 11 2" xfId="26293" xr:uid="{00000000-0005-0000-0000-000050350000}"/>
    <cellStyle name="Normal 3 13 17 12" xfId="8682" xr:uid="{00000000-0005-0000-0000-000051350000}"/>
    <cellStyle name="Normal 3 13 17 12 2" xfId="26294" xr:uid="{00000000-0005-0000-0000-000052350000}"/>
    <cellStyle name="Normal 3 13 17 13" xfId="8683" xr:uid="{00000000-0005-0000-0000-000053350000}"/>
    <cellStyle name="Normal 3 13 17 13 2" xfId="26295" xr:uid="{00000000-0005-0000-0000-000054350000}"/>
    <cellStyle name="Normal 3 13 17 14" xfId="8684" xr:uid="{00000000-0005-0000-0000-000055350000}"/>
    <cellStyle name="Normal 3 13 17 14 2" xfId="26296" xr:uid="{00000000-0005-0000-0000-000056350000}"/>
    <cellStyle name="Normal 3 13 17 15" xfId="26291" xr:uid="{00000000-0005-0000-0000-000057350000}"/>
    <cellStyle name="Normal 3 13 17 2" xfId="8685" xr:uid="{00000000-0005-0000-0000-000058350000}"/>
    <cellStyle name="Normal 3 13 17 2 2" xfId="26297" xr:uid="{00000000-0005-0000-0000-000059350000}"/>
    <cellStyle name="Normal 3 13 17 3" xfId="8686" xr:uid="{00000000-0005-0000-0000-00005A350000}"/>
    <cellStyle name="Normal 3 13 17 3 2" xfId="26298" xr:uid="{00000000-0005-0000-0000-00005B350000}"/>
    <cellStyle name="Normal 3 13 17 4" xfId="8687" xr:uid="{00000000-0005-0000-0000-00005C350000}"/>
    <cellStyle name="Normal 3 13 17 4 2" xfId="26299" xr:uid="{00000000-0005-0000-0000-00005D350000}"/>
    <cellStyle name="Normal 3 13 17 5" xfId="8688" xr:uid="{00000000-0005-0000-0000-00005E350000}"/>
    <cellStyle name="Normal 3 13 17 5 2" xfId="26300" xr:uid="{00000000-0005-0000-0000-00005F350000}"/>
    <cellStyle name="Normal 3 13 17 6" xfId="8689" xr:uid="{00000000-0005-0000-0000-000060350000}"/>
    <cellStyle name="Normal 3 13 17 6 2" xfId="26301" xr:uid="{00000000-0005-0000-0000-000061350000}"/>
    <cellStyle name="Normal 3 13 17 7" xfId="8690" xr:uid="{00000000-0005-0000-0000-000062350000}"/>
    <cellStyle name="Normal 3 13 17 7 2" xfId="26302" xr:uid="{00000000-0005-0000-0000-000063350000}"/>
    <cellStyle name="Normal 3 13 17 8" xfId="8691" xr:uid="{00000000-0005-0000-0000-000064350000}"/>
    <cellStyle name="Normal 3 13 17 8 2" xfId="26303" xr:uid="{00000000-0005-0000-0000-000065350000}"/>
    <cellStyle name="Normal 3 13 17 9" xfId="8692" xr:uid="{00000000-0005-0000-0000-000066350000}"/>
    <cellStyle name="Normal 3 13 17 9 2" xfId="26304" xr:uid="{00000000-0005-0000-0000-000067350000}"/>
    <cellStyle name="Normal 3 13 18" xfId="8693" xr:uid="{00000000-0005-0000-0000-000068350000}"/>
    <cellStyle name="Normal 3 13 18 10" xfId="8694" xr:uid="{00000000-0005-0000-0000-000069350000}"/>
    <cellStyle name="Normal 3 13 18 10 2" xfId="26306" xr:uid="{00000000-0005-0000-0000-00006A350000}"/>
    <cellStyle name="Normal 3 13 18 11" xfId="8695" xr:uid="{00000000-0005-0000-0000-00006B350000}"/>
    <cellStyle name="Normal 3 13 18 11 2" xfId="26307" xr:uid="{00000000-0005-0000-0000-00006C350000}"/>
    <cellStyle name="Normal 3 13 18 12" xfId="8696" xr:uid="{00000000-0005-0000-0000-00006D350000}"/>
    <cellStyle name="Normal 3 13 18 12 2" xfId="26308" xr:uid="{00000000-0005-0000-0000-00006E350000}"/>
    <cellStyle name="Normal 3 13 18 13" xfId="8697" xr:uid="{00000000-0005-0000-0000-00006F350000}"/>
    <cellStyle name="Normal 3 13 18 13 2" xfId="26309" xr:uid="{00000000-0005-0000-0000-000070350000}"/>
    <cellStyle name="Normal 3 13 18 14" xfId="8698" xr:uid="{00000000-0005-0000-0000-000071350000}"/>
    <cellStyle name="Normal 3 13 18 14 2" xfId="26310" xr:uid="{00000000-0005-0000-0000-000072350000}"/>
    <cellStyle name="Normal 3 13 18 15" xfId="26305" xr:uid="{00000000-0005-0000-0000-000073350000}"/>
    <cellStyle name="Normal 3 13 18 2" xfId="8699" xr:uid="{00000000-0005-0000-0000-000074350000}"/>
    <cellStyle name="Normal 3 13 18 2 2" xfId="26311" xr:uid="{00000000-0005-0000-0000-000075350000}"/>
    <cellStyle name="Normal 3 13 18 3" xfId="8700" xr:uid="{00000000-0005-0000-0000-000076350000}"/>
    <cellStyle name="Normal 3 13 18 3 2" xfId="26312" xr:uid="{00000000-0005-0000-0000-000077350000}"/>
    <cellStyle name="Normal 3 13 18 4" xfId="8701" xr:uid="{00000000-0005-0000-0000-000078350000}"/>
    <cellStyle name="Normal 3 13 18 4 2" xfId="26313" xr:uid="{00000000-0005-0000-0000-000079350000}"/>
    <cellStyle name="Normal 3 13 18 5" xfId="8702" xr:uid="{00000000-0005-0000-0000-00007A350000}"/>
    <cellStyle name="Normal 3 13 18 5 2" xfId="26314" xr:uid="{00000000-0005-0000-0000-00007B350000}"/>
    <cellStyle name="Normal 3 13 18 6" xfId="8703" xr:uid="{00000000-0005-0000-0000-00007C350000}"/>
    <cellStyle name="Normal 3 13 18 6 2" xfId="26315" xr:uid="{00000000-0005-0000-0000-00007D350000}"/>
    <cellStyle name="Normal 3 13 18 7" xfId="8704" xr:uid="{00000000-0005-0000-0000-00007E350000}"/>
    <cellStyle name="Normal 3 13 18 7 2" xfId="26316" xr:uid="{00000000-0005-0000-0000-00007F350000}"/>
    <cellStyle name="Normal 3 13 18 8" xfId="8705" xr:uid="{00000000-0005-0000-0000-000080350000}"/>
    <cellStyle name="Normal 3 13 18 8 2" xfId="26317" xr:uid="{00000000-0005-0000-0000-000081350000}"/>
    <cellStyle name="Normal 3 13 18 9" xfId="8706" xr:uid="{00000000-0005-0000-0000-000082350000}"/>
    <cellStyle name="Normal 3 13 18 9 2" xfId="26318" xr:uid="{00000000-0005-0000-0000-000083350000}"/>
    <cellStyle name="Normal 3 13 2" xfId="8707" xr:uid="{00000000-0005-0000-0000-000084350000}"/>
    <cellStyle name="Normal 3 13 2 10" xfId="8708" xr:uid="{00000000-0005-0000-0000-000085350000}"/>
    <cellStyle name="Normal 3 13 2 10 2" xfId="26320" xr:uid="{00000000-0005-0000-0000-000086350000}"/>
    <cellStyle name="Normal 3 13 2 11" xfId="8709" xr:uid="{00000000-0005-0000-0000-000087350000}"/>
    <cellStyle name="Normal 3 13 2 11 2" xfId="26321" xr:uid="{00000000-0005-0000-0000-000088350000}"/>
    <cellStyle name="Normal 3 13 2 12" xfId="8710" xr:uid="{00000000-0005-0000-0000-000089350000}"/>
    <cellStyle name="Normal 3 13 2 12 2" xfId="26322" xr:uid="{00000000-0005-0000-0000-00008A350000}"/>
    <cellStyle name="Normal 3 13 2 13" xfId="8711" xr:uid="{00000000-0005-0000-0000-00008B350000}"/>
    <cellStyle name="Normal 3 13 2 13 2" xfId="26323" xr:uid="{00000000-0005-0000-0000-00008C350000}"/>
    <cellStyle name="Normal 3 13 2 14" xfId="8712" xr:uid="{00000000-0005-0000-0000-00008D350000}"/>
    <cellStyle name="Normal 3 13 2 14 2" xfId="26324" xr:uid="{00000000-0005-0000-0000-00008E350000}"/>
    <cellStyle name="Normal 3 13 2 15" xfId="8713" xr:uid="{00000000-0005-0000-0000-00008F350000}"/>
    <cellStyle name="Normal 3 13 2 15 2" xfId="26325" xr:uid="{00000000-0005-0000-0000-000090350000}"/>
    <cellStyle name="Normal 3 13 2 16" xfId="8714" xr:uid="{00000000-0005-0000-0000-000091350000}"/>
    <cellStyle name="Normal 3 13 2 16 2" xfId="26326" xr:uid="{00000000-0005-0000-0000-000092350000}"/>
    <cellStyle name="Normal 3 13 2 17" xfId="8715" xr:uid="{00000000-0005-0000-0000-000093350000}"/>
    <cellStyle name="Normal 3 13 2 17 2" xfId="26327" xr:uid="{00000000-0005-0000-0000-000094350000}"/>
    <cellStyle name="Normal 3 13 2 18" xfId="26319" xr:uid="{00000000-0005-0000-0000-000095350000}"/>
    <cellStyle name="Normal 3 13 2 2" xfId="8716" xr:uid="{00000000-0005-0000-0000-000096350000}"/>
    <cellStyle name="Normal 3 13 2 3" xfId="8717" xr:uid="{00000000-0005-0000-0000-000097350000}"/>
    <cellStyle name="Normal 3 13 2 4" xfId="8718" xr:uid="{00000000-0005-0000-0000-000098350000}"/>
    <cellStyle name="Normal 3 13 2 5" xfId="8719" xr:uid="{00000000-0005-0000-0000-000099350000}"/>
    <cellStyle name="Normal 3 13 2 5 2" xfId="26328" xr:uid="{00000000-0005-0000-0000-00009A350000}"/>
    <cellStyle name="Normal 3 13 2 6" xfId="8720" xr:uid="{00000000-0005-0000-0000-00009B350000}"/>
    <cellStyle name="Normal 3 13 2 6 2" xfId="26329" xr:uid="{00000000-0005-0000-0000-00009C350000}"/>
    <cellStyle name="Normal 3 13 2 7" xfId="8721" xr:uid="{00000000-0005-0000-0000-00009D350000}"/>
    <cellStyle name="Normal 3 13 2 7 2" xfId="26330" xr:uid="{00000000-0005-0000-0000-00009E350000}"/>
    <cellStyle name="Normal 3 13 2 8" xfId="8722" xr:uid="{00000000-0005-0000-0000-00009F350000}"/>
    <cellStyle name="Normal 3 13 2 8 2" xfId="26331" xr:uid="{00000000-0005-0000-0000-0000A0350000}"/>
    <cellStyle name="Normal 3 13 2 9" xfId="8723" xr:uid="{00000000-0005-0000-0000-0000A1350000}"/>
    <cellStyle name="Normal 3 13 2 9 2" xfId="26332" xr:uid="{00000000-0005-0000-0000-0000A2350000}"/>
    <cellStyle name="Normal 3 13 3" xfId="8724" xr:uid="{00000000-0005-0000-0000-0000A3350000}"/>
    <cellStyle name="Normal 3 13 4" xfId="8725" xr:uid="{00000000-0005-0000-0000-0000A4350000}"/>
    <cellStyle name="Normal 3 13 5" xfId="8726" xr:uid="{00000000-0005-0000-0000-0000A5350000}"/>
    <cellStyle name="Normal 3 13 6" xfId="8727" xr:uid="{00000000-0005-0000-0000-0000A6350000}"/>
    <cellStyle name="Normal 3 13 6 10" xfId="8728" xr:uid="{00000000-0005-0000-0000-0000A7350000}"/>
    <cellStyle name="Normal 3 13 6 10 2" xfId="26334" xr:uid="{00000000-0005-0000-0000-0000A8350000}"/>
    <cellStyle name="Normal 3 13 6 11" xfId="8729" xr:uid="{00000000-0005-0000-0000-0000A9350000}"/>
    <cellStyle name="Normal 3 13 6 11 2" xfId="26335" xr:uid="{00000000-0005-0000-0000-0000AA350000}"/>
    <cellStyle name="Normal 3 13 6 12" xfId="8730" xr:uid="{00000000-0005-0000-0000-0000AB350000}"/>
    <cellStyle name="Normal 3 13 6 12 2" xfId="26336" xr:uid="{00000000-0005-0000-0000-0000AC350000}"/>
    <cellStyle name="Normal 3 13 6 13" xfId="8731" xr:uid="{00000000-0005-0000-0000-0000AD350000}"/>
    <cellStyle name="Normal 3 13 6 13 2" xfId="26337" xr:uid="{00000000-0005-0000-0000-0000AE350000}"/>
    <cellStyle name="Normal 3 13 6 14" xfId="8732" xr:uid="{00000000-0005-0000-0000-0000AF350000}"/>
    <cellStyle name="Normal 3 13 6 14 2" xfId="26338" xr:uid="{00000000-0005-0000-0000-0000B0350000}"/>
    <cellStyle name="Normal 3 13 6 15" xfId="8733" xr:uid="{00000000-0005-0000-0000-0000B1350000}"/>
    <cellStyle name="Normal 3 13 6 15 2" xfId="26339" xr:uid="{00000000-0005-0000-0000-0000B2350000}"/>
    <cellStyle name="Normal 3 13 6 16" xfId="26333" xr:uid="{00000000-0005-0000-0000-0000B3350000}"/>
    <cellStyle name="Normal 3 13 6 2" xfId="8734" xr:uid="{00000000-0005-0000-0000-0000B4350000}"/>
    <cellStyle name="Normal 3 13 6 2 10" xfId="8735" xr:uid="{00000000-0005-0000-0000-0000B5350000}"/>
    <cellStyle name="Normal 3 13 6 2 10 2" xfId="26341" xr:uid="{00000000-0005-0000-0000-0000B6350000}"/>
    <cellStyle name="Normal 3 13 6 2 11" xfId="8736" xr:uid="{00000000-0005-0000-0000-0000B7350000}"/>
    <cellStyle name="Normal 3 13 6 2 11 2" xfId="26342" xr:uid="{00000000-0005-0000-0000-0000B8350000}"/>
    <cellStyle name="Normal 3 13 6 2 12" xfId="8737" xr:uid="{00000000-0005-0000-0000-0000B9350000}"/>
    <cellStyle name="Normal 3 13 6 2 12 2" xfId="26343" xr:uid="{00000000-0005-0000-0000-0000BA350000}"/>
    <cellStyle name="Normal 3 13 6 2 13" xfId="8738" xr:uid="{00000000-0005-0000-0000-0000BB350000}"/>
    <cellStyle name="Normal 3 13 6 2 13 2" xfId="26344" xr:uid="{00000000-0005-0000-0000-0000BC350000}"/>
    <cellStyle name="Normal 3 13 6 2 14" xfId="8739" xr:uid="{00000000-0005-0000-0000-0000BD350000}"/>
    <cellStyle name="Normal 3 13 6 2 14 2" xfId="26345" xr:uid="{00000000-0005-0000-0000-0000BE350000}"/>
    <cellStyle name="Normal 3 13 6 2 15" xfId="26340" xr:uid="{00000000-0005-0000-0000-0000BF350000}"/>
    <cellStyle name="Normal 3 13 6 2 2" xfId="8740" xr:uid="{00000000-0005-0000-0000-0000C0350000}"/>
    <cellStyle name="Normal 3 13 6 2 2 2" xfId="26346" xr:uid="{00000000-0005-0000-0000-0000C1350000}"/>
    <cellStyle name="Normal 3 13 6 2 3" xfId="8741" xr:uid="{00000000-0005-0000-0000-0000C2350000}"/>
    <cellStyle name="Normal 3 13 6 2 3 2" xfId="26347" xr:uid="{00000000-0005-0000-0000-0000C3350000}"/>
    <cellStyle name="Normal 3 13 6 2 4" xfId="8742" xr:uid="{00000000-0005-0000-0000-0000C4350000}"/>
    <cellStyle name="Normal 3 13 6 2 4 2" xfId="26348" xr:uid="{00000000-0005-0000-0000-0000C5350000}"/>
    <cellStyle name="Normal 3 13 6 2 5" xfId="8743" xr:uid="{00000000-0005-0000-0000-0000C6350000}"/>
    <cellStyle name="Normal 3 13 6 2 5 2" xfId="26349" xr:uid="{00000000-0005-0000-0000-0000C7350000}"/>
    <cellStyle name="Normal 3 13 6 2 6" xfId="8744" xr:uid="{00000000-0005-0000-0000-0000C8350000}"/>
    <cellStyle name="Normal 3 13 6 2 6 2" xfId="26350" xr:uid="{00000000-0005-0000-0000-0000C9350000}"/>
    <cellStyle name="Normal 3 13 6 2 7" xfId="8745" xr:uid="{00000000-0005-0000-0000-0000CA350000}"/>
    <cellStyle name="Normal 3 13 6 2 7 2" xfId="26351" xr:uid="{00000000-0005-0000-0000-0000CB350000}"/>
    <cellStyle name="Normal 3 13 6 2 8" xfId="8746" xr:uid="{00000000-0005-0000-0000-0000CC350000}"/>
    <cellStyle name="Normal 3 13 6 2 8 2" xfId="26352" xr:uid="{00000000-0005-0000-0000-0000CD350000}"/>
    <cellStyle name="Normal 3 13 6 2 9" xfId="8747" xr:uid="{00000000-0005-0000-0000-0000CE350000}"/>
    <cellStyle name="Normal 3 13 6 2 9 2" xfId="26353" xr:uid="{00000000-0005-0000-0000-0000CF350000}"/>
    <cellStyle name="Normal 3 13 6 3" xfId="8748" xr:uid="{00000000-0005-0000-0000-0000D0350000}"/>
    <cellStyle name="Normal 3 13 6 3 2" xfId="26354" xr:uid="{00000000-0005-0000-0000-0000D1350000}"/>
    <cellStyle name="Normal 3 13 6 4" xfId="8749" xr:uid="{00000000-0005-0000-0000-0000D2350000}"/>
    <cellStyle name="Normal 3 13 6 4 2" xfId="26355" xr:uid="{00000000-0005-0000-0000-0000D3350000}"/>
    <cellStyle name="Normal 3 13 6 5" xfId="8750" xr:uid="{00000000-0005-0000-0000-0000D4350000}"/>
    <cellStyle name="Normal 3 13 6 5 2" xfId="26356" xr:uid="{00000000-0005-0000-0000-0000D5350000}"/>
    <cellStyle name="Normal 3 13 6 6" xfId="8751" xr:uid="{00000000-0005-0000-0000-0000D6350000}"/>
    <cellStyle name="Normal 3 13 6 6 2" xfId="26357" xr:uid="{00000000-0005-0000-0000-0000D7350000}"/>
    <cellStyle name="Normal 3 13 6 7" xfId="8752" xr:uid="{00000000-0005-0000-0000-0000D8350000}"/>
    <cellStyle name="Normal 3 13 6 7 2" xfId="26358" xr:uid="{00000000-0005-0000-0000-0000D9350000}"/>
    <cellStyle name="Normal 3 13 6 8" xfId="8753" xr:uid="{00000000-0005-0000-0000-0000DA350000}"/>
    <cellStyle name="Normal 3 13 6 8 2" xfId="26359" xr:uid="{00000000-0005-0000-0000-0000DB350000}"/>
    <cellStyle name="Normal 3 13 6 9" xfId="8754" xr:uid="{00000000-0005-0000-0000-0000DC350000}"/>
    <cellStyle name="Normal 3 13 6 9 2" xfId="26360" xr:uid="{00000000-0005-0000-0000-0000DD350000}"/>
    <cellStyle name="Normal 3 13 7" xfId="8755" xr:uid="{00000000-0005-0000-0000-0000DE350000}"/>
    <cellStyle name="Normal 3 13 7 10" xfId="8756" xr:uid="{00000000-0005-0000-0000-0000DF350000}"/>
    <cellStyle name="Normal 3 13 7 10 2" xfId="26362" xr:uid="{00000000-0005-0000-0000-0000E0350000}"/>
    <cellStyle name="Normal 3 13 7 11" xfId="8757" xr:uid="{00000000-0005-0000-0000-0000E1350000}"/>
    <cellStyle name="Normal 3 13 7 11 2" xfId="26363" xr:uid="{00000000-0005-0000-0000-0000E2350000}"/>
    <cellStyle name="Normal 3 13 7 12" xfId="8758" xr:uid="{00000000-0005-0000-0000-0000E3350000}"/>
    <cellStyle name="Normal 3 13 7 12 2" xfId="26364" xr:uid="{00000000-0005-0000-0000-0000E4350000}"/>
    <cellStyle name="Normal 3 13 7 13" xfId="8759" xr:uid="{00000000-0005-0000-0000-0000E5350000}"/>
    <cellStyle name="Normal 3 13 7 13 2" xfId="26365" xr:uid="{00000000-0005-0000-0000-0000E6350000}"/>
    <cellStyle name="Normal 3 13 7 14" xfId="8760" xr:uid="{00000000-0005-0000-0000-0000E7350000}"/>
    <cellStyle name="Normal 3 13 7 14 2" xfId="26366" xr:uid="{00000000-0005-0000-0000-0000E8350000}"/>
    <cellStyle name="Normal 3 13 7 15" xfId="8761" xr:uid="{00000000-0005-0000-0000-0000E9350000}"/>
    <cellStyle name="Normal 3 13 7 15 2" xfId="26367" xr:uid="{00000000-0005-0000-0000-0000EA350000}"/>
    <cellStyle name="Normal 3 13 7 16" xfId="26361" xr:uid="{00000000-0005-0000-0000-0000EB350000}"/>
    <cellStyle name="Normal 3 13 7 2" xfId="8762" xr:uid="{00000000-0005-0000-0000-0000EC350000}"/>
    <cellStyle name="Normal 3 13 7 2 10" xfId="8763" xr:uid="{00000000-0005-0000-0000-0000ED350000}"/>
    <cellStyle name="Normal 3 13 7 2 10 2" xfId="26369" xr:uid="{00000000-0005-0000-0000-0000EE350000}"/>
    <cellStyle name="Normal 3 13 7 2 11" xfId="8764" xr:uid="{00000000-0005-0000-0000-0000EF350000}"/>
    <cellStyle name="Normal 3 13 7 2 11 2" xfId="26370" xr:uid="{00000000-0005-0000-0000-0000F0350000}"/>
    <cellStyle name="Normal 3 13 7 2 12" xfId="8765" xr:uid="{00000000-0005-0000-0000-0000F1350000}"/>
    <cellStyle name="Normal 3 13 7 2 12 2" xfId="26371" xr:uid="{00000000-0005-0000-0000-0000F2350000}"/>
    <cellStyle name="Normal 3 13 7 2 13" xfId="8766" xr:uid="{00000000-0005-0000-0000-0000F3350000}"/>
    <cellStyle name="Normal 3 13 7 2 13 2" xfId="26372" xr:uid="{00000000-0005-0000-0000-0000F4350000}"/>
    <cellStyle name="Normal 3 13 7 2 14" xfId="8767" xr:uid="{00000000-0005-0000-0000-0000F5350000}"/>
    <cellStyle name="Normal 3 13 7 2 14 2" xfId="26373" xr:uid="{00000000-0005-0000-0000-0000F6350000}"/>
    <cellStyle name="Normal 3 13 7 2 15" xfId="26368" xr:uid="{00000000-0005-0000-0000-0000F7350000}"/>
    <cellStyle name="Normal 3 13 7 2 2" xfId="8768" xr:uid="{00000000-0005-0000-0000-0000F8350000}"/>
    <cellStyle name="Normal 3 13 7 2 2 2" xfId="26374" xr:uid="{00000000-0005-0000-0000-0000F9350000}"/>
    <cellStyle name="Normal 3 13 7 2 3" xfId="8769" xr:uid="{00000000-0005-0000-0000-0000FA350000}"/>
    <cellStyle name="Normal 3 13 7 2 3 2" xfId="26375" xr:uid="{00000000-0005-0000-0000-0000FB350000}"/>
    <cellStyle name="Normal 3 13 7 2 4" xfId="8770" xr:uid="{00000000-0005-0000-0000-0000FC350000}"/>
    <cellStyle name="Normal 3 13 7 2 4 2" xfId="26376" xr:uid="{00000000-0005-0000-0000-0000FD350000}"/>
    <cellStyle name="Normal 3 13 7 2 5" xfId="8771" xr:uid="{00000000-0005-0000-0000-0000FE350000}"/>
    <cellStyle name="Normal 3 13 7 2 5 2" xfId="26377" xr:uid="{00000000-0005-0000-0000-0000FF350000}"/>
    <cellStyle name="Normal 3 13 7 2 6" xfId="8772" xr:uid="{00000000-0005-0000-0000-000000360000}"/>
    <cellStyle name="Normal 3 13 7 2 6 2" xfId="26378" xr:uid="{00000000-0005-0000-0000-000001360000}"/>
    <cellStyle name="Normal 3 13 7 2 7" xfId="8773" xr:uid="{00000000-0005-0000-0000-000002360000}"/>
    <cellStyle name="Normal 3 13 7 2 7 2" xfId="26379" xr:uid="{00000000-0005-0000-0000-000003360000}"/>
    <cellStyle name="Normal 3 13 7 2 8" xfId="8774" xr:uid="{00000000-0005-0000-0000-000004360000}"/>
    <cellStyle name="Normal 3 13 7 2 8 2" xfId="26380" xr:uid="{00000000-0005-0000-0000-000005360000}"/>
    <cellStyle name="Normal 3 13 7 2 9" xfId="8775" xr:uid="{00000000-0005-0000-0000-000006360000}"/>
    <cellStyle name="Normal 3 13 7 2 9 2" xfId="26381" xr:uid="{00000000-0005-0000-0000-000007360000}"/>
    <cellStyle name="Normal 3 13 7 3" xfId="8776" xr:uid="{00000000-0005-0000-0000-000008360000}"/>
    <cellStyle name="Normal 3 13 7 3 2" xfId="26382" xr:uid="{00000000-0005-0000-0000-000009360000}"/>
    <cellStyle name="Normal 3 13 7 4" xfId="8777" xr:uid="{00000000-0005-0000-0000-00000A360000}"/>
    <cellStyle name="Normal 3 13 7 4 2" xfId="26383" xr:uid="{00000000-0005-0000-0000-00000B360000}"/>
    <cellStyle name="Normal 3 13 7 5" xfId="8778" xr:uid="{00000000-0005-0000-0000-00000C360000}"/>
    <cellStyle name="Normal 3 13 7 5 2" xfId="26384" xr:uid="{00000000-0005-0000-0000-00000D360000}"/>
    <cellStyle name="Normal 3 13 7 6" xfId="8779" xr:uid="{00000000-0005-0000-0000-00000E360000}"/>
    <cellStyle name="Normal 3 13 7 6 2" xfId="26385" xr:uid="{00000000-0005-0000-0000-00000F360000}"/>
    <cellStyle name="Normal 3 13 7 7" xfId="8780" xr:uid="{00000000-0005-0000-0000-000010360000}"/>
    <cellStyle name="Normal 3 13 7 7 2" xfId="26386" xr:uid="{00000000-0005-0000-0000-000011360000}"/>
    <cellStyle name="Normal 3 13 7 8" xfId="8781" xr:uid="{00000000-0005-0000-0000-000012360000}"/>
    <cellStyle name="Normal 3 13 7 8 2" xfId="26387" xr:uid="{00000000-0005-0000-0000-000013360000}"/>
    <cellStyle name="Normal 3 13 7 9" xfId="8782" xr:uid="{00000000-0005-0000-0000-000014360000}"/>
    <cellStyle name="Normal 3 13 7 9 2" xfId="26388" xr:uid="{00000000-0005-0000-0000-000015360000}"/>
    <cellStyle name="Normal 3 13 8" xfId="8783" xr:uid="{00000000-0005-0000-0000-000016360000}"/>
    <cellStyle name="Normal 3 13 8 10" xfId="8784" xr:uid="{00000000-0005-0000-0000-000017360000}"/>
    <cellStyle name="Normal 3 13 8 10 2" xfId="26390" xr:uid="{00000000-0005-0000-0000-000018360000}"/>
    <cellStyle name="Normal 3 13 8 11" xfId="8785" xr:uid="{00000000-0005-0000-0000-000019360000}"/>
    <cellStyle name="Normal 3 13 8 11 2" xfId="26391" xr:uid="{00000000-0005-0000-0000-00001A360000}"/>
    <cellStyle name="Normal 3 13 8 12" xfId="8786" xr:uid="{00000000-0005-0000-0000-00001B360000}"/>
    <cellStyle name="Normal 3 13 8 12 2" xfId="26392" xr:uid="{00000000-0005-0000-0000-00001C360000}"/>
    <cellStyle name="Normal 3 13 8 13" xfId="8787" xr:uid="{00000000-0005-0000-0000-00001D360000}"/>
    <cellStyle name="Normal 3 13 8 13 2" xfId="26393" xr:uid="{00000000-0005-0000-0000-00001E360000}"/>
    <cellStyle name="Normal 3 13 8 14" xfId="8788" xr:uid="{00000000-0005-0000-0000-00001F360000}"/>
    <cellStyle name="Normal 3 13 8 14 2" xfId="26394" xr:uid="{00000000-0005-0000-0000-000020360000}"/>
    <cellStyle name="Normal 3 13 8 15" xfId="8789" xr:uid="{00000000-0005-0000-0000-000021360000}"/>
    <cellStyle name="Normal 3 13 8 15 2" xfId="26395" xr:uid="{00000000-0005-0000-0000-000022360000}"/>
    <cellStyle name="Normal 3 13 8 16" xfId="26389" xr:uid="{00000000-0005-0000-0000-000023360000}"/>
    <cellStyle name="Normal 3 13 8 2" xfId="8790" xr:uid="{00000000-0005-0000-0000-000024360000}"/>
    <cellStyle name="Normal 3 13 8 2 10" xfId="8791" xr:uid="{00000000-0005-0000-0000-000025360000}"/>
    <cellStyle name="Normal 3 13 8 2 10 2" xfId="26397" xr:uid="{00000000-0005-0000-0000-000026360000}"/>
    <cellStyle name="Normal 3 13 8 2 11" xfId="8792" xr:uid="{00000000-0005-0000-0000-000027360000}"/>
    <cellStyle name="Normal 3 13 8 2 11 2" xfId="26398" xr:uid="{00000000-0005-0000-0000-000028360000}"/>
    <cellStyle name="Normal 3 13 8 2 12" xfId="8793" xr:uid="{00000000-0005-0000-0000-000029360000}"/>
    <cellStyle name="Normal 3 13 8 2 12 2" xfId="26399" xr:uid="{00000000-0005-0000-0000-00002A360000}"/>
    <cellStyle name="Normal 3 13 8 2 13" xfId="8794" xr:uid="{00000000-0005-0000-0000-00002B360000}"/>
    <cellStyle name="Normal 3 13 8 2 13 2" xfId="26400" xr:uid="{00000000-0005-0000-0000-00002C360000}"/>
    <cellStyle name="Normal 3 13 8 2 14" xfId="8795" xr:uid="{00000000-0005-0000-0000-00002D360000}"/>
    <cellStyle name="Normal 3 13 8 2 14 2" xfId="26401" xr:uid="{00000000-0005-0000-0000-00002E360000}"/>
    <cellStyle name="Normal 3 13 8 2 15" xfId="26396" xr:uid="{00000000-0005-0000-0000-00002F360000}"/>
    <cellStyle name="Normal 3 13 8 2 2" xfId="8796" xr:uid="{00000000-0005-0000-0000-000030360000}"/>
    <cellStyle name="Normal 3 13 8 2 2 2" xfId="26402" xr:uid="{00000000-0005-0000-0000-000031360000}"/>
    <cellStyle name="Normal 3 13 8 2 3" xfId="8797" xr:uid="{00000000-0005-0000-0000-000032360000}"/>
    <cellStyle name="Normal 3 13 8 2 3 2" xfId="26403" xr:uid="{00000000-0005-0000-0000-000033360000}"/>
    <cellStyle name="Normal 3 13 8 2 4" xfId="8798" xr:uid="{00000000-0005-0000-0000-000034360000}"/>
    <cellStyle name="Normal 3 13 8 2 4 2" xfId="26404" xr:uid="{00000000-0005-0000-0000-000035360000}"/>
    <cellStyle name="Normal 3 13 8 2 5" xfId="8799" xr:uid="{00000000-0005-0000-0000-000036360000}"/>
    <cellStyle name="Normal 3 13 8 2 5 2" xfId="26405" xr:uid="{00000000-0005-0000-0000-000037360000}"/>
    <cellStyle name="Normal 3 13 8 2 6" xfId="8800" xr:uid="{00000000-0005-0000-0000-000038360000}"/>
    <cellStyle name="Normal 3 13 8 2 6 2" xfId="26406" xr:uid="{00000000-0005-0000-0000-000039360000}"/>
    <cellStyle name="Normal 3 13 8 2 7" xfId="8801" xr:uid="{00000000-0005-0000-0000-00003A360000}"/>
    <cellStyle name="Normal 3 13 8 2 7 2" xfId="26407" xr:uid="{00000000-0005-0000-0000-00003B360000}"/>
    <cellStyle name="Normal 3 13 8 2 8" xfId="8802" xr:uid="{00000000-0005-0000-0000-00003C360000}"/>
    <cellStyle name="Normal 3 13 8 2 8 2" xfId="26408" xr:uid="{00000000-0005-0000-0000-00003D360000}"/>
    <cellStyle name="Normal 3 13 8 2 9" xfId="8803" xr:uid="{00000000-0005-0000-0000-00003E360000}"/>
    <cellStyle name="Normal 3 13 8 2 9 2" xfId="26409" xr:uid="{00000000-0005-0000-0000-00003F360000}"/>
    <cellStyle name="Normal 3 13 8 3" xfId="8804" xr:uid="{00000000-0005-0000-0000-000040360000}"/>
    <cellStyle name="Normal 3 13 8 3 2" xfId="26410" xr:uid="{00000000-0005-0000-0000-000041360000}"/>
    <cellStyle name="Normal 3 13 8 4" xfId="8805" xr:uid="{00000000-0005-0000-0000-000042360000}"/>
    <cellStyle name="Normal 3 13 8 4 2" xfId="26411" xr:uid="{00000000-0005-0000-0000-000043360000}"/>
    <cellStyle name="Normal 3 13 8 5" xfId="8806" xr:uid="{00000000-0005-0000-0000-000044360000}"/>
    <cellStyle name="Normal 3 13 8 5 2" xfId="26412" xr:uid="{00000000-0005-0000-0000-000045360000}"/>
    <cellStyle name="Normal 3 13 8 6" xfId="8807" xr:uid="{00000000-0005-0000-0000-000046360000}"/>
    <cellStyle name="Normal 3 13 8 6 2" xfId="26413" xr:uid="{00000000-0005-0000-0000-000047360000}"/>
    <cellStyle name="Normal 3 13 8 7" xfId="8808" xr:uid="{00000000-0005-0000-0000-000048360000}"/>
    <cellStyle name="Normal 3 13 8 7 2" xfId="26414" xr:uid="{00000000-0005-0000-0000-000049360000}"/>
    <cellStyle name="Normal 3 13 8 8" xfId="8809" xr:uid="{00000000-0005-0000-0000-00004A360000}"/>
    <cellStyle name="Normal 3 13 8 8 2" xfId="26415" xr:uid="{00000000-0005-0000-0000-00004B360000}"/>
    <cellStyle name="Normal 3 13 8 9" xfId="8810" xr:uid="{00000000-0005-0000-0000-00004C360000}"/>
    <cellStyle name="Normal 3 13 8 9 2" xfId="26416" xr:uid="{00000000-0005-0000-0000-00004D360000}"/>
    <cellStyle name="Normal 3 13 9" xfId="8811" xr:uid="{00000000-0005-0000-0000-00004E360000}"/>
    <cellStyle name="Normal 3 13 9 10" xfId="8812" xr:uid="{00000000-0005-0000-0000-00004F360000}"/>
    <cellStyle name="Normal 3 13 9 10 2" xfId="26418" xr:uid="{00000000-0005-0000-0000-000050360000}"/>
    <cellStyle name="Normal 3 13 9 11" xfId="8813" xr:uid="{00000000-0005-0000-0000-000051360000}"/>
    <cellStyle name="Normal 3 13 9 11 2" xfId="26419" xr:uid="{00000000-0005-0000-0000-000052360000}"/>
    <cellStyle name="Normal 3 13 9 12" xfId="8814" xr:uid="{00000000-0005-0000-0000-000053360000}"/>
    <cellStyle name="Normal 3 13 9 12 2" xfId="26420" xr:uid="{00000000-0005-0000-0000-000054360000}"/>
    <cellStyle name="Normal 3 13 9 13" xfId="8815" xr:uid="{00000000-0005-0000-0000-000055360000}"/>
    <cellStyle name="Normal 3 13 9 13 2" xfId="26421" xr:uid="{00000000-0005-0000-0000-000056360000}"/>
    <cellStyle name="Normal 3 13 9 14" xfId="8816" xr:uid="{00000000-0005-0000-0000-000057360000}"/>
    <cellStyle name="Normal 3 13 9 14 2" xfId="26422" xr:uid="{00000000-0005-0000-0000-000058360000}"/>
    <cellStyle name="Normal 3 13 9 15" xfId="26417" xr:uid="{00000000-0005-0000-0000-000059360000}"/>
    <cellStyle name="Normal 3 13 9 2" xfId="8817" xr:uid="{00000000-0005-0000-0000-00005A360000}"/>
    <cellStyle name="Normal 3 13 9 2 2" xfId="26423" xr:uid="{00000000-0005-0000-0000-00005B360000}"/>
    <cellStyle name="Normal 3 13 9 3" xfId="8818" xr:uid="{00000000-0005-0000-0000-00005C360000}"/>
    <cellStyle name="Normal 3 13 9 3 2" xfId="26424" xr:uid="{00000000-0005-0000-0000-00005D360000}"/>
    <cellStyle name="Normal 3 13 9 4" xfId="8819" xr:uid="{00000000-0005-0000-0000-00005E360000}"/>
    <cellStyle name="Normal 3 13 9 4 2" xfId="26425" xr:uid="{00000000-0005-0000-0000-00005F360000}"/>
    <cellStyle name="Normal 3 13 9 5" xfId="8820" xr:uid="{00000000-0005-0000-0000-000060360000}"/>
    <cellStyle name="Normal 3 13 9 5 2" xfId="26426" xr:uid="{00000000-0005-0000-0000-000061360000}"/>
    <cellStyle name="Normal 3 13 9 6" xfId="8821" xr:uid="{00000000-0005-0000-0000-000062360000}"/>
    <cellStyle name="Normal 3 13 9 6 2" xfId="26427" xr:uid="{00000000-0005-0000-0000-000063360000}"/>
    <cellStyle name="Normal 3 13 9 7" xfId="8822" xr:uid="{00000000-0005-0000-0000-000064360000}"/>
    <cellStyle name="Normal 3 13 9 7 2" xfId="26428" xr:uid="{00000000-0005-0000-0000-000065360000}"/>
    <cellStyle name="Normal 3 13 9 8" xfId="8823" xr:uid="{00000000-0005-0000-0000-000066360000}"/>
    <cellStyle name="Normal 3 13 9 8 2" xfId="26429" xr:uid="{00000000-0005-0000-0000-000067360000}"/>
    <cellStyle name="Normal 3 13 9 9" xfId="8824" xr:uid="{00000000-0005-0000-0000-000068360000}"/>
    <cellStyle name="Normal 3 13 9 9 2" xfId="26430" xr:uid="{00000000-0005-0000-0000-000069360000}"/>
    <cellStyle name="Normal 3 14" xfId="8825" xr:uid="{00000000-0005-0000-0000-00006A360000}"/>
    <cellStyle name="Normal 3 14 10" xfId="8826" xr:uid="{00000000-0005-0000-0000-00006B360000}"/>
    <cellStyle name="Normal 3 14 10 10" xfId="8827" xr:uid="{00000000-0005-0000-0000-00006C360000}"/>
    <cellStyle name="Normal 3 14 10 10 2" xfId="26432" xr:uid="{00000000-0005-0000-0000-00006D360000}"/>
    <cellStyle name="Normal 3 14 10 11" xfId="8828" xr:uid="{00000000-0005-0000-0000-00006E360000}"/>
    <cellStyle name="Normal 3 14 10 11 2" xfId="26433" xr:uid="{00000000-0005-0000-0000-00006F360000}"/>
    <cellStyle name="Normal 3 14 10 12" xfId="8829" xr:uid="{00000000-0005-0000-0000-000070360000}"/>
    <cellStyle name="Normal 3 14 10 12 2" xfId="26434" xr:uid="{00000000-0005-0000-0000-000071360000}"/>
    <cellStyle name="Normal 3 14 10 13" xfId="8830" xr:uid="{00000000-0005-0000-0000-000072360000}"/>
    <cellStyle name="Normal 3 14 10 13 2" xfId="26435" xr:uid="{00000000-0005-0000-0000-000073360000}"/>
    <cellStyle name="Normal 3 14 10 14" xfId="8831" xr:uid="{00000000-0005-0000-0000-000074360000}"/>
    <cellStyle name="Normal 3 14 10 14 2" xfId="26436" xr:uid="{00000000-0005-0000-0000-000075360000}"/>
    <cellStyle name="Normal 3 14 10 15" xfId="26431" xr:uid="{00000000-0005-0000-0000-000076360000}"/>
    <cellStyle name="Normal 3 14 10 2" xfId="8832" xr:uid="{00000000-0005-0000-0000-000077360000}"/>
    <cellStyle name="Normal 3 14 10 2 2" xfId="26437" xr:uid="{00000000-0005-0000-0000-000078360000}"/>
    <cellStyle name="Normal 3 14 10 3" xfId="8833" xr:uid="{00000000-0005-0000-0000-000079360000}"/>
    <cellStyle name="Normal 3 14 10 3 2" xfId="26438" xr:uid="{00000000-0005-0000-0000-00007A360000}"/>
    <cellStyle name="Normal 3 14 10 4" xfId="8834" xr:uid="{00000000-0005-0000-0000-00007B360000}"/>
    <cellStyle name="Normal 3 14 10 4 2" xfId="26439" xr:uid="{00000000-0005-0000-0000-00007C360000}"/>
    <cellStyle name="Normal 3 14 10 5" xfId="8835" xr:uid="{00000000-0005-0000-0000-00007D360000}"/>
    <cellStyle name="Normal 3 14 10 5 2" xfId="26440" xr:uid="{00000000-0005-0000-0000-00007E360000}"/>
    <cellStyle name="Normal 3 14 10 6" xfId="8836" xr:uid="{00000000-0005-0000-0000-00007F360000}"/>
    <cellStyle name="Normal 3 14 10 6 2" xfId="26441" xr:uid="{00000000-0005-0000-0000-000080360000}"/>
    <cellStyle name="Normal 3 14 10 7" xfId="8837" xr:uid="{00000000-0005-0000-0000-000081360000}"/>
    <cellStyle name="Normal 3 14 10 7 2" xfId="26442" xr:uid="{00000000-0005-0000-0000-000082360000}"/>
    <cellStyle name="Normal 3 14 10 8" xfId="8838" xr:uid="{00000000-0005-0000-0000-000083360000}"/>
    <cellStyle name="Normal 3 14 10 8 2" xfId="26443" xr:uid="{00000000-0005-0000-0000-000084360000}"/>
    <cellStyle name="Normal 3 14 10 9" xfId="8839" xr:uid="{00000000-0005-0000-0000-000085360000}"/>
    <cellStyle name="Normal 3 14 10 9 2" xfId="26444" xr:uid="{00000000-0005-0000-0000-000086360000}"/>
    <cellStyle name="Normal 3 14 11" xfId="8840" xr:uid="{00000000-0005-0000-0000-000087360000}"/>
    <cellStyle name="Normal 3 14 11 10" xfId="8841" xr:uid="{00000000-0005-0000-0000-000088360000}"/>
    <cellStyle name="Normal 3 14 11 10 2" xfId="26446" xr:uid="{00000000-0005-0000-0000-000089360000}"/>
    <cellStyle name="Normal 3 14 11 11" xfId="8842" xr:uid="{00000000-0005-0000-0000-00008A360000}"/>
    <cellStyle name="Normal 3 14 11 11 2" xfId="26447" xr:uid="{00000000-0005-0000-0000-00008B360000}"/>
    <cellStyle name="Normal 3 14 11 12" xfId="8843" xr:uid="{00000000-0005-0000-0000-00008C360000}"/>
    <cellStyle name="Normal 3 14 11 12 2" xfId="26448" xr:uid="{00000000-0005-0000-0000-00008D360000}"/>
    <cellStyle name="Normal 3 14 11 13" xfId="8844" xr:uid="{00000000-0005-0000-0000-00008E360000}"/>
    <cellStyle name="Normal 3 14 11 13 2" xfId="26449" xr:uid="{00000000-0005-0000-0000-00008F360000}"/>
    <cellStyle name="Normal 3 14 11 14" xfId="8845" xr:uid="{00000000-0005-0000-0000-000090360000}"/>
    <cellStyle name="Normal 3 14 11 14 2" xfId="26450" xr:uid="{00000000-0005-0000-0000-000091360000}"/>
    <cellStyle name="Normal 3 14 11 15" xfId="26445" xr:uid="{00000000-0005-0000-0000-000092360000}"/>
    <cellStyle name="Normal 3 14 11 2" xfId="8846" xr:uid="{00000000-0005-0000-0000-000093360000}"/>
    <cellStyle name="Normal 3 14 11 2 2" xfId="26451" xr:uid="{00000000-0005-0000-0000-000094360000}"/>
    <cellStyle name="Normal 3 14 11 3" xfId="8847" xr:uid="{00000000-0005-0000-0000-000095360000}"/>
    <cellStyle name="Normal 3 14 11 3 2" xfId="26452" xr:uid="{00000000-0005-0000-0000-000096360000}"/>
    <cellStyle name="Normal 3 14 11 4" xfId="8848" xr:uid="{00000000-0005-0000-0000-000097360000}"/>
    <cellStyle name="Normal 3 14 11 4 2" xfId="26453" xr:uid="{00000000-0005-0000-0000-000098360000}"/>
    <cellStyle name="Normal 3 14 11 5" xfId="8849" xr:uid="{00000000-0005-0000-0000-000099360000}"/>
    <cellStyle name="Normal 3 14 11 5 2" xfId="26454" xr:uid="{00000000-0005-0000-0000-00009A360000}"/>
    <cellStyle name="Normal 3 14 11 6" xfId="8850" xr:uid="{00000000-0005-0000-0000-00009B360000}"/>
    <cellStyle name="Normal 3 14 11 6 2" xfId="26455" xr:uid="{00000000-0005-0000-0000-00009C360000}"/>
    <cellStyle name="Normal 3 14 11 7" xfId="8851" xr:uid="{00000000-0005-0000-0000-00009D360000}"/>
    <cellStyle name="Normal 3 14 11 7 2" xfId="26456" xr:uid="{00000000-0005-0000-0000-00009E360000}"/>
    <cellStyle name="Normal 3 14 11 8" xfId="8852" xr:uid="{00000000-0005-0000-0000-00009F360000}"/>
    <cellStyle name="Normal 3 14 11 8 2" xfId="26457" xr:uid="{00000000-0005-0000-0000-0000A0360000}"/>
    <cellStyle name="Normal 3 14 11 9" xfId="8853" xr:uid="{00000000-0005-0000-0000-0000A1360000}"/>
    <cellStyle name="Normal 3 14 11 9 2" xfId="26458" xr:uid="{00000000-0005-0000-0000-0000A2360000}"/>
    <cellStyle name="Normal 3 14 12" xfId="8854" xr:uid="{00000000-0005-0000-0000-0000A3360000}"/>
    <cellStyle name="Normal 3 14 12 10" xfId="8855" xr:uid="{00000000-0005-0000-0000-0000A4360000}"/>
    <cellStyle name="Normal 3 14 12 10 2" xfId="26460" xr:uid="{00000000-0005-0000-0000-0000A5360000}"/>
    <cellStyle name="Normal 3 14 12 11" xfId="8856" xr:uid="{00000000-0005-0000-0000-0000A6360000}"/>
    <cellStyle name="Normal 3 14 12 11 2" xfId="26461" xr:uid="{00000000-0005-0000-0000-0000A7360000}"/>
    <cellStyle name="Normal 3 14 12 12" xfId="8857" xr:uid="{00000000-0005-0000-0000-0000A8360000}"/>
    <cellStyle name="Normal 3 14 12 12 2" xfId="26462" xr:uid="{00000000-0005-0000-0000-0000A9360000}"/>
    <cellStyle name="Normal 3 14 12 13" xfId="8858" xr:uid="{00000000-0005-0000-0000-0000AA360000}"/>
    <cellStyle name="Normal 3 14 12 13 2" xfId="26463" xr:uid="{00000000-0005-0000-0000-0000AB360000}"/>
    <cellStyle name="Normal 3 14 12 14" xfId="8859" xr:uid="{00000000-0005-0000-0000-0000AC360000}"/>
    <cellStyle name="Normal 3 14 12 14 2" xfId="26464" xr:uid="{00000000-0005-0000-0000-0000AD360000}"/>
    <cellStyle name="Normal 3 14 12 15" xfId="26459" xr:uid="{00000000-0005-0000-0000-0000AE360000}"/>
    <cellStyle name="Normal 3 14 12 2" xfId="8860" xr:uid="{00000000-0005-0000-0000-0000AF360000}"/>
    <cellStyle name="Normal 3 14 12 2 2" xfId="26465" xr:uid="{00000000-0005-0000-0000-0000B0360000}"/>
    <cellStyle name="Normal 3 14 12 3" xfId="8861" xr:uid="{00000000-0005-0000-0000-0000B1360000}"/>
    <cellStyle name="Normal 3 14 12 3 2" xfId="26466" xr:uid="{00000000-0005-0000-0000-0000B2360000}"/>
    <cellStyle name="Normal 3 14 12 4" xfId="8862" xr:uid="{00000000-0005-0000-0000-0000B3360000}"/>
    <cellStyle name="Normal 3 14 12 4 2" xfId="26467" xr:uid="{00000000-0005-0000-0000-0000B4360000}"/>
    <cellStyle name="Normal 3 14 12 5" xfId="8863" xr:uid="{00000000-0005-0000-0000-0000B5360000}"/>
    <cellStyle name="Normal 3 14 12 5 2" xfId="26468" xr:uid="{00000000-0005-0000-0000-0000B6360000}"/>
    <cellStyle name="Normal 3 14 12 6" xfId="8864" xr:uid="{00000000-0005-0000-0000-0000B7360000}"/>
    <cellStyle name="Normal 3 14 12 6 2" xfId="26469" xr:uid="{00000000-0005-0000-0000-0000B8360000}"/>
    <cellStyle name="Normal 3 14 12 7" xfId="8865" xr:uid="{00000000-0005-0000-0000-0000B9360000}"/>
    <cellStyle name="Normal 3 14 12 7 2" xfId="26470" xr:uid="{00000000-0005-0000-0000-0000BA360000}"/>
    <cellStyle name="Normal 3 14 12 8" xfId="8866" xr:uid="{00000000-0005-0000-0000-0000BB360000}"/>
    <cellStyle name="Normal 3 14 12 8 2" xfId="26471" xr:uid="{00000000-0005-0000-0000-0000BC360000}"/>
    <cellStyle name="Normal 3 14 12 9" xfId="8867" xr:uid="{00000000-0005-0000-0000-0000BD360000}"/>
    <cellStyle name="Normal 3 14 12 9 2" xfId="26472" xr:uid="{00000000-0005-0000-0000-0000BE360000}"/>
    <cellStyle name="Normal 3 14 13" xfId="8868" xr:uid="{00000000-0005-0000-0000-0000BF360000}"/>
    <cellStyle name="Normal 3 14 13 10" xfId="8869" xr:uid="{00000000-0005-0000-0000-0000C0360000}"/>
    <cellStyle name="Normal 3 14 13 10 2" xfId="26474" xr:uid="{00000000-0005-0000-0000-0000C1360000}"/>
    <cellStyle name="Normal 3 14 13 11" xfId="8870" xr:uid="{00000000-0005-0000-0000-0000C2360000}"/>
    <cellStyle name="Normal 3 14 13 11 2" xfId="26475" xr:uid="{00000000-0005-0000-0000-0000C3360000}"/>
    <cellStyle name="Normal 3 14 13 12" xfId="8871" xr:uid="{00000000-0005-0000-0000-0000C4360000}"/>
    <cellStyle name="Normal 3 14 13 12 2" xfId="26476" xr:uid="{00000000-0005-0000-0000-0000C5360000}"/>
    <cellStyle name="Normal 3 14 13 13" xfId="8872" xr:uid="{00000000-0005-0000-0000-0000C6360000}"/>
    <cellStyle name="Normal 3 14 13 13 2" xfId="26477" xr:uid="{00000000-0005-0000-0000-0000C7360000}"/>
    <cellStyle name="Normal 3 14 13 14" xfId="8873" xr:uid="{00000000-0005-0000-0000-0000C8360000}"/>
    <cellStyle name="Normal 3 14 13 14 2" xfId="26478" xr:uid="{00000000-0005-0000-0000-0000C9360000}"/>
    <cellStyle name="Normal 3 14 13 15" xfId="26473" xr:uid="{00000000-0005-0000-0000-0000CA360000}"/>
    <cellStyle name="Normal 3 14 13 2" xfId="8874" xr:uid="{00000000-0005-0000-0000-0000CB360000}"/>
    <cellStyle name="Normal 3 14 13 2 2" xfId="26479" xr:uid="{00000000-0005-0000-0000-0000CC360000}"/>
    <cellStyle name="Normal 3 14 13 3" xfId="8875" xr:uid="{00000000-0005-0000-0000-0000CD360000}"/>
    <cellStyle name="Normal 3 14 13 3 2" xfId="26480" xr:uid="{00000000-0005-0000-0000-0000CE360000}"/>
    <cellStyle name="Normal 3 14 13 4" xfId="8876" xr:uid="{00000000-0005-0000-0000-0000CF360000}"/>
    <cellStyle name="Normal 3 14 13 4 2" xfId="26481" xr:uid="{00000000-0005-0000-0000-0000D0360000}"/>
    <cellStyle name="Normal 3 14 13 5" xfId="8877" xr:uid="{00000000-0005-0000-0000-0000D1360000}"/>
    <cellStyle name="Normal 3 14 13 5 2" xfId="26482" xr:uid="{00000000-0005-0000-0000-0000D2360000}"/>
    <cellStyle name="Normal 3 14 13 6" xfId="8878" xr:uid="{00000000-0005-0000-0000-0000D3360000}"/>
    <cellStyle name="Normal 3 14 13 6 2" xfId="26483" xr:uid="{00000000-0005-0000-0000-0000D4360000}"/>
    <cellStyle name="Normal 3 14 13 7" xfId="8879" xr:uid="{00000000-0005-0000-0000-0000D5360000}"/>
    <cellStyle name="Normal 3 14 13 7 2" xfId="26484" xr:uid="{00000000-0005-0000-0000-0000D6360000}"/>
    <cellStyle name="Normal 3 14 13 8" xfId="8880" xr:uid="{00000000-0005-0000-0000-0000D7360000}"/>
    <cellStyle name="Normal 3 14 13 8 2" xfId="26485" xr:uid="{00000000-0005-0000-0000-0000D8360000}"/>
    <cellStyle name="Normal 3 14 13 9" xfId="8881" xr:uid="{00000000-0005-0000-0000-0000D9360000}"/>
    <cellStyle name="Normal 3 14 13 9 2" xfId="26486" xr:uid="{00000000-0005-0000-0000-0000DA360000}"/>
    <cellStyle name="Normal 3 14 14" xfId="8882" xr:uid="{00000000-0005-0000-0000-0000DB360000}"/>
    <cellStyle name="Normal 3 14 14 10" xfId="8883" xr:uid="{00000000-0005-0000-0000-0000DC360000}"/>
    <cellStyle name="Normal 3 14 14 10 2" xfId="26488" xr:uid="{00000000-0005-0000-0000-0000DD360000}"/>
    <cellStyle name="Normal 3 14 14 11" xfId="8884" xr:uid="{00000000-0005-0000-0000-0000DE360000}"/>
    <cellStyle name="Normal 3 14 14 11 2" xfId="26489" xr:uid="{00000000-0005-0000-0000-0000DF360000}"/>
    <cellStyle name="Normal 3 14 14 12" xfId="8885" xr:uid="{00000000-0005-0000-0000-0000E0360000}"/>
    <cellStyle name="Normal 3 14 14 12 2" xfId="26490" xr:uid="{00000000-0005-0000-0000-0000E1360000}"/>
    <cellStyle name="Normal 3 14 14 13" xfId="8886" xr:uid="{00000000-0005-0000-0000-0000E2360000}"/>
    <cellStyle name="Normal 3 14 14 13 2" xfId="26491" xr:uid="{00000000-0005-0000-0000-0000E3360000}"/>
    <cellStyle name="Normal 3 14 14 14" xfId="8887" xr:uid="{00000000-0005-0000-0000-0000E4360000}"/>
    <cellStyle name="Normal 3 14 14 14 2" xfId="26492" xr:uid="{00000000-0005-0000-0000-0000E5360000}"/>
    <cellStyle name="Normal 3 14 14 15" xfId="26487" xr:uid="{00000000-0005-0000-0000-0000E6360000}"/>
    <cellStyle name="Normal 3 14 14 2" xfId="8888" xr:uid="{00000000-0005-0000-0000-0000E7360000}"/>
    <cellStyle name="Normal 3 14 14 2 2" xfId="26493" xr:uid="{00000000-0005-0000-0000-0000E8360000}"/>
    <cellStyle name="Normal 3 14 14 3" xfId="8889" xr:uid="{00000000-0005-0000-0000-0000E9360000}"/>
    <cellStyle name="Normal 3 14 14 3 2" xfId="26494" xr:uid="{00000000-0005-0000-0000-0000EA360000}"/>
    <cellStyle name="Normal 3 14 14 4" xfId="8890" xr:uid="{00000000-0005-0000-0000-0000EB360000}"/>
    <cellStyle name="Normal 3 14 14 4 2" xfId="26495" xr:uid="{00000000-0005-0000-0000-0000EC360000}"/>
    <cellStyle name="Normal 3 14 14 5" xfId="8891" xr:uid="{00000000-0005-0000-0000-0000ED360000}"/>
    <cellStyle name="Normal 3 14 14 5 2" xfId="26496" xr:uid="{00000000-0005-0000-0000-0000EE360000}"/>
    <cellStyle name="Normal 3 14 14 6" xfId="8892" xr:uid="{00000000-0005-0000-0000-0000EF360000}"/>
    <cellStyle name="Normal 3 14 14 6 2" xfId="26497" xr:uid="{00000000-0005-0000-0000-0000F0360000}"/>
    <cellStyle name="Normal 3 14 14 7" xfId="8893" xr:uid="{00000000-0005-0000-0000-0000F1360000}"/>
    <cellStyle name="Normal 3 14 14 7 2" xfId="26498" xr:uid="{00000000-0005-0000-0000-0000F2360000}"/>
    <cellStyle name="Normal 3 14 14 8" xfId="8894" xr:uid="{00000000-0005-0000-0000-0000F3360000}"/>
    <cellStyle name="Normal 3 14 14 8 2" xfId="26499" xr:uid="{00000000-0005-0000-0000-0000F4360000}"/>
    <cellStyle name="Normal 3 14 14 9" xfId="8895" xr:uid="{00000000-0005-0000-0000-0000F5360000}"/>
    <cellStyle name="Normal 3 14 14 9 2" xfId="26500" xr:uid="{00000000-0005-0000-0000-0000F6360000}"/>
    <cellStyle name="Normal 3 14 15" xfId="8896" xr:uid="{00000000-0005-0000-0000-0000F7360000}"/>
    <cellStyle name="Normal 3 14 16" xfId="8897" xr:uid="{00000000-0005-0000-0000-0000F8360000}"/>
    <cellStyle name="Normal 3 14 17" xfId="8898" xr:uid="{00000000-0005-0000-0000-0000F9360000}"/>
    <cellStyle name="Normal 3 14 17 10" xfId="8899" xr:uid="{00000000-0005-0000-0000-0000FA360000}"/>
    <cellStyle name="Normal 3 14 17 10 2" xfId="26502" xr:uid="{00000000-0005-0000-0000-0000FB360000}"/>
    <cellStyle name="Normal 3 14 17 11" xfId="8900" xr:uid="{00000000-0005-0000-0000-0000FC360000}"/>
    <cellStyle name="Normal 3 14 17 11 2" xfId="26503" xr:uid="{00000000-0005-0000-0000-0000FD360000}"/>
    <cellStyle name="Normal 3 14 17 12" xfId="8901" xr:uid="{00000000-0005-0000-0000-0000FE360000}"/>
    <cellStyle name="Normal 3 14 17 12 2" xfId="26504" xr:uid="{00000000-0005-0000-0000-0000FF360000}"/>
    <cellStyle name="Normal 3 14 17 13" xfId="8902" xr:uid="{00000000-0005-0000-0000-000000370000}"/>
    <cellStyle name="Normal 3 14 17 13 2" xfId="26505" xr:uid="{00000000-0005-0000-0000-000001370000}"/>
    <cellStyle name="Normal 3 14 17 14" xfId="8903" xr:uid="{00000000-0005-0000-0000-000002370000}"/>
    <cellStyle name="Normal 3 14 17 14 2" xfId="26506" xr:uid="{00000000-0005-0000-0000-000003370000}"/>
    <cellStyle name="Normal 3 14 17 15" xfId="26501" xr:uid="{00000000-0005-0000-0000-000004370000}"/>
    <cellStyle name="Normal 3 14 17 2" xfId="8904" xr:uid="{00000000-0005-0000-0000-000005370000}"/>
    <cellStyle name="Normal 3 14 17 2 2" xfId="26507" xr:uid="{00000000-0005-0000-0000-000006370000}"/>
    <cellStyle name="Normal 3 14 17 3" xfId="8905" xr:uid="{00000000-0005-0000-0000-000007370000}"/>
    <cellStyle name="Normal 3 14 17 3 2" xfId="26508" xr:uid="{00000000-0005-0000-0000-000008370000}"/>
    <cellStyle name="Normal 3 14 17 4" xfId="8906" xr:uid="{00000000-0005-0000-0000-000009370000}"/>
    <cellStyle name="Normal 3 14 17 4 2" xfId="26509" xr:uid="{00000000-0005-0000-0000-00000A370000}"/>
    <cellStyle name="Normal 3 14 17 5" xfId="8907" xr:uid="{00000000-0005-0000-0000-00000B370000}"/>
    <cellStyle name="Normal 3 14 17 5 2" xfId="26510" xr:uid="{00000000-0005-0000-0000-00000C370000}"/>
    <cellStyle name="Normal 3 14 17 6" xfId="8908" xr:uid="{00000000-0005-0000-0000-00000D370000}"/>
    <cellStyle name="Normal 3 14 17 6 2" xfId="26511" xr:uid="{00000000-0005-0000-0000-00000E370000}"/>
    <cellStyle name="Normal 3 14 17 7" xfId="8909" xr:uid="{00000000-0005-0000-0000-00000F370000}"/>
    <cellStyle name="Normal 3 14 17 7 2" xfId="26512" xr:uid="{00000000-0005-0000-0000-000010370000}"/>
    <cellStyle name="Normal 3 14 17 8" xfId="8910" xr:uid="{00000000-0005-0000-0000-000011370000}"/>
    <cellStyle name="Normal 3 14 17 8 2" xfId="26513" xr:uid="{00000000-0005-0000-0000-000012370000}"/>
    <cellStyle name="Normal 3 14 17 9" xfId="8911" xr:uid="{00000000-0005-0000-0000-000013370000}"/>
    <cellStyle name="Normal 3 14 17 9 2" xfId="26514" xr:uid="{00000000-0005-0000-0000-000014370000}"/>
    <cellStyle name="Normal 3 14 18" xfId="8912" xr:uid="{00000000-0005-0000-0000-000015370000}"/>
    <cellStyle name="Normal 3 14 18 10" xfId="8913" xr:uid="{00000000-0005-0000-0000-000016370000}"/>
    <cellStyle name="Normal 3 14 18 10 2" xfId="26516" xr:uid="{00000000-0005-0000-0000-000017370000}"/>
    <cellStyle name="Normal 3 14 18 11" xfId="8914" xr:uid="{00000000-0005-0000-0000-000018370000}"/>
    <cellStyle name="Normal 3 14 18 11 2" xfId="26517" xr:uid="{00000000-0005-0000-0000-000019370000}"/>
    <cellStyle name="Normal 3 14 18 12" xfId="8915" xr:uid="{00000000-0005-0000-0000-00001A370000}"/>
    <cellStyle name="Normal 3 14 18 12 2" xfId="26518" xr:uid="{00000000-0005-0000-0000-00001B370000}"/>
    <cellStyle name="Normal 3 14 18 13" xfId="8916" xr:uid="{00000000-0005-0000-0000-00001C370000}"/>
    <cellStyle name="Normal 3 14 18 13 2" xfId="26519" xr:uid="{00000000-0005-0000-0000-00001D370000}"/>
    <cellStyle name="Normal 3 14 18 14" xfId="8917" xr:uid="{00000000-0005-0000-0000-00001E370000}"/>
    <cellStyle name="Normal 3 14 18 14 2" xfId="26520" xr:uid="{00000000-0005-0000-0000-00001F370000}"/>
    <cellStyle name="Normal 3 14 18 15" xfId="26515" xr:uid="{00000000-0005-0000-0000-000020370000}"/>
    <cellStyle name="Normal 3 14 18 2" xfId="8918" xr:uid="{00000000-0005-0000-0000-000021370000}"/>
    <cellStyle name="Normal 3 14 18 2 2" xfId="26521" xr:uid="{00000000-0005-0000-0000-000022370000}"/>
    <cellStyle name="Normal 3 14 18 3" xfId="8919" xr:uid="{00000000-0005-0000-0000-000023370000}"/>
    <cellStyle name="Normal 3 14 18 3 2" xfId="26522" xr:uid="{00000000-0005-0000-0000-000024370000}"/>
    <cellStyle name="Normal 3 14 18 4" xfId="8920" xr:uid="{00000000-0005-0000-0000-000025370000}"/>
    <cellStyle name="Normal 3 14 18 4 2" xfId="26523" xr:uid="{00000000-0005-0000-0000-000026370000}"/>
    <cellStyle name="Normal 3 14 18 5" xfId="8921" xr:uid="{00000000-0005-0000-0000-000027370000}"/>
    <cellStyle name="Normal 3 14 18 5 2" xfId="26524" xr:uid="{00000000-0005-0000-0000-000028370000}"/>
    <cellStyle name="Normal 3 14 18 6" xfId="8922" xr:uid="{00000000-0005-0000-0000-000029370000}"/>
    <cellStyle name="Normal 3 14 18 6 2" xfId="26525" xr:uid="{00000000-0005-0000-0000-00002A370000}"/>
    <cellStyle name="Normal 3 14 18 7" xfId="8923" xr:uid="{00000000-0005-0000-0000-00002B370000}"/>
    <cellStyle name="Normal 3 14 18 7 2" xfId="26526" xr:uid="{00000000-0005-0000-0000-00002C370000}"/>
    <cellStyle name="Normal 3 14 18 8" xfId="8924" xr:uid="{00000000-0005-0000-0000-00002D370000}"/>
    <cellStyle name="Normal 3 14 18 8 2" xfId="26527" xr:uid="{00000000-0005-0000-0000-00002E370000}"/>
    <cellStyle name="Normal 3 14 18 9" xfId="8925" xr:uid="{00000000-0005-0000-0000-00002F370000}"/>
    <cellStyle name="Normal 3 14 18 9 2" xfId="26528" xr:uid="{00000000-0005-0000-0000-000030370000}"/>
    <cellStyle name="Normal 3 14 2" xfId="8926" xr:uid="{00000000-0005-0000-0000-000031370000}"/>
    <cellStyle name="Normal 3 14 2 10" xfId="8927" xr:uid="{00000000-0005-0000-0000-000032370000}"/>
    <cellStyle name="Normal 3 14 2 10 2" xfId="26530" xr:uid="{00000000-0005-0000-0000-000033370000}"/>
    <cellStyle name="Normal 3 14 2 11" xfId="8928" xr:uid="{00000000-0005-0000-0000-000034370000}"/>
    <cellStyle name="Normal 3 14 2 11 2" xfId="26531" xr:uid="{00000000-0005-0000-0000-000035370000}"/>
    <cellStyle name="Normal 3 14 2 12" xfId="8929" xr:uid="{00000000-0005-0000-0000-000036370000}"/>
    <cellStyle name="Normal 3 14 2 12 2" xfId="26532" xr:uid="{00000000-0005-0000-0000-000037370000}"/>
    <cellStyle name="Normal 3 14 2 13" xfId="8930" xr:uid="{00000000-0005-0000-0000-000038370000}"/>
    <cellStyle name="Normal 3 14 2 13 2" xfId="26533" xr:uid="{00000000-0005-0000-0000-000039370000}"/>
    <cellStyle name="Normal 3 14 2 14" xfId="8931" xr:uid="{00000000-0005-0000-0000-00003A370000}"/>
    <cellStyle name="Normal 3 14 2 14 2" xfId="26534" xr:uid="{00000000-0005-0000-0000-00003B370000}"/>
    <cellStyle name="Normal 3 14 2 15" xfId="8932" xr:uid="{00000000-0005-0000-0000-00003C370000}"/>
    <cellStyle name="Normal 3 14 2 15 2" xfId="26535" xr:uid="{00000000-0005-0000-0000-00003D370000}"/>
    <cellStyle name="Normal 3 14 2 16" xfId="8933" xr:uid="{00000000-0005-0000-0000-00003E370000}"/>
    <cellStyle name="Normal 3 14 2 16 2" xfId="26536" xr:uid="{00000000-0005-0000-0000-00003F370000}"/>
    <cellStyle name="Normal 3 14 2 17" xfId="8934" xr:uid="{00000000-0005-0000-0000-000040370000}"/>
    <cellStyle name="Normal 3 14 2 17 2" xfId="26537" xr:uid="{00000000-0005-0000-0000-000041370000}"/>
    <cellStyle name="Normal 3 14 2 18" xfId="26529" xr:uid="{00000000-0005-0000-0000-000042370000}"/>
    <cellStyle name="Normal 3 14 2 2" xfId="8935" xr:uid="{00000000-0005-0000-0000-000043370000}"/>
    <cellStyle name="Normal 3 14 2 3" xfId="8936" xr:uid="{00000000-0005-0000-0000-000044370000}"/>
    <cellStyle name="Normal 3 14 2 4" xfId="8937" xr:uid="{00000000-0005-0000-0000-000045370000}"/>
    <cellStyle name="Normal 3 14 2 5" xfId="8938" xr:uid="{00000000-0005-0000-0000-000046370000}"/>
    <cellStyle name="Normal 3 14 2 5 2" xfId="26538" xr:uid="{00000000-0005-0000-0000-000047370000}"/>
    <cellStyle name="Normal 3 14 2 6" xfId="8939" xr:uid="{00000000-0005-0000-0000-000048370000}"/>
    <cellStyle name="Normal 3 14 2 6 2" xfId="26539" xr:uid="{00000000-0005-0000-0000-000049370000}"/>
    <cellStyle name="Normal 3 14 2 7" xfId="8940" xr:uid="{00000000-0005-0000-0000-00004A370000}"/>
    <cellStyle name="Normal 3 14 2 7 2" xfId="26540" xr:uid="{00000000-0005-0000-0000-00004B370000}"/>
    <cellStyle name="Normal 3 14 2 8" xfId="8941" xr:uid="{00000000-0005-0000-0000-00004C370000}"/>
    <cellStyle name="Normal 3 14 2 8 2" xfId="26541" xr:uid="{00000000-0005-0000-0000-00004D370000}"/>
    <cellStyle name="Normal 3 14 2 9" xfId="8942" xr:uid="{00000000-0005-0000-0000-00004E370000}"/>
    <cellStyle name="Normal 3 14 2 9 2" xfId="26542" xr:uid="{00000000-0005-0000-0000-00004F370000}"/>
    <cellStyle name="Normal 3 14 3" xfId="8943" xr:uid="{00000000-0005-0000-0000-000050370000}"/>
    <cellStyle name="Normal 3 14 4" xfId="8944" xr:uid="{00000000-0005-0000-0000-000051370000}"/>
    <cellStyle name="Normal 3 14 5" xfId="8945" xr:uid="{00000000-0005-0000-0000-000052370000}"/>
    <cellStyle name="Normal 3 14 6" xfId="8946" xr:uid="{00000000-0005-0000-0000-000053370000}"/>
    <cellStyle name="Normal 3 14 6 10" xfId="8947" xr:uid="{00000000-0005-0000-0000-000054370000}"/>
    <cellStyle name="Normal 3 14 6 10 2" xfId="26544" xr:uid="{00000000-0005-0000-0000-000055370000}"/>
    <cellStyle name="Normal 3 14 6 11" xfId="8948" xr:uid="{00000000-0005-0000-0000-000056370000}"/>
    <cellStyle name="Normal 3 14 6 11 2" xfId="26545" xr:uid="{00000000-0005-0000-0000-000057370000}"/>
    <cellStyle name="Normal 3 14 6 12" xfId="8949" xr:uid="{00000000-0005-0000-0000-000058370000}"/>
    <cellStyle name="Normal 3 14 6 12 2" xfId="26546" xr:uid="{00000000-0005-0000-0000-000059370000}"/>
    <cellStyle name="Normal 3 14 6 13" xfId="8950" xr:uid="{00000000-0005-0000-0000-00005A370000}"/>
    <cellStyle name="Normal 3 14 6 13 2" xfId="26547" xr:uid="{00000000-0005-0000-0000-00005B370000}"/>
    <cellStyle name="Normal 3 14 6 14" xfId="8951" xr:uid="{00000000-0005-0000-0000-00005C370000}"/>
    <cellStyle name="Normal 3 14 6 14 2" xfId="26548" xr:uid="{00000000-0005-0000-0000-00005D370000}"/>
    <cellStyle name="Normal 3 14 6 15" xfId="8952" xr:uid="{00000000-0005-0000-0000-00005E370000}"/>
    <cellStyle name="Normal 3 14 6 15 2" xfId="26549" xr:uid="{00000000-0005-0000-0000-00005F370000}"/>
    <cellStyle name="Normal 3 14 6 16" xfId="26543" xr:uid="{00000000-0005-0000-0000-000060370000}"/>
    <cellStyle name="Normal 3 14 6 2" xfId="8953" xr:uid="{00000000-0005-0000-0000-000061370000}"/>
    <cellStyle name="Normal 3 14 6 2 10" xfId="8954" xr:uid="{00000000-0005-0000-0000-000062370000}"/>
    <cellStyle name="Normal 3 14 6 2 10 2" xfId="26551" xr:uid="{00000000-0005-0000-0000-000063370000}"/>
    <cellStyle name="Normal 3 14 6 2 11" xfId="8955" xr:uid="{00000000-0005-0000-0000-000064370000}"/>
    <cellStyle name="Normal 3 14 6 2 11 2" xfId="26552" xr:uid="{00000000-0005-0000-0000-000065370000}"/>
    <cellStyle name="Normal 3 14 6 2 12" xfId="8956" xr:uid="{00000000-0005-0000-0000-000066370000}"/>
    <cellStyle name="Normal 3 14 6 2 12 2" xfId="26553" xr:uid="{00000000-0005-0000-0000-000067370000}"/>
    <cellStyle name="Normal 3 14 6 2 13" xfId="8957" xr:uid="{00000000-0005-0000-0000-000068370000}"/>
    <cellStyle name="Normal 3 14 6 2 13 2" xfId="26554" xr:uid="{00000000-0005-0000-0000-000069370000}"/>
    <cellStyle name="Normal 3 14 6 2 14" xfId="8958" xr:uid="{00000000-0005-0000-0000-00006A370000}"/>
    <cellStyle name="Normal 3 14 6 2 14 2" xfId="26555" xr:uid="{00000000-0005-0000-0000-00006B370000}"/>
    <cellStyle name="Normal 3 14 6 2 15" xfId="26550" xr:uid="{00000000-0005-0000-0000-00006C370000}"/>
    <cellStyle name="Normal 3 14 6 2 2" xfId="8959" xr:uid="{00000000-0005-0000-0000-00006D370000}"/>
    <cellStyle name="Normal 3 14 6 2 2 2" xfId="26556" xr:uid="{00000000-0005-0000-0000-00006E370000}"/>
    <cellStyle name="Normal 3 14 6 2 3" xfId="8960" xr:uid="{00000000-0005-0000-0000-00006F370000}"/>
    <cellStyle name="Normal 3 14 6 2 3 2" xfId="26557" xr:uid="{00000000-0005-0000-0000-000070370000}"/>
    <cellStyle name="Normal 3 14 6 2 4" xfId="8961" xr:uid="{00000000-0005-0000-0000-000071370000}"/>
    <cellStyle name="Normal 3 14 6 2 4 2" xfId="26558" xr:uid="{00000000-0005-0000-0000-000072370000}"/>
    <cellStyle name="Normal 3 14 6 2 5" xfId="8962" xr:uid="{00000000-0005-0000-0000-000073370000}"/>
    <cellStyle name="Normal 3 14 6 2 5 2" xfId="26559" xr:uid="{00000000-0005-0000-0000-000074370000}"/>
    <cellStyle name="Normal 3 14 6 2 6" xfId="8963" xr:uid="{00000000-0005-0000-0000-000075370000}"/>
    <cellStyle name="Normal 3 14 6 2 6 2" xfId="26560" xr:uid="{00000000-0005-0000-0000-000076370000}"/>
    <cellStyle name="Normal 3 14 6 2 7" xfId="8964" xr:uid="{00000000-0005-0000-0000-000077370000}"/>
    <cellStyle name="Normal 3 14 6 2 7 2" xfId="26561" xr:uid="{00000000-0005-0000-0000-000078370000}"/>
    <cellStyle name="Normal 3 14 6 2 8" xfId="8965" xr:uid="{00000000-0005-0000-0000-000079370000}"/>
    <cellStyle name="Normal 3 14 6 2 8 2" xfId="26562" xr:uid="{00000000-0005-0000-0000-00007A370000}"/>
    <cellStyle name="Normal 3 14 6 2 9" xfId="8966" xr:uid="{00000000-0005-0000-0000-00007B370000}"/>
    <cellStyle name="Normal 3 14 6 2 9 2" xfId="26563" xr:uid="{00000000-0005-0000-0000-00007C370000}"/>
    <cellStyle name="Normal 3 14 6 3" xfId="8967" xr:uid="{00000000-0005-0000-0000-00007D370000}"/>
    <cellStyle name="Normal 3 14 6 3 2" xfId="26564" xr:uid="{00000000-0005-0000-0000-00007E370000}"/>
    <cellStyle name="Normal 3 14 6 4" xfId="8968" xr:uid="{00000000-0005-0000-0000-00007F370000}"/>
    <cellStyle name="Normal 3 14 6 4 2" xfId="26565" xr:uid="{00000000-0005-0000-0000-000080370000}"/>
    <cellStyle name="Normal 3 14 6 5" xfId="8969" xr:uid="{00000000-0005-0000-0000-000081370000}"/>
    <cellStyle name="Normal 3 14 6 5 2" xfId="26566" xr:uid="{00000000-0005-0000-0000-000082370000}"/>
    <cellStyle name="Normal 3 14 6 6" xfId="8970" xr:uid="{00000000-0005-0000-0000-000083370000}"/>
    <cellStyle name="Normal 3 14 6 6 2" xfId="26567" xr:uid="{00000000-0005-0000-0000-000084370000}"/>
    <cellStyle name="Normal 3 14 6 7" xfId="8971" xr:uid="{00000000-0005-0000-0000-000085370000}"/>
    <cellStyle name="Normal 3 14 6 7 2" xfId="26568" xr:uid="{00000000-0005-0000-0000-000086370000}"/>
    <cellStyle name="Normal 3 14 6 8" xfId="8972" xr:uid="{00000000-0005-0000-0000-000087370000}"/>
    <cellStyle name="Normal 3 14 6 8 2" xfId="26569" xr:uid="{00000000-0005-0000-0000-000088370000}"/>
    <cellStyle name="Normal 3 14 6 9" xfId="8973" xr:uid="{00000000-0005-0000-0000-000089370000}"/>
    <cellStyle name="Normal 3 14 6 9 2" xfId="26570" xr:uid="{00000000-0005-0000-0000-00008A370000}"/>
    <cellStyle name="Normal 3 14 7" xfId="8974" xr:uid="{00000000-0005-0000-0000-00008B370000}"/>
    <cellStyle name="Normal 3 14 7 10" xfId="8975" xr:uid="{00000000-0005-0000-0000-00008C370000}"/>
    <cellStyle name="Normal 3 14 7 10 2" xfId="26572" xr:uid="{00000000-0005-0000-0000-00008D370000}"/>
    <cellStyle name="Normal 3 14 7 11" xfId="8976" xr:uid="{00000000-0005-0000-0000-00008E370000}"/>
    <cellStyle name="Normal 3 14 7 11 2" xfId="26573" xr:uid="{00000000-0005-0000-0000-00008F370000}"/>
    <cellStyle name="Normal 3 14 7 12" xfId="8977" xr:uid="{00000000-0005-0000-0000-000090370000}"/>
    <cellStyle name="Normal 3 14 7 12 2" xfId="26574" xr:uid="{00000000-0005-0000-0000-000091370000}"/>
    <cellStyle name="Normal 3 14 7 13" xfId="8978" xr:uid="{00000000-0005-0000-0000-000092370000}"/>
    <cellStyle name="Normal 3 14 7 13 2" xfId="26575" xr:uid="{00000000-0005-0000-0000-000093370000}"/>
    <cellStyle name="Normal 3 14 7 14" xfId="8979" xr:uid="{00000000-0005-0000-0000-000094370000}"/>
    <cellStyle name="Normal 3 14 7 14 2" xfId="26576" xr:uid="{00000000-0005-0000-0000-000095370000}"/>
    <cellStyle name="Normal 3 14 7 15" xfId="8980" xr:uid="{00000000-0005-0000-0000-000096370000}"/>
    <cellStyle name="Normal 3 14 7 15 2" xfId="26577" xr:uid="{00000000-0005-0000-0000-000097370000}"/>
    <cellStyle name="Normal 3 14 7 16" xfId="26571" xr:uid="{00000000-0005-0000-0000-000098370000}"/>
    <cellStyle name="Normal 3 14 7 2" xfId="8981" xr:uid="{00000000-0005-0000-0000-000099370000}"/>
    <cellStyle name="Normal 3 14 7 2 10" xfId="8982" xr:uid="{00000000-0005-0000-0000-00009A370000}"/>
    <cellStyle name="Normal 3 14 7 2 10 2" xfId="26579" xr:uid="{00000000-0005-0000-0000-00009B370000}"/>
    <cellStyle name="Normal 3 14 7 2 11" xfId="8983" xr:uid="{00000000-0005-0000-0000-00009C370000}"/>
    <cellStyle name="Normal 3 14 7 2 11 2" xfId="26580" xr:uid="{00000000-0005-0000-0000-00009D370000}"/>
    <cellStyle name="Normal 3 14 7 2 12" xfId="8984" xr:uid="{00000000-0005-0000-0000-00009E370000}"/>
    <cellStyle name="Normal 3 14 7 2 12 2" xfId="26581" xr:uid="{00000000-0005-0000-0000-00009F370000}"/>
    <cellStyle name="Normal 3 14 7 2 13" xfId="8985" xr:uid="{00000000-0005-0000-0000-0000A0370000}"/>
    <cellStyle name="Normal 3 14 7 2 13 2" xfId="26582" xr:uid="{00000000-0005-0000-0000-0000A1370000}"/>
    <cellStyle name="Normal 3 14 7 2 14" xfId="8986" xr:uid="{00000000-0005-0000-0000-0000A2370000}"/>
    <cellStyle name="Normal 3 14 7 2 14 2" xfId="26583" xr:uid="{00000000-0005-0000-0000-0000A3370000}"/>
    <cellStyle name="Normal 3 14 7 2 15" xfId="26578" xr:uid="{00000000-0005-0000-0000-0000A4370000}"/>
    <cellStyle name="Normal 3 14 7 2 2" xfId="8987" xr:uid="{00000000-0005-0000-0000-0000A5370000}"/>
    <cellStyle name="Normal 3 14 7 2 2 2" xfId="26584" xr:uid="{00000000-0005-0000-0000-0000A6370000}"/>
    <cellStyle name="Normal 3 14 7 2 3" xfId="8988" xr:uid="{00000000-0005-0000-0000-0000A7370000}"/>
    <cellStyle name="Normal 3 14 7 2 3 2" xfId="26585" xr:uid="{00000000-0005-0000-0000-0000A8370000}"/>
    <cellStyle name="Normal 3 14 7 2 4" xfId="8989" xr:uid="{00000000-0005-0000-0000-0000A9370000}"/>
    <cellStyle name="Normal 3 14 7 2 4 2" xfId="26586" xr:uid="{00000000-0005-0000-0000-0000AA370000}"/>
    <cellStyle name="Normal 3 14 7 2 5" xfId="8990" xr:uid="{00000000-0005-0000-0000-0000AB370000}"/>
    <cellStyle name="Normal 3 14 7 2 5 2" xfId="26587" xr:uid="{00000000-0005-0000-0000-0000AC370000}"/>
    <cellStyle name="Normal 3 14 7 2 6" xfId="8991" xr:uid="{00000000-0005-0000-0000-0000AD370000}"/>
    <cellStyle name="Normal 3 14 7 2 6 2" xfId="26588" xr:uid="{00000000-0005-0000-0000-0000AE370000}"/>
    <cellStyle name="Normal 3 14 7 2 7" xfId="8992" xr:uid="{00000000-0005-0000-0000-0000AF370000}"/>
    <cellStyle name="Normal 3 14 7 2 7 2" xfId="26589" xr:uid="{00000000-0005-0000-0000-0000B0370000}"/>
    <cellStyle name="Normal 3 14 7 2 8" xfId="8993" xr:uid="{00000000-0005-0000-0000-0000B1370000}"/>
    <cellStyle name="Normal 3 14 7 2 8 2" xfId="26590" xr:uid="{00000000-0005-0000-0000-0000B2370000}"/>
    <cellStyle name="Normal 3 14 7 2 9" xfId="8994" xr:uid="{00000000-0005-0000-0000-0000B3370000}"/>
    <cellStyle name="Normal 3 14 7 2 9 2" xfId="26591" xr:uid="{00000000-0005-0000-0000-0000B4370000}"/>
    <cellStyle name="Normal 3 14 7 3" xfId="8995" xr:uid="{00000000-0005-0000-0000-0000B5370000}"/>
    <cellStyle name="Normal 3 14 7 3 2" xfId="26592" xr:uid="{00000000-0005-0000-0000-0000B6370000}"/>
    <cellStyle name="Normal 3 14 7 4" xfId="8996" xr:uid="{00000000-0005-0000-0000-0000B7370000}"/>
    <cellStyle name="Normal 3 14 7 4 2" xfId="26593" xr:uid="{00000000-0005-0000-0000-0000B8370000}"/>
    <cellStyle name="Normal 3 14 7 5" xfId="8997" xr:uid="{00000000-0005-0000-0000-0000B9370000}"/>
    <cellStyle name="Normal 3 14 7 5 2" xfId="26594" xr:uid="{00000000-0005-0000-0000-0000BA370000}"/>
    <cellStyle name="Normal 3 14 7 6" xfId="8998" xr:uid="{00000000-0005-0000-0000-0000BB370000}"/>
    <cellStyle name="Normal 3 14 7 6 2" xfId="26595" xr:uid="{00000000-0005-0000-0000-0000BC370000}"/>
    <cellStyle name="Normal 3 14 7 7" xfId="8999" xr:uid="{00000000-0005-0000-0000-0000BD370000}"/>
    <cellStyle name="Normal 3 14 7 7 2" xfId="26596" xr:uid="{00000000-0005-0000-0000-0000BE370000}"/>
    <cellStyle name="Normal 3 14 7 8" xfId="9000" xr:uid="{00000000-0005-0000-0000-0000BF370000}"/>
    <cellStyle name="Normal 3 14 7 8 2" xfId="26597" xr:uid="{00000000-0005-0000-0000-0000C0370000}"/>
    <cellStyle name="Normal 3 14 7 9" xfId="9001" xr:uid="{00000000-0005-0000-0000-0000C1370000}"/>
    <cellStyle name="Normal 3 14 7 9 2" xfId="26598" xr:uid="{00000000-0005-0000-0000-0000C2370000}"/>
    <cellStyle name="Normal 3 14 8" xfId="9002" xr:uid="{00000000-0005-0000-0000-0000C3370000}"/>
    <cellStyle name="Normal 3 14 8 10" xfId="9003" xr:uid="{00000000-0005-0000-0000-0000C4370000}"/>
    <cellStyle name="Normal 3 14 8 10 2" xfId="26600" xr:uid="{00000000-0005-0000-0000-0000C5370000}"/>
    <cellStyle name="Normal 3 14 8 11" xfId="9004" xr:uid="{00000000-0005-0000-0000-0000C6370000}"/>
    <cellStyle name="Normal 3 14 8 11 2" xfId="26601" xr:uid="{00000000-0005-0000-0000-0000C7370000}"/>
    <cellStyle name="Normal 3 14 8 12" xfId="9005" xr:uid="{00000000-0005-0000-0000-0000C8370000}"/>
    <cellStyle name="Normal 3 14 8 12 2" xfId="26602" xr:uid="{00000000-0005-0000-0000-0000C9370000}"/>
    <cellStyle name="Normal 3 14 8 13" xfId="9006" xr:uid="{00000000-0005-0000-0000-0000CA370000}"/>
    <cellStyle name="Normal 3 14 8 13 2" xfId="26603" xr:uid="{00000000-0005-0000-0000-0000CB370000}"/>
    <cellStyle name="Normal 3 14 8 14" xfId="9007" xr:uid="{00000000-0005-0000-0000-0000CC370000}"/>
    <cellStyle name="Normal 3 14 8 14 2" xfId="26604" xr:uid="{00000000-0005-0000-0000-0000CD370000}"/>
    <cellStyle name="Normal 3 14 8 15" xfId="9008" xr:uid="{00000000-0005-0000-0000-0000CE370000}"/>
    <cellStyle name="Normal 3 14 8 15 2" xfId="26605" xr:uid="{00000000-0005-0000-0000-0000CF370000}"/>
    <cellStyle name="Normal 3 14 8 16" xfId="26599" xr:uid="{00000000-0005-0000-0000-0000D0370000}"/>
    <cellStyle name="Normal 3 14 8 2" xfId="9009" xr:uid="{00000000-0005-0000-0000-0000D1370000}"/>
    <cellStyle name="Normal 3 14 8 2 10" xfId="9010" xr:uid="{00000000-0005-0000-0000-0000D2370000}"/>
    <cellStyle name="Normal 3 14 8 2 10 2" xfId="26607" xr:uid="{00000000-0005-0000-0000-0000D3370000}"/>
    <cellStyle name="Normal 3 14 8 2 11" xfId="9011" xr:uid="{00000000-0005-0000-0000-0000D4370000}"/>
    <cellStyle name="Normal 3 14 8 2 11 2" xfId="26608" xr:uid="{00000000-0005-0000-0000-0000D5370000}"/>
    <cellStyle name="Normal 3 14 8 2 12" xfId="9012" xr:uid="{00000000-0005-0000-0000-0000D6370000}"/>
    <cellStyle name="Normal 3 14 8 2 12 2" xfId="26609" xr:uid="{00000000-0005-0000-0000-0000D7370000}"/>
    <cellStyle name="Normal 3 14 8 2 13" xfId="9013" xr:uid="{00000000-0005-0000-0000-0000D8370000}"/>
    <cellStyle name="Normal 3 14 8 2 13 2" xfId="26610" xr:uid="{00000000-0005-0000-0000-0000D9370000}"/>
    <cellStyle name="Normal 3 14 8 2 14" xfId="9014" xr:uid="{00000000-0005-0000-0000-0000DA370000}"/>
    <cellStyle name="Normal 3 14 8 2 14 2" xfId="26611" xr:uid="{00000000-0005-0000-0000-0000DB370000}"/>
    <cellStyle name="Normal 3 14 8 2 15" xfId="26606" xr:uid="{00000000-0005-0000-0000-0000DC370000}"/>
    <cellStyle name="Normal 3 14 8 2 2" xfId="9015" xr:uid="{00000000-0005-0000-0000-0000DD370000}"/>
    <cellStyle name="Normal 3 14 8 2 2 2" xfId="26612" xr:uid="{00000000-0005-0000-0000-0000DE370000}"/>
    <cellStyle name="Normal 3 14 8 2 3" xfId="9016" xr:uid="{00000000-0005-0000-0000-0000DF370000}"/>
    <cellStyle name="Normal 3 14 8 2 3 2" xfId="26613" xr:uid="{00000000-0005-0000-0000-0000E0370000}"/>
    <cellStyle name="Normal 3 14 8 2 4" xfId="9017" xr:uid="{00000000-0005-0000-0000-0000E1370000}"/>
    <cellStyle name="Normal 3 14 8 2 4 2" xfId="26614" xr:uid="{00000000-0005-0000-0000-0000E2370000}"/>
    <cellStyle name="Normal 3 14 8 2 5" xfId="9018" xr:uid="{00000000-0005-0000-0000-0000E3370000}"/>
    <cellStyle name="Normal 3 14 8 2 5 2" xfId="26615" xr:uid="{00000000-0005-0000-0000-0000E4370000}"/>
    <cellStyle name="Normal 3 14 8 2 6" xfId="9019" xr:uid="{00000000-0005-0000-0000-0000E5370000}"/>
    <cellStyle name="Normal 3 14 8 2 6 2" xfId="26616" xr:uid="{00000000-0005-0000-0000-0000E6370000}"/>
    <cellStyle name="Normal 3 14 8 2 7" xfId="9020" xr:uid="{00000000-0005-0000-0000-0000E7370000}"/>
    <cellStyle name="Normal 3 14 8 2 7 2" xfId="26617" xr:uid="{00000000-0005-0000-0000-0000E8370000}"/>
    <cellStyle name="Normal 3 14 8 2 8" xfId="9021" xr:uid="{00000000-0005-0000-0000-0000E9370000}"/>
    <cellStyle name="Normal 3 14 8 2 8 2" xfId="26618" xr:uid="{00000000-0005-0000-0000-0000EA370000}"/>
    <cellStyle name="Normal 3 14 8 2 9" xfId="9022" xr:uid="{00000000-0005-0000-0000-0000EB370000}"/>
    <cellStyle name="Normal 3 14 8 2 9 2" xfId="26619" xr:uid="{00000000-0005-0000-0000-0000EC370000}"/>
    <cellStyle name="Normal 3 14 8 3" xfId="9023" xr:uid="{00000000-0005-0000-0000-0000ED370000}"/>
    <cellStyle name="Normal 3 14 8 3 2" xfId="26620" xr:uid="{00000000-0005-0000-0000-0000EE370000}"/>
    <cellStyle name="Normal 3 14 8 4" xfId="9024" xr:uid="{00000000-0005-0000-0000-0000EF370000}"/>
    <cellStyle name="Normal 3 14 8 4 2" xfId="26621" xr:uid="{00000000-0005-0000-0000-0000F0370000}"/>
    <cellStyle name="Normal 3 14 8 5" xfId="9025" xr:uid="{00000000-0005-0000-0000-0000F1370000}"/>
    <cellStyle name="Normal 3 14 8 5 2" xfId="26622" xr:uid="{00000000-0005-0000-0000-0000F2370000}"/>
    <cellStyle name="Normal 3 14 8 6" xfId="9026" xr:uid="{00000000-0005-0000-0000-0000F3370000}"/>
    <cellStyle name="Normal 3 14 8 6 2" xfId="26623" xr:uid="{00000000-0005-0000-0000-0000F4370000}"/>
    <cellStyle name="Normal 3 14 8 7" xfId="9027" xr:uid="{00000000-0005-0000-0000-0000F5370000}"/>
    <cellStyle name="Normal 3 14 8 7 2" xfId="26624" xr:uid="{00000000-0005-0000-0000-0000F6370000}"/>
    <cellStyle name="Normal 3 14 8 8" xfId="9028" xr:uid="{00000000-0005-0000-0000-0000F7370000}"/>
    <cellStyle name="Normal 3 14 8 8 2" xfId="26625" xr:uid="{00000000-0005-0000-0000-0000F8370000}"/>
    <cellStyle name="Normal 3 14 8 9" xfId="9029" xr:uid="{00000000-0005-0000-0000-0000F9370000}"/>
    <cellStyle name="Normal 3 14 8 9 2" xfId="26626" xr:uid="{00000000-0005-0000-0000-0000FA370000}"/>
    <cellStyle name="Normal 3 14 9" xfId="9030" xr:uid="{00000000-0005-0000-0000-0000FB370000}"/>
    <cellStyle name="Normal 3 14 9 10" xfId="9031" xr:uid="{00000000-0005-0000-0000-0000FC370000}"/>
    <cellStyle name="Normal 3 14 9 10 2" xfId="26628" xr:uid="{00000000-0005-0000-0000-0000FD370000}"/>
    <cellStyle name="Normal 3 14 9 11" xfId="9032" xr:uid="{00000000-0005-0000-0000-0000FE370000}"/>
    <cellStyle name="Normal 3 14 9 11 2" xfId="26629" xr:uid="{00000000-0005-0000-0000-0000FF370000}"/>
    <cellStyle name="Normal 3 14 9 12" xfId="9033" xr:uid="{00000000-0005-0000-0000-000000380000}"/>
    <cellStyle name="Normal 3 14 9 12 2" xfId="26630" xr:uid="{00000000-0005-0000-0000-000001380000}"/>
    <cellStyle name="Normal 3 14 9 13" xfId="9034" xr:uid="{00000000-0005-0000-0000-000002380000}"/>
    <cellStyle name="Normal 3 14 9 13 2" xfId="26631" xr:uid="{00000000-0005-0000-0000-000003380000}"/>
    <cellStyle name="Normal 3 14 9 14" xfId="9035" xr:uid="{00000000-0005-0000-0000-000004380000}"/>
    <cellStyle name="Normal 3 14 9 14 2" xfId="26632" xr:uid="{00000000-0005-0000-0000-000005380000}"/>
    <cellStyle name="Normal 3 14 9 15" xfId="26627" xr:uid="{00000000-0005-0000-0000-000006380000}"/>
    <cellStyle name="Normal 3 14 9 2" xfId="9036" xr:uid="{00000000-0005-0000-0000-000007380000}"/>
    <cellStyle name="Normal 3 14 9 2 2" xfId="26633" xr:uid="{00000000-0005-0000-0000-000008380000}"/>
    <cellStyle name="Normal 3 14 9 3" xfId="9037" xr:uid="{00000000-0005-0000-0000-000009380000}"/>
    <cellStyle name="Normal 3 14 9 3 2" xfId="26634" xr:uid="{00000000-0005-0000-0000-00000A380000}"/>
    <cellStyle name="Normal 3 14 9 4" xfId="9038" xr:uid="{00000000-0005-0000-0000-00000B380000}"/>
    <cellStyle name="Normal 3 14 9 4 2" xfId="26635" xr:uid="{00000000-0005-0000-0000-00000C380000}"/>
    <cellStyle name="Normal 3 14 9 5" xfId="9039" xr:uid="{00000000-0005-0000-0000-00000D380000}"/>
    <cellStyle name="Normal 3 14 9 5 2" xfId="26636" xr:uid="{00000000-0005-0000-0000-00000E380000}"/>
    <cellStyle name="Normal 3 14 9 6" xfId="9040" xr:uid="{00000000-0005-0000-0000-00000F380000}"/>
    <cellStyle name="Normal 3 14 9 6 2" xfId="26637" xr:uid="{00000000-0005-0000-0000-000010380000}"/>
    <cellStyle name="Normal 3 14 9 7" xfId="9041" xr:uid="{00000000-0005-0000-0000-000011380000}"/>
    <cellStyle name="Normal 3 14 9 7 2" xfId="26638" xr:uid="{00000000-0005-0000-0000-000012380000}"/>
    <cellStyle name="Normal 3 14 9 8" xfId="9042" xr:uid="{00000000-0005-0000-0000-000013380000}"/>
    <cellStyle name="Normal 3 14 9 8 2" xfId="26639" xr:uid="{00000000-0005-0000-0000-000014380000}"/>
    <cellStyle name="Normal 3 14 9 9" xfId="9043" xr:uid="{00000000-0005-0000-0000-000015380000}"/>
    <cellStyle name="Normal 3 14 9 9 2" xfId="26640" xr:uid="{00000000-0005-0000-0000-000016380000}"/>
    <cellStyle name="Normal 3 15" xfId="9044" xr:uid="{00000000-0005-0000-0000-000017380000}"/>
    <cellStyle name="Normal 3 15 10" xfId="9045" xr:uid="{00000000-0005-0000-0000-000018380000}"/>
    <cellStyle name="Normal 3 15 10 10" xfId="9046" xr:uid="{00000000-0005-0000-0000-000019380000}"/>
    <cellStyle name="Normal 3 15 10 10 2" xfId="26642" xr:uid="{00000000-0005-0000-0000-00001A380000}"/>
    <cellStyle name="Normal 3 15 10 11" xfId="9047" xr:uid="{00000000-0005-0000-0000-00001B380000}"/>
    <cellStyle name="Normal 3 15 10 11 2" xfId="26643" xr:uid="{00000000-0005-0000-0000-00001C380000}"/>
    <cellStyle name="Normal 3 15 10 12" xfId="9048" xr:uid="{00000000-0005-0000-0000-00001D380000}"/>
    <cellStyle name="Normal 3 15 10 12 2" xfId="26644" xr:uid="{00000000-0005-0000-0000-00001E380000}"/>
    <cellStyle name="Normal 3 15 10 13" xfId="9049" xr:uid="{00000000-0005-0000-0000-00001F380000}"/>
    <cellStyle name="Normal 3 15 10 13 2" xfId="26645" xr:uid="{00000000-0005-0000-0000-000020380000}"/>
    <cellStyle name="Normal 3 15 10 14" xfId="9050" xr:uid="{00000000-0005-0000-0000-000021380000}"/>
    <cellStyle name="Normal 3 15 10 14 2" xfId="26646" xr:uid="{00000000-0005-0000-0000-000022380000}"/>
    <cellStyle name="Normal 3 15 10 15" xfId="26641" xr:uid="{00000000-0005-0000-0000-000023380000}"/>
    <cellStyle name="Normal 3 15 10 2" xfId="9051" xr:uid="{00000000-0005-0000-0000-000024380000}"/>
    <cellStyle name="Normal 3 15 10 2 2" xfId="26647" xr:uid="{00000000-0005-0000-0000-000025380000}"/>
    <cellStyle name="Normal 3 15 10 3" xfId="9052" xr:uid="{00000000-0005-0000-0000-000026380000}"/>
    <cellStyle name="Normal 3 15 10 3 2" xfId="26648" xr:uid="{00000000-0005-0000-0000-000027380000}"/>
    <cellStyle name="Normal 3 15 10 4" xfId="9053" xr:uid="{00000000-0005-0000-0000-000028380000}"/>
    <cellStyle name="Normal 3 15 10 4 2" xfId="26649" xr:uid="{00000000-0005-0000-0000-000029380000}"/>
    <cellStyle name="Normal 3 15 10 5" xfId="9054" xr:uid="{00000000-0005-0000-0000-00002A380000}"/>
    <cellStyle name="Normal 3 15 10 5 2" xfId="26650" xr:uid="{00000000-0005-0000-0000-00002B380000}"/>
    <cellStyle name="Normal 3 15 10 6" xfId="9055" xr:uid="{00000000-0005-0000-0000-00002C380000}"/>
    <cellStyle name="Normal 3 15 10 6 2" xfId="26651" xr:uid="{00000000-0005-0000-0000-00002D380000}"/>
    <cellStyle name="Normal 3 15 10 7" xfId="9056" xr:uid="{00000000-0005-0000-0000-00002E380000}"/>
    <cellStyle name="Normal 3 15 10 7 2" xfId="26652" xr:uid="{00000000-0005-0000-0000-00002F380000}"/>
    <cellStyle name="Normal 3 15 10 8" xfId="9057" xr:uid="{00000000-0005-0000-0000-000030380000}"/>
    <cellStyle name="Normal 3 15 10 8 2" xfId="26653" xr:uid="{00000000-0005-0000-0000-000031380000}"/>
    <cellStyle name="Normal 3 15 10 9" xfId="9058" xr:uid="{00000000-0005-0000-0000-000032380000}"/>
    <cellStyle name="Normal 3 15 10 9 2" xfId="26654" xr:uid="{00000000-0005-0000-0000-000033380000}"/>
    <cellStyle name="Normal 3 15 11" xfId="9059" xr:uid="{00000000-0005-0000-0000-000034380000}"/>
    <cellStyle name="Normal 3 15 11 10" xfId="9060" xr:uid="{00000000-0005-0000-0000-000035380000}"/>
    <cellStyle name="Normal 3 15 11 10 2" xfId="26656" xr:uid="{00000000-0005-0000-0000-000036380000}"/>
    <cellStyle name="Normal 3 15 11 11" xfId="9061" xr:uid="{00000000-0005-0000-0000-000037380000}"/>
    <cellStyle name="Normal 3 15 11 11 2" xfId="26657" xr:uid="{00000000-0005-0000-0000-000038380000}"/>
    <cellStyle name="Normal 3 15 11 12" xfId="9062" xr:uid="{00000000-0005-0000-0000-000039380000}"/>
    <cellStyle name="Normal 3 15 11 12 2" xfId="26658" xr:uid="{00000000-0005-0000-0000-00003A380000}"/>
    <cellStyle name="Normal 3 15 11 13" xfId="9063" xr:uid="{00000000-0005-0000-0000-00003B380000}"/>
    <cellStyle name="Normal 3 15 11 13 2" xfId="26659" xr:uid="{00000000-0005-0000-0000-00003C380000}"/>
    <cellStyle name="Normal 3 15 11 14" xfId="9064" xr:uid="{00000000-0005-0000-0000-00003D380000}"/>
    <cellStyle name="Normal 3 15 11 14 2" xfId="26660" xr:uid="{00000000-0005-0000-0000-00003E380000}"/>
    <cellStyle name="Normal 3 15 11 15" xfId="26655" xr:uid="{00000000-0005-0000-0000-00003F380000}"/>
    <cellStyle name="Normal 3 15 11 2" xfId="9065" xr:uid="{00000000-0005-0000-0000-000040380000}"/>
    <cellStyle name="Normal 3 15 11 2 2" xfId="26661" xr:uid="{00000000-0005-0000-0000-000041380000}"/>
    <cellStyle name="Normal 3 15 11 3" xfId="9066" xr:uid="{00000000-0005-0000-0000-000042380000}"/>
    <cellStyle name="Normal 3 15 11 3 2" xfId="26662" xr:uid="{00000000-0005-0000-0000-000043380000}"/>
    <cellStyle name="Normal 3 15 11 4" xfId="9067" xr:uid="{00000000-0005-0000-0000-000044380000}"/>
    <cellStyle name="Normal 3 15 11 4 2" xfId="26663" xr:uid="{00000000-0005-0000-0000-000045380000}"/>
    <cellStyle name="Normal 3 15 11 5" xfId="9068" xr:uid="{00000000-0005-0000-0000-000046380000}"/>
    <cellStyle name="Normal 3 15 11 5 2" xfId="26664" xr:uid="{00000000-0005-0000-0000-000047380000}"/>
    <cellStyle name="Normal 3 15 11 6" xfId="9069" xr:uid="{00000000-0005-0000-0000-000048380000}"/>
    <cellStyle name="Normal 3 15 11 6 2" xfId="26665" xr:uid="{00000000-0005-0000-0000-000049380000}"/>
    <cellStyle name="Normal 3 15 11 7" xfId="9070" xr:uid="{00000000-0005-0000-0000-00004A380000}"/>
    <cellStyle name="Normal 3 15 11 7 2" xfId="26666" xr:uid="{00000000-0005-0000-0000-00004B380000}"/>
    <cellStyle name="Normal 3 15 11 8" xfId="9071" xr:uid="{00000000-0005-0000-0000-00004C380000}"/>
    <cellStyle name="Normal 3 15 11 8 2" xfId="26667" xr:uid="{00000000-0005-0000-0000-00004D380000}"/>
    <cellStyle name="Normal 3 15 11 9" xfId="9072" xr:uid="{00000000-0005-0000-0000-00004E380000}"/>
    <cellStyle name="Normal 3 15 11 9 2" xfId="26668" xr:uid="{00000000-0005-0000-0000-00004F380000}"/>
    <cellStyle name="Normal 3 15 12" xfId="9073" xr:uid="{00000000-0005-0000-0000-000050380000}"/>
    <cellStyle name="Normal 3 15 12 10" xfId="9074" xr:uid="{00000000-0005-0000-0000-000051380000}"/>
    <cellStyle name="Normal 3 15 12 10 2" xfId="26670" xr:uid="{00000000-0005-0000-0000-000052380000}"/>
    <cellStyle name="Normal 3 15 12 11" xfId="9075" xr:uid="{00000000-0005-0000-0000-000053380000}"/>
    <cellStyle name="Normal 3 15 12 11 2" xfId="26671" xr:uid="{00000000-0005-0000-0000-000054380000}"/>
    <cellStyle name="Normal 3 15 12 12" xfId="9076" xr:uid="{00000000-0005-0000-0000-000055380000}"/>
    <cellStyle name="Normal 3 15 12 12 2" xfId="26672" xr:uid="{00000000-0005-0000-0000-000056380000}"/>
    <cellStyle name="Normal 3 15 12 13" xfId="9077" xr:uid="{00000000-0005-0000-0000-000057380000}"/>
    <cellStyle name="Normal 3 15 12 13 2" xfId="26673" xr:uid="{00000000-0005-0000-0000-000058380000}"/>
    <cellStyle name="Normal 3 15 12 14" xfId="9078" xr:uid="{00000000-0005-0000-0000-000059380000}"/>
    <cellStyle name="Normal 3 15 12 14 2" xfId="26674" xr:uid="{00000000-0005-0000-0000-00005A380000}"/>
    <cellStyle name="Normal 3 15 12 15" xfId="26669" xr:uid="{00000000-0005-0000-0000-00005B380000}"/>
    <cellStyle name="Normal 3 15 12 2" xfId="9079" xr:uid="{00000000-0005-0000-0000-00005C380000}"/>
    <cellStyle name="Normal 3 15 12 2 2" xfId="26675" xr:uid="{00000000-0005-0000-0000-00005D380000}"/>
    <cellStyle name="Normal 3 15 12 3" xfId="9080" xr:uid="{00000000-0005-0000-0000-00005E380000}"/>
    <cellStyle name="Normal 3 15 12 3 2" xfId="26676" xr:uid="{00000000-0005-0000-0000-00005F380000}"/>
    <cellStyle name="Normal 3 15 12 4" xfId="9081" xr:uid="{00000000-0005-0000-0000-000060380000}"/>
    <cellStyle name="Normal 3 15 12 4 2" xfId="26677" xr:uid="{00000000-0005-0000-0000-000061380000}"/>
    <cellStyle name="Normal 3 15 12 5" xfId="9082" xr:uid="{00000000-0005-0000-0000-000062380000}"/>
    <cellStyle name="Normal 3 15 12 5 2" xfId="26678" xr:uid="{00000000-0005-0000-0000-000063380000}"/>
    <cellStyle name="Normal 3 15 12 6" xfId="9083" xr:uid="{00000000-0005-0000-0000-000064380000}"/>
    <cellStyle name="Normal 3 15 12 6 2" xfId="26679" xr:uid="{00000000-0005-0000-0000-000065380000}"/>
    <cellStyle name="Normal 3 15 12 7" xfId="9084" xr:uid="{00000000-0005-0000-0000-000066380000}"/>
    <cellStyle name="Normal 3 15 12 7 2" xfId="26680" xr:uid="{00000000-0005-0000-0000-000067380000}"/>
    <cellStyle name="Normal 3 15 12 8" xfId="9085" xr:uid="{00000000-0005-0000-0000-000068380000}"/>
    <cellStyle name="Normal 3 15 12 8 2" xfId="26681" xr:uid="{00000000-0005-0000-0000-000069380000}"/>
    <cellStyle name="Normal 3 15 12 9" xfId="9086" xr:uid="{00000000-0005-0000-0000-00006A380000}"/>
    <cellStyle name="Normal 3 15 12 9 2" xfId="26682" xr:uid="{00000000-0005-0000-0000-00006B380000}"/>
    <cellStyle name="Normal 3 15 13" xfId="9087" xr:uid="{00000000-0005-0000-0000-00006C380000}"/>
    <cellStyle name="Normal 3 15 13 10" xfId="9088" xr:uid="{00000000-0005-0000-0000-00006D380000}"/>
    <cellStyle name="Normal 3 15 13 10 2" xfId="26684" xr:uid="{00000000-0005-0000-0000-00006E380000}"/>
    <cellStyle name="Normal 3 15 13 11" xfId="9089" xr:uid="{00000000-0005-0000-0000-00006F380000}"/>
    <cellStyle name="Normal 3 15 13 11 2" xfId="26685" xr:uid="{00000000-0005-0000-0000-000070380000}"/>
    <cellStyle name="Normal 3 15 13 12" xfId="9090" xr:uid="{00000000-0005-0000-0000-000071380000}"/>
    <cellStyle name="Normal 3 15 13 12 2" xfId="26686" xr:uid="{00000000-0005-0000-0000-000072380000}"/>
    <cellStyle name="Normal 3 15 13 13" xfId="9091" xr:uid="{00000000-0005-0000-0000-000073380000}"/>
    <cellStyle name="Normal 3 15 13 13 2" xfId="26687" xr:uid="{00000000-0005-0000-0000-000074380000}"/>
    <cellStyle name="Normal 3 15 13 14" xfId="9092" xr:uid="{00000000-0005-0000-0000-000075380000}"/>
    <cellStyle name="Normal 3 15 13 14 2" xfId="26688" xr:uid="{00000000-0005-0000-0000-000076380000}"/>
    <cellStyle name="Normal 3 15 13 15" xfId="26683" xr:uid="{00000000-0005-0000-0000-000077380000}"/>
    <cellStyle name="Normal 3 15 13 2" xfId="9093" xr:uid="{00000000-0005-0000-0000-000078380000}"/>
    <cellStyle name="Normal 3 15 13 2 2" xfId="26689" xr:uid="{00000000-0005-0000-0000-000079380000}"/>
    <cellStyle name="Normal 3 15 13 3" xfId="9094" xr:uid="{00000000-0005-0000-0000-00007A380000}"/>
    <cellStyle name="Normal 3 15 13 3 2" xfId="26690" xr:uid="{00000000-0005-0000-0000-00007B380000}"/>
    <cellStyle name="Normal 3 15 13 4" xfId="9095" xr:uid="{00000000-0005-0000-0000-00007C380000}"/>
    <cellStyle name="Normal 3 15 13 4 2" xfId="26691" xr:uid="{00000000-0005-0000-0000-00007D380000}"/>
    <cellStyle name="Normal 3 15 13 5" xfId="9096" xr:uid="{00000000-0005-0000-0000-00007E380000}"/>
    <cellStyle name="Normal 3 15 13 5 2" xfId="26692" xr:uid="{00000000-0005-0000-0000-00007F380000}"/>
    <cellStyle name="Normal 3 15 13 6" xfId="9097" xr:uid="{00000000-0005-0000-0000-000080380000}"/>
    <cellStyle name="Normal 3 15 13 6 2" xfId="26693" xr:uid="{00000000-0005-0000-0000-000081380000}"/>
    <cellStyle name="Normal 3 15 13 7" xfId="9098" xr:uid="{00000000-0005-0000-0000-000082380000}"/>
    <cellStyle name="Normal 3 15 13 7 2" xfId="26694" xr:uid="{00000000-0005-0000-0000-000083380000}"/>
    <cellStyle name="Normal 3 15 13 8" xfId="9099" xr:uid="{00000000-0005-0000-0000-000084380000}"/>
    <cellStyle name="Normal 3 15 13 8 2" xfId="26695" xr:uid="{00000000-0005-0000-0000-000085380000}"/>
    <cellStyle name="Normal 3 15 13 9" xfId="9100" xr:uid="{00000000-0005-0000-0000-000086380000}"/>
    <cellStyle name="Normal 3 15 13 9 2" xfId="26696" xr:uid="{00000000-0005-0000-0000-000087380000}"/>
    <cellStyle name="Normal 3 15 14" xfId="9101" xr:uid="{00000000-0005-0000-0000-000088380000}"/>
    <cellStyle name="Normal 3 15 14 10" xfId="9102" xr:uid="{00000000-0005-0000-0000-000089380000}"/>
    <cellStyle name="Normal 3 15 14 10 2" xfId="26698" xr:uid="{00000000-0005-0000-0000-00008A380000}"/>
    <cellStyle name="Normal 3 15 14 11" xfId="9103" xr:uid="{00000000-0005-0000-0000-00008B380000}"/>
    <cellStyle name="Normal 3 15 14 11 2" xfId="26699" xr:uid="{00000000-0005-0000-0000-00008C380000}"/>
    <cellStyle name="Normal 3 15 14 12" xfId="9104" xr:uid="{00000000-0005-0000-0000-00008D380000}"/>
    <cellStyle name="Normal 3 15 14 12 2" xfId="26700" xr:uid="{00000000-0005-0000-0000-00008E380000}"/>
    <cellStyle name="Normal 3 15 14 13" xfId="9105" xr:uid="{00000000-0005-0000-0000-00008F380000}"/>
    <cellStyle name="Normal 3 15 14 13 2" xfId="26701" xr:uid="{00000000-0005-0000-0000-000090380000}"/>
    <cellStyle name="Normal 3 15 14 14" xfId="9106" xr:uid="{00000000-0005-0000-0000-000091380000}"/>
    <cellStyle name="Normal 3 15 14 14 2" xfId="26702" xr:uid="{00000000-0005-0000-0000-000092380000}"/>
    <cellStyle name="Normal 3 15 14 15" xfId="26697" xr:uid="{00000000-0005-0000-0000-000093380000}"/>
    <cellStyle name="Normal 3 15 14 2" xfId="9107" xr:uid="{00000000-0005-0000-0000-000094380000}"/>
    <cellStyle name="Normal 3 15 14 2 2" xfId="26703" xr:uid="{00000000-0005-0000-0000-000095380000}"/>
    <cellStyle name="Normal 3 15 14 3" xfId="9108" xr:uid="{00000000-0005-0000-0000-000096380000}"/>
    <cellStyle name="Normal 3 15 14 3 2" xfId="26704" xr:uid="{00000000-0005-0000-0000-000097380000}"/>
    <cellStyle name="Normal 3 15 14 4" xfId="9109" xr:uid="{00000000-0005-0000-0000-000098380000}"/>
    <cellStyle name="Normal 3 15 14 4 2" xfId="26705" xr:uid="{00000000-0005-0000-0000-000099380000}"/>
    <cellStyle name="Normal 3 15 14 5" xfId="9110" xr:uid="{00000000-0005-0000-0000-00009A380000}"/>
    <cellStyle name="Normal 3 15 14 5 2" xfId="26706" xr:uid="{00000000-0005-0000-0000-00009B380000}"/>
    <cellStyle name="Normal 3 15 14 6" xfId="9111" xr:uid="{00000000-0005-0000-0000-00009C380000}"/>
    <cellStyle name="Normal 3 15 14 6 2" xfId="26707" xr:uid="{00000000-0005-0000-0000-00009D380000}"/>
    <cellStyle name="Normal 3 15 14 7" xfId="9112" xr:uid="{00000000-0005-0000-0000-00009E380000}"/>
    <cellStyle name="Normal 3 15 14 7 2" xfId="26708" xr:uid="{00000000-0005-0000-0000-00009F380000}"/>
    <cellStyle name="Normal 3 15 14 8" xfId="9113" xr:uid="{00000000-0005-0000-0000-0000A0380000}"/>
    <cellStyle name="Normal 3 15 14 8 2" xfId="26709" xr:uid="{00000000-0005-0000-0000-0000A1380000}"/>
    <cellStyle name="Normal 3 15 14 9" xfId="9114" xr:uid="{00000000-0005-0000-0000-0000A2380000}"/>
    <cellStyle name="Normal 3 15 14 9 2" xfId="26710" xr:uid="{00000000-0005-0000-0000-0000A3380000}"/>
    <cellStyle name="Normal 3 15 15" xfId="9115" xr:uid="{00000000-0005-0000-0000-0000A4380000}"/>
    <cellStyle name="Normal 3 15 16" xfId="9116" xr:uid="{00000000-0005-0000-0000-0000A5380000}"/>
    <cellStyle name="Normal 3 15 17" xfId="9117" xr:uid="{00000000-0005-0000-0000-0000A6380000}"/>
    <cellStyle name="Normal 3 15 17 10" xfId="9118" xr:uid="{00000000-0005-0000-0000-0000A7380000}"/>
    <cellStyle name="Normal 3 15 17 10 2" xfId="26712" xr:uid="{00000000-0005-0000-0000-0000A8380000}"/>
    <cellStyle name="Normal 3 15 17 11" xfId="9119" xr:uid="{00000000-0005-0000-0000-0000A9380000}"/>
    <cellStyle name="Normal 3 15 17 11 2" xfId="26713" xr:uid="{00000000-0005-0000-0000-0000AA380000}"/>
    <cellStyle name="Normal 3 15 17 12" xfId="9120" xr:uid="{00000000-0005-0000-0000-0000AB380000}"/>
    <cellStyle name="Normal 3 15 17 12 2" xfId="26714" xr:uid="{00000000-0005-0000-0000-0000AC380000}"/>
    <cellStyle name="Normal 3 15 17 13" xfId="9121" xr:uid="{00000000-0005-0000-0000-0000AD380000}"/>
    <cellStyle name="Normal 3 15 17 13 2" xfId="26715" xr:uid="{00000000-0005-0000-0000-0000AE380000}"/>
    <cellStyle name="Normal 3 15 17 14" xfId="9122" xr:uid="{00000000-0005-0000-0000-0000AF380000}"/>
    <cellStyle name="Normal 3 15 17 14 2" xfId="26716" xr:uid="{00000000-0005-0000-0000-0000B0380000}"/>
    <cellStyle name="Normal 3 15 17 15" xfId="26711" xr:uid="{00000000-0005-0000-0000-0000B1380000}"/>
    <cellStyle name="Normal 3 15 17 2" xfId="9123" xr:uid="{00000000-0005-0000-0000-0000B2380000}"/>
    <cellStyle name="Normal 3 15 17 2 2" xfId="26717" xr:uid="{00000000-0005-0000-0000-0000B3380000}"/>
    <cellStyle name="Normal 3 15 17 3" xfId="9124" xr:uid="{00000000-0005-0000-0000-0000B4380000}"/>
    <cellStyle name="Normal 3 15 17 3 2" xfId="26718" xr:uid="{00000000-0005-0000-0000-0000B5380000}"/>
    <cellStyle name="Normal 3 15 17 4" xfId="9125" xr:uid="{00000000-0005-0000-0000-0000B6380000}"/>
    <cellStyle name="Normal 3 15 17 4 2" xfId="26719" xr:uid="{00000000-0005-0000-0000-0000B7380000}"/>
    <cellStyle name="Normal 3 15 17 5" xfId="9126" xr:uid="{00000000-0005-0000-0000-0000B8380000}"/>
    <cellStyle name="Normal 3 15 17 5 2" xfId="26720" xr:uid="{00000000-0005-0000-0000-0000B9380000}"/>
    <cellStyle name="Normal 3 15 17 6" xfId="9127" xr:uid="{00000000-0005-0000-0000-0000BA380000}"/>
    <cellStyle name="Normal 3 15 17 6 2" xfId="26721" xr:uid="{00000000-0005-0000-0000-0000BB380000}"/>
    <cellStyle name="Normal 3 15 17 7" xfId="9128" xr:uid="{00000000-0005-0000-0000-0000BC380000}"/>
    <cellStyle name="Normal 3 15 17 7 2" xfId="26722" xr:uid="{00000000-0005-0000-0000-0000BD380000}"/>
    <cellStyle name="Normal 3 15 17 8" xfId="9129" xr:uid="{00000000-0005-0000-0000-0000BE380000}"/>
    <cellStyle name="Normal 3 15 17 8 2" xfId="26723" xr:uid="{00000000-0005-0000-0000-0000BF380000}"/>
    <cellStyle name="Normal 3 15 17 9" xfId="9130" xr:uid="{00000000-0005-0000-0000-0000C0380000}"/>
    <cellStyle name="Normal 3 15 17 9 2" xfId="26724" xr:uid="{00000000-0005-0000-0000-0000C1380000}"/>
    <cellStyle name="Normal 3 15 18" xfId="9131" xr:uid="{00000000-0005-0000-0000-0000C2380000}"/>
    <cellStyle name="Normal 3 15 18 10" xfId="9132" xr:uid="{00000000-0005-0000-0000-0000C3380000}"/>
    <cellStyle name="Normal 3 15 18 10 2" xfId="26726" xr:uid="{00000000-0005-0000-0000-0000C4380000}"/>
    <cellStyle name="Normal 3 15 18 11" xfId="9133" xr:uid="{00000000-0005-0000-0000-0000C5380000}"/>
    <cellStyle name="Normal 3 15 18 11 2" xfId="26727" xr:uid="{00000000-0005-0000-0000-0000C6380000}"/>
    <cellStyle name="Normal 3 15 18 12" xfId="9134" xr:uid="{00000000-0005-0000-0000-0000C7380000}"/>
    <cellStyle name="Normal 3 15 18 12 2" xfId="26728" xr:uid="{00000000-0005-0000-0000-0000C8380000}"/>
    <cellStyle name="Normal 3 15 18 13" xfId="9135" xr:uid="{00000000-0005-0000-0000-0000C9380000}"/>
    <cellStyle name="Normal 3 15 18 13 2" xfId="26729" xr:uid="{00000000-0005-0000-0000-0000CA380000}"/>
    <cellStyle name="Normal 3 15 18 14" xfId="9136" xr:uid="{00000000-0005-0000-0000-0000CB380000}"/>
    <cellStyle name="Normal 3 15 18 14 2" xfId="26730" xr:uid="{00000000-0005-0000-0000-0000CC380000}"/>
    <cellStyle name="Normal 3 15 18 15" xfId="26725" xr:uid="{00000000-0005-0000-0000-0000CD380000}"/>
    <cellStyle name="Normal 3 15 18 2" xfId="9137" xr:uid="{00000000-0005-0000-0000-0000CE380000}"/>
    <cellStyle name="Normal 3 15 18 2 2" xfId="26731" xr:uid="{00000000-0005-0000-0000-0000CF380000}"/>
    <cellStyle name="Normal 3 15 18 3" xfId="9138" xr:uid="{00000000-0005-0000-0000-0000D0380000}"/>
    <cellStyle name="Normal 3 15 18 3 2" xfId="26732" xr:uid="{00000000-0005-0000-0000-0000D1380000}"/>
    <cellStyle name="Normal 3 15 18 4" xfId="9139" xr:uid="{00000000-0005-0000-0000-0000D2380000}"/>
    <cellStyle name="Normal 3 15 18 4 2" xfId="26733" xr:uid="{00000000-0005-0000-0000-0000D3380000}"/>
    <cellStyle name="Normal 3 15 18 5" xfId="9140" xr:uid="{00000000-0005-0000-0000-0000D4380000}"/>
    <cellStyle name="Normal 3 15 18 5 2" xfId="26734" xr:uid="{00000000-0005-0000-0000-0000D5380000}"/>
    <cellStyle name="Normal 3 15 18 6" xfId="9141" xr:uid="{00000000-0005-0000-0000-0000D6380000}"/>
    <cellStyle name="Normal 3 15 18 6 2" xfId="26735" xr:uid="{00000000-0005-0000-0000-0000D7380000}"/>
    <cellStyle name="Normal 3 15 18 7" xfId="9142" xr:uid="{00000000-0005-0000-0000-0000D8380000}"/>
    <cellStyle name="Normal 3 15 18 7 2" xfId="26736" xr:uid="{00000000-0005-0000-0000-0000D9380000}"/>
    <cellStyle name="Normal 3 15 18 8" xfId="9143" xr:uid="{00000000-0005-0000-0000-0000DA380000}"/>
    <cellStyle name="Normal 3 15 18 8 2" xfId="26737" xr:uid="{00000000-0005-0000-0000-0000DB380000}"/>
    <cellStyle name="Normal 3 15 18 9" xfId="9144" xr:uid="{00000000-0005-0000-0000-0000DC380000}"/>
    <cellStyle name="Normal 3 15 18 9 2" xfId="26738" xr:uid="{00000000-0005-0000-0000-0000DD380000}"/>
    <cellStyle name="Normal 3 15 2" xfId="9145" xr:uid="{00000000-0005-0000-0000-0000DE380000}"/>
    <cellStyle name="Normal 3 15 2 10" xfId="9146" xr:uid="{00000000-0005-0000-0000-0000DF380000}"/>
    <cellStyle name="Normal 3 15 2 10 2" xfId="26740" xr:uid="{00000000-0005-0000-0000-0000E0380000}"/>
    <cellStyle name="Normal 3 15 2 11" xfId="9147" xr:uid="{00000000-0005-0000-0000-0000E1380000}"/>
    <cellStyle name="Normal 3 15 2 11 2" xfId="26741" xr:uid="{00000000-0005-0000-0000-0000E2380000}"/>
    <cellStyle name="Normal 3 15 2 12" xfId="9148" xr:uid="{00000000-0005-0000-0000-0000E3380000}"/>
    <cellStyle name="Normal 3 15 2 12 2" xfId="26742" xr:uid="{00000000-0005-0000-0000-0000E4380000}"/>
    <cellStyle name="Normal 3 15 2 13" xfId="9149" xr:uid="{00000000-0005-0000-0000-0000E5380000}"/>
    <cellStyle name="Normal 3 15 2 13 2" xfId="26743" xr:uid="{00000000-0005-0000-0000-0000E6380000}"/>
    <cellStyle name="Normal 3 15 2 14" xfId="9150" xr:uid="{00000000-0005-0000-0000-0000E7380000}"/>
    <cellStyle name="Normal 3 15 2 14 2" xfId="26744" xr:uid="{00000000-0005-0000-0000-0000E8380000}"/>
    <cellStyle name="Normal 3 15 2 15" xfId="9151" xr:uid="{00000000-0005-0000-0000-0000E9380000}"/>
    <cellStyle name="Normal 3 15 2 15 2" xfId="26745" xr:uid="{00000000-0005-0000-0000-0000EA380000}"/>
    <cellStyle name="Normal 3 15 2 16" xfId="9152" xr:uid="{00000000-0005-0000-0000-0000EB380000}"/>
    <cellStyle name="Normal 3 15 2 16 2" xfId="26746" xr:uid="{00000000-0005-0000-0000-0000EC380000}"/>
    <cellStyle name="Normal 3 15 2 17" xfId="9153" xr:uid="{00000000-0005-0000-0000-0000ED380000}"/>
    <cellStyle name="Normal 3 15 2 17 2" xfId="26747" xr:uid="{00000000-0005-0000-0000-0000EE380000}"/>
    <cellStyle name="Normal 3 15 2 18" xfId="26739" xr:uid="{00000000-0005-0000-0000-0000EF380000}"/>
    <cellStyle name="Normal 3 15 2 2" xfId="9154" xr:uid="{00000000-0005-0000-0000-0000F0380000}"/>
    <cellStyle name="Normal 3 15 2 3" xfId="9155" xr:uid="{00000000-0005-0000-0000-0000F1380000}"/>
    <cellStyle name="Normal 3 15 2 4" xfId="9156" xr:uid="{00000000-0005-0000-0000-0000F2380000}"/>
    <cellStyle name="Normal 3 15 2 5" xfId="9157" xr:uid="{00000000-0005-0000-0000-0000F3380000}"/>
    <cellStyle name="Normal 3 15 2 5 2" xfId="26748" xr:uid="{00000000-0005-0000-0000-0000F4380000}"/>
    <cellStyle name="Normal 3 15 2 6" xfId="9158" xr:uid="{00000000-0005-0000-0000-0000F5380000}"/>
    <cellStyle name="Normal 3 15 2 6 2" xfId="26749" xr:uid="{00000000-0005-0000-0000-0000F6380000}"/>
    <cellStyle name="Normal 3 15 2 7" xfId="9159" xr:uid="{00000000-0005-0000-0000-0000F7380000}"/>
    <cellStyle name="Normal 3 15 2 7 2" xfId="26750" xr:uid="{00000000-0005-0000-0000-0000F8380000}"/>
    <cellStyle name="Normal 3 15 2 8" xfId="9160" xr:uid="{00000000-0005-0000-0000-0000F9380000}"/>
    <cellStyle name="Normal 3 15 2 8 2" xfId="26751" xr:uid="{00000000-0005-0000-0000-0000FA380000}"/>
    <cellStyle name="Normal 3 15 2 9" xfId="9161" xr:uid="{00000000-0005-0000-0000-0000FB380000}"/>
    <cellStyle name="Normal 3 15 2 9 2" xfId="26752" xr:uid="{00000000-0005-0000-0000-0000FC380000}"/>
    <cellStyle name="Normal 3 15 3" xfId="9162" xr:uid="{00000000-0005-0000-0000-0000FD380000}"/>
    <cellStyle name="Normal 3 15 4" xfId="9163" xr:uid="{00000000-0005-0000-0000-0000FE380000}"/>
    <cellStyle name="Normal 3 15 5" xfId="9164" xr:uid="{00000000-0005-0000-0000-0000FF380000}"/>
    <cellStyle name="Normal 3 15 6" xfId="9165" xr:uid="{00000000-0005-0000-0000-000000390000}"/>
    <cellStyle name="Normal 3 15 6 10" xfId="9166" xr:uid="{00000000-0005-0000-0000-000001390000}"/>
    <cellStyle name="Normal 3 15 6 10 2" xfId="26754" xr:uid="{00000000-0005-0000-0000-000002390000}"/>
    <cellStyle name="Normal 3 15 6 11" xfId="9167" xr:uid="{00000000-0005-0000-0000-000003390000}"/>
    <cellStyle name="Normal 3 15 6 11 2" xfId="26755" xr:uid="{00000000-0005-0000-0000-000004390000}"/>
    <cellStyle name="Normal 3 15 6 12" xfId="9168" xr:uid="{00000000-0005-0000-0000-000005390000}"/>
    <cellStyle name="Normal 3 15 6 12 2" xfId="26756" xr:uid="{00000000-0005-0000-0000-000006390000}"/>
    <cellStyle name="Normal 3 15 6 13" xfId="9169" xr:uid="{00000000-0005-0000-0000-000007390000}"/>
    <cellStyle name="Normal 3 15 6 13 2" xfId="26757" xr:uid="{00000000-0005-0000-0000-000008390000}"/>
    <cellStyle name="Normal 3 15 6 14" xfId="9170" xr:uid="{00000000-0005-0000-0000-000009390000}"/>
    <cellStyle name="Normal 3 15 6 14 2" xfId="26758" xr:uid="{00000000-0005-0000-0000-00000A390000}"/>
    <cellStyle name="Normal 3 15 6 15" xfId="9171" xr:uid="{00000000-0005-0000-0000-00000B390000}"/>
    <cellStyle name="Normal 3 15 6 15 2" xfId="26759" xr:uid="{00000000-0005-0000-0000-00000C390000}"/>
    <cellStyle name="Normal 3 15 6 16" xfId="26753" xr:uid="{00000000-0005-0000-0000-00000D390000}"/>
    <cellStyle name="Normal 3 15 6 2" xfId="9172" xr:uid="{00000000-0005-0000-0000-00000E390000}"/>
    <cellStyle name="Normal 3 15 6 2 10" xfId="9173" xr:uid="{00000000-0005-0000-0000-00000F390000}"/>
    <cellStyle name="Normal 3 15 6 2 10 2" xfId="26761" xr:uid="{00000000-0005-0000-0000-000010390000}"/>
    <cellStyle name="Normal 3 15 6 2 11" xfId="9174" xr:uid="{00000000-0005-0000-0000-000011390000}"/>
    <cellStyle name="Normal 3 15 6 2 11 2" xfId="26762" xr:uid="{00000000-0005-0000-0000-000012390000}"/>
    <cellStyle name="Normal 3 15 6 2 12" xfId="9175" xr:uid="{00000000-0005-0000-0000-000013390000}"/>
    <cellStyle name="Normal 3 15 6 2 12 2" xfId="26763" xr:uid="{00000000-0005-0000-0000-000014390000}"/>
    <cellStyle name="Normal 3 15 6 2 13" xfId="9176" xr:uid="{00000000-0005-0000-0000-000015390000}"/>
    <cellStyle name="Normal 3 15 6 2 13 2" xfId="26764" xr:uid="{00000000-0005-0000-0000-000016390000}"/>
    <cellStyle name="Normal 3 15 6 2 14" xfId="9177" xr:uid="{00000000-0005-0000-0000-000017390000}"/>
    <cellStyle name="Normal 3 15 6 2 14 2" xfId="26765" xr:uid="{00000000-0005-0000-0000-000018390000}"/>
    <cellStyle name="Normal 3 15 6 2 15" xfId="26760" xr:uid="{00000000-0005-0000-0000-000019390000}"/>
    <cellStyle name="Normal 3 15 6 2 2" xfId="9178" xr:uid="{00000000-0005-0000-0000-00001A390000}"/>
    <cellStyle name="Normal 3 15 6 2 2 2" xfId="26766" xr:uid="{00000000-0005-0000-0000-00001B390000}"/>
    <cellStyle name="Normal 3 15 6 2 3" xfId="9179" xr:uid="{00000000-0005-0000-0000-00001C390000}"/>
    <cellStyle name="Normal 3 15 6 2 3 2" xfId="26767" xr:uid="{00000000-0005-0000-0000-00001D390000}"/>
    <cellStyle name="Normal 3 15 6 2 4" xfId="9180" xr:uid="{00000000-0005-0000-0000-00001E390000}"/>
    <cellStyle name="Normal 3 15 6 2 4 2" xfId="26768" xr:uid="{00000000-0005-0000-0000-00001F390000}"/>
    <cellStyle name="Normal 3 15 6 2 5" xfId="9181" xr:uid="{00000000-0005-0000-0000-000020390000}"/>
    <cellStyle name="Normal 3 15 6 2 5 2" xfId="26769" xr:uid="{00000000-0005-0000-0000-000021390000}"/>
    <cellStyle name="Normal 3 15 6 2 6" xfId="9182" xr:uid="{00000000-0005-0000-0000-000022390000}"/>
    <cellStyle name="Normal 3 15 6 2 6 2" xfId="26770" xr:uid="{00000000-0005-0000-0000-000023390000}"/>
    <cellStyle name="Normal 3 15 6 2 7" xfId="9183" xr:uid="{00000000-0005-0000-0000-000024390000}"/>
    <cellStyle name="Normal 3 15 6 2 7 2" xfId="26771" xr:uid="{00000000-0005-0000-0000-000025390000}"/>
    <cellStyle name="Normal 3 15 6 2 8" xfId="9184" xr:uid="{00000000-0005-0000-0000-000026390000}"/>
    <cellStyle name="Normal 3 15 6 2 8 2" xfId="26772" xr:uid="{00000000-0005-0000-0000-000027390000}"/>
    <cellStyle name="Normal 3 15 6 2 9" xfId="9185" xr:uid="{00000000-0005-0000-0000-000028390000}"/>
    <cellStyle name="Normal 3 15 6 2 9 2" xfId="26773" xr:uid="{00000000-0005-0000-0000-000029390000}"/>
    <cellStyle name="Normal 3 15 6 3" xfId="9186" xr:uid="{00000000-0005-0000-0000-00002A390000}"/>
    <cellStyle name="Normal 3 15 6 3 2" xfId="26774" xr:uid="{00000000-0005-0000-0000-00002B390000}"/>
    <cellStyle name="Normal 3 15 6 4" xfId="9187" xr:uid="{00000000-0005-0000-0000-00002C390000}"/>
    <cellStyle name="Normal 3 15 6 4 2" xfId="26775" xr:uid="{00000000-0005-0000-0000-00002D390000}"/>
    <cellStyle name="Normal 3 15 6 5" xfId="9188" xr:uid="{00000000-0005-0000-0000-00002E390000}"/>
    <cellStyle name="Normal 3 15 6 5 2" xfId="26776" xr:uid="{00000000-0005-0000-0000-00002F390000}"/>
    <cellStyle name="Normal 3 15 6 6" xfId="9189" xr:uid="{00000000-0005-0000-0000-000030390000}"/>
    <cellStyle name="Normal 3 15 6 6 2" xfId="26777" xr:uid="{00000000-0005-0000-0000-000031390000}"/>
    <cellStyle name="Normal 3 15 6 7" xfId="9190" xr:uid="{00000000-0005-0000-0000-000032390000}"/>
    <cellStyle name="Normal 3 15 6 7 2" xfId="26778" xr:uid="{00000000-0005-0000-0000-000033390000}"/>
    <cellStyle name="Normal 3 15 6 8" xfId="9191" xr:uid="{00000000-0005-0000-0000-000034390000}"/>
    <cellStyle name="Normal 3 15 6 8 2" xfId="26779" xr:uid="{00000000-0005-0000-0000-000035390000}"/>
    <cellStyle name="Normal 3 15 6 9" xfId="9192" xr:uid="{00000000-0005-0000-0000-000036390000}"/>
    <cellStyle name="Normal 3 15 6 9 2" xfId="26780" xr:uid="{00000000-0005-0000-0000-000037390000}"/>
    <cellStyle name="Normal 3 15 7" xfId="9193" xr:uid="{00000000-0005-0000-0000-000038390000}"/>
    <cellStyle name="Normal 3 15 7 10" xfId="9194" xr:uid="{00000000-0005-0000-0000-000039390000}"/>
    <cellStyle name="Normal 3 15 7 10 2" xfId="26782" xr:uid="{00000000-0005-0000-0000-00003A390000}"/>
    <cellStyle name="Normal 3 15 7 11" xfId="9195" xr:uid="{00000000-0005-0000-0000-00003B390000}"/>
    <cellStyle name="Normal 3 15 7 11 2" xfId="26783" xr:uid="{00000000-0005-0000-0000-00003C390000}"/>
    <cellStyle name="Normal 3 15 7 12" xfId="9196" xr:uid="{00000000-0005-0000-0000-00003D390000}"/>
    <cellStyle name="Normal 3 15 7 12 2" xfId="26784" xr:uid="{00000000-0005-0000-0000-00003E390000}"/>
    <cellStyle name="Normal 3 15 7 13" xfId="9197" xr:uid="{00000000-0005-0000-0000-00003F390000}"/>
    <cellStyle name="Normal 3 15 7 13 2" xfId="26785" xr:uid="{00000000-0005-0000-0000-000040390000}"/>
    <cellStyle name="Normal 3 15 7 14" xfId="9198" xr:uid="{00000000-0005-0000-0000-000041390000}"/>
    <cellStyle name="Normal 3 15 7 14 2" xfId="26786" xr:uid="{00000000-0005-0000-0000-000042390000}"/>
    <cellStyle name="Normal 3 15 7 15" xfId="9199" xr:uid="{00000000-0005-0000-0000-000043390000}"/>
    <cellStyle name="Normal 3 15 7 15 2" xfId="26787" xr:uid="{00000000-0005-0000-0000-000044390000}"/>
    <cellStyle name="Normal 3 15 7 16" xfId="26781" xr:uid="{00000000-0005-0000-0000-000045390000}"/>
    <cellStyle name="Normal 3 15 7 2" xfId="9200" xr:uid="{00000000-0005-0000-0000-000046390000}"/>
    <cellStyle name="Normal 3 15 7 2 10" xfId="9201" xr:uid="{00000000-0005-0000-0000-000047390000}"/>
    <cellStyle name="Normal 3 15 7 2 10 2" xfId="26789" xr:uid="{00000000-0005-0000-0000-000048390000}"/>
    <cellStyle name="Normal 3 15 7 2 11" xfId="9202" xr:uid="{00000000-0005-0000-0000-000049390000}"/>
    <cellStyle name="Normal 3 15 7 2 11 2" xfId="26790" xr:uid="{00000000-0005-0000-0000-00004A390000}"/>
    <cellStyle name="Normal 3 15 7 2 12" xfId="9203" xr:uid="{00000000-0005-0000-0000-00004B390000}"/>
    <cellStyle name="Normal 3 15 7 2 12 2" xfId="26791" xr:uid="{00000000-0005-0000-0000-00004C390000}"/>
    <cellStyle name="Normal 3 15 7 2 13" xfId="9204" xr:uid="{00000000-0005-0000-0000-00004D390000}"/>
    <cellStyle name="Normal 3 15 7 2 13 2" xfId="26792" xr:uid="{00000000-0005-0000-0000-00004E390000}"/>
    <cellStyle name="Normal 3 15 7 2 14" xfId="9205" xr:uid="{00000000-0005-0000-0000-00004F390000}"/>
    <cellStyle name="Normal 3 15 7 2 14 2" xfId="26793" xr:uid="{00000000-0005-0000-0000-000050390000}"/>
    <cellStyle name="Normal 3 15 7 2 15" xfId="26788" xr:uid="{00000000-0005-0000-0000-000051390000}"/>
    <cellStyle name="Normal 3 15 7 2 2" xfId="9206" xr:uid="{00000000-0005-0000-0000-000052390000}"/>
    <cellStyle name="Normal 3 15 7 2 2 2" xfId="26794" xr:uid="{00000000-0005-0000-0000-000053390000}"/>
    <cellStyle name="Normal 3 15 7 2 3" xfId="9207" xr:uid="{00000000-0005-0000-0000-000054390000}"/>
    <cellStyle name="Normal 3 15 7 2 3 2" xfId="26795" xr:uid="{00000000-0005-0000-0000-000055390000}"/>
    <cellStyle name="Normal 3 15 7 2 4" xfId="9208" xr:uid="{00000000-0005-0000-0000-000056390000}"/>
    <cellStyle name="Normal 3 15 7 2 4 2" xfId="26796" xr:uid="{00000000-0005-0000-0000-000057390000}"/>
    <cellStyle name="Normal 3 15 7 2 5" xfId="9209" xr:uid="{00000000-0005-0000-0000-000058390000}"/>
    <cellStyle name="Normal 3 15 7 2 5 2" xfId="26797" xr:uid="{00000000-0005-0000-0000-000059390000}"/>
    <cellStyle name="Normal 3 15 7 2 6" xfId="9210" xr:uid="{00000000-0005-0000-0000-00005A390000}"/>
    <cellStyle name="Normal 3 15 7 2 6 2" xfId="26798" xr:uid="{00000000-0005-0000-0000-00005B390000}"/>
    <cellStyle name="Normal 3 15 7 2 7" xfId="9211" xr:uid="{00000000-0005-0000-0000-00005C390000}"/>
    <cellStyle name="Normal 3 15 7 2 7 2" xfId="26799" xr:uid="{00000000-0005-0000-0000-00005D390000}"/>
    <cellStyle name="Normal 3 15 7 2 8" xfId="9212" xr:uid="{00000000-0005-0000-0000-00005E390000}"/>
    <cellStyle name="Normal 3 15 7 2 8 2" xfId="26800" xr:uid="{00000000-0005-0000-0000-00005F390000}"/>
    <cellStyle name="Normal 3 15 7 2 9" xfId="9213" xr:uid="{00000000-0005-0000-0000-000060390000}"/>
    <cellStyle name="Normal 3 15 7 2 9 2" xfId="26801" xr:uid="{00000000-0005-0000-0000-000061390000}"/>
    <cellStyle name="Normal 3 15 7 3" xfId="9214" xr:uid="{00000000-0005-0000-0000-000062390000}"/>
    <cellStyle name="Normal 3 15 7 3 2" xfId="26802" xr:uid="{00000000-0005-0000-0000-000063390000}"/>
    <cellStyle name="Normal 3 15 7 4" xfId="9215" xr:uid="{00000000-0005-0000-0000-000064390000}"/>
    <cellStyle name="Normal 3 15 7 4 2" xfId="26803" xr:uid="{00000000-0005-0000-0000-000065390000}"/>
    <cellStyle name="Normal 3 15 7 5" xfId="9216" xr:uid="{00000000-0005-0000-0000-000066390000}"/>
    <cellStyle name="Normal 3 15 7 5 2" xfId="26804" xr:uid="{00000000-0005-0000-0000-000067390000}"/>
    <cellStyle name="Normal 3 15 7 6" xfId="9217" xr:uid="{00000000-0005-0000-0000-000068390000}"/>
    <cellStyle name="Normal 3 15 7 6 2" xfId="26805" xr:uid="{00000000-0005-0000-0000-000069390000}"/>
    <cellStyle name="Normal 3 15 7 7" xfId="9218" xr:uid="{00000000-0005-0000-0000-00006A390000}"/>
    <cellStyle name="Normal 3 15 7 7 2" xfId="26806" xr:uid="{00000000-0005-0000-0000-00006B390000}"/>
    <cellStyle name="Normal 3 15 7 8" xfId="9219" xr:uid="{00000000-0005-0000-0000-00006C390000}"/>
    <cellStyle name="Normal 3 15 7 8 2" xfId="26807" xr:uid="{00000000-0005-0000-0000-00006D390000}"/>
    <cellStyle name="Normal 3 15 7 9" xfId="9220" xr:uid="{00000000-0005-0000-0000-00006E390000}"/>
    <cellStyle name="Normal 3 15 7 9 2" xfId="26808" xr:uid="{00000000-0005-0000-0000-00006F390000}"/>
    <cellStyle name="Normal 3 15 8" xfId="9221" xr:uid="{00000000-0005-0000-0000-000070390000}"/>
    <cellStyle name="Normal 3 15 8 10" xfId="9222" xr:uid="{00000000-0005-0000-0000-000071390000}"/>
    <cellStyle name="Normal 3 15 8 10 2" xfId="26810" xr:uid="{00000000-0005-0000-0000-000072390000}"/>
    <cellStyle name="Normal 3 15 8 11" xfId="9223" xr:uid="{00000000-0005-0000-0000-000073390000}"/>
    <cellStyle name="Normal 3 15 8 11 2" xfId="26811" xr:uid="{00000000-0005-0000-0000-000074390000}"/>
    <cellStyle name="Normal 3 15 8 12" xfId="9224" xr:uid="{00000000-0005-0000-0000-000075390000}"/>
    <cellStyle name="Normal 3 15 8 12 2" xfId="26812" xr:uid="{00000000-0005-0000-0000-000076390000}"/>
    <cellStyle name="Normal 3 15 8 13" xfId="9225" xr:uid="{00000000-0005-0000-0000-000077390000}"/>
    <cellStyle name="Normal 3 15 8 13 2" xfId="26813" xr:uid="{00000000-0005-0000-0000-000078390000}"/>
    <cellStyle name="Normal 3 15 8 14" xfId="9226" xr:uid="{00000000-0005-0000-0000-000079390000}"/>
    <cellStyle name="Normal 3 15 8 14 2" xfId="26814" xr:uid="{00000000-0005-0000-0000-00007A390000}"/>
    <cellStyle name="Normal 3 15 8 15" xfId="9227" xr:uid="{00000000-0005-0000-0000-00007B390000}"/>
    <cellStyle name="Normal 3 15 8 15 2" xfId="26815" xr:uid="{00000000-0005-0000-0000-00007C390000}"/>
    <cellStyle name="Normal 3 15 8 16" xfId="26809" xr:uid="{00000000-0005-0000-0000-00007D390000}"/>
    <cellStyle name="Normal 3 15 8 2" xfId="9228" xr:uid="{00000000-0005-0000-0000-00007E390000}"/>
    <cellStyle name="Normal 3 15 8 2 10" xfId="9229" xr:uid="{00000000-0005-0000-0000-00007F390000}"/>
    <cellStyle name="Normal 3 15 8 2 10 2" xfId="26817" xr:uid="{00000000-0005-0000-0000-000080390000}"/>
    <cellStyle name="Normal 3 15 8 2 11" xfId="9230" xr:uid="{00000000-0005-0000-0000-000081390000}"/>
    <cellStyle name="Normal 3 15 8 2 11 2" xfId="26818" xr:uid="{00000000-0005-0000-0000-000082390000}"/>
    <cellStyle name="Normal 3 15 8 2 12" xfId="9231" xr:uid="{00000000-0005-0000-0000-000083390000}"/>
    <cellStyle name="Normal 3 15 8 2 12 2" xfId="26819" xr:uid="{00000000-0005-0000-0000-000084390000}"/>
    <cellStyle name="Normal 3 15 8 2 13" xfId="9232" xr:uid="{00000000-0005-0000-0000-000085390000}"/>
    <cellStyle name="Normal 3 15 8 2 13 2" xfId="26820" xr:uid="{00000000-0005-0000-0000-000086390000}"/>
    <cellStyle name="Normal 3 15 8 2 14" xfId="9233" xr:uid="{00000000-0005-0000-0000-000087390000}"/>
    <cellStyle name="Normal 3 15 8 2 14 2" xfId="26821" xr:uid="{00000000-0005-0000-0000-000088390000}"/>
    <cellStyle name="Normal 3 15 8 2 15" xfId="26816" xr:uid="{00000000-0005-0000-0000-000089390000}"/>
    <cellStyle name="Normal 3 15 8 2 2" xfId="9234" xr:uid="{00000000-0005-0000-0000-00008A390000}"/>
    <cellStyle name="Normal 3 15 8 2 2 2" xfId="26822" xr:uid="{00000000-0005-0000-0000-00008B390000}"/>
    <cellStyle name="Normal 3 15 8 2 3" xfId="9235" xr:uid="{00000000-0005-0000-0000-00008C390000}"/>
    <cellStyle name="Normal 3 15 8 2 3 2" xfId="26823" xr:uid="{00000000-0005-0000-0000-00008D390000}"/>
    <cellStyle name="Normal 3 15 8 2 4" xfId="9236" xr:uid="{00000000-0005-0000-0000-00008E390000}"/>
    <cellStyle name="Normal 3 15 8 2 4 2" xfId="26824" xr:uid="{00000000-0005-0000-0000-00008F390000}"/>
    <cellStyle name="Normal 3 15 8 2 5" xfId="9237" xr:uid="{00000000-0005-0000-0000-000090390000}"/>
    <cellStyle name="Normal 3 15 8 2 5 2" xfId="26825" xr:uid="{00000000-0005-0000-0000-000091390000}"/>
    <cellStyle name="Normal 3 15 8 2 6" xfId="9238" xr:uid="{00000000-0005-0000-0000-000092390000}"/>
    <cellStyle name="Normal 3 15 8 2 6 2" xfId="26826" xr:uid="{00000000-0005-0000-0000-000093390000}"/>
    <cellStyle name="Normal 3 15 8 2 7" xfId="9239" xr:uid="{00000000-0005-0000-0000-000094390000}"/>
    <cellStyle name="Normal 3 15 8 2 7 2" xfId="26827" xr:uid="{00000000-0005-0000-0000-000095390000}"/>
    <cellStyle name="Normal 3 15 8 2 8" xfId="9240" xr:uid="{00000000-0005-0000-0000-000096390000}"/>
    <cellStyle name="Normal 3 15 8 2 8 2" xfId="26828" xr:uid="{00000000-0005-0000-0000-000097390000}"/>
    <cellStyle name="Normal 3 15 8 2 9" xfId="9241" xr:uid="{00000000-0005-0000-0000-000098390000}"/>
    <cellStyle name="Normal 3 15 8 2 9 2" xfId="26829" xr:uid="{00000000-0005-0000-0000-000099390000}"/>
    <cellStyle name="Normal 3 15 8 3" xfId="9242" xr:uid="{00000000-0005-0000-0000-00009A390000}"/>
    <cellStyle name="Normal 3 15 8 3 2" xfId="26830" xr:uid="{00000000-0005-0000-0000-00009B390000}"/>
    <cellStyle name="Normal 3 15 8 4" xfId="9243" xr:uid="{00000000-0005-0000-0000-00009C390000}"/>
    <cellStyle name="Normal 3 15 8 4 2" xfId="26831" xr:uid="{00000000-0005-0000-0000-00009D390000}"/>
    <cellStyle name="Normal 3 15 8 5" xfId="9244" xr:uid="{00000000-0005-0000-0000-00009E390000}"/>
    <cellStyle name="Normal 3 15 8 5 2" xfId="26832" xr:uid="{00000000-0005-0000-0000-00009F390000}"/>
    <cellStyle name="Normal 3 15 8 6" xfId="9245" xr:uid="{00000000-0005-0000-0000-0000A0390000}"/>
    <cellStyle name="Normal 3 15 8 6 2" xfId="26833" xr:uid="{00000000-0005-0000-0000-0000A1390000}"/>
    <cellStyle name="Normal 3 15 8 7" xfId="9246" xr:uid="{00000000-0005-0000-0000-0000A2390000}"/>
    <cellStyle name="Normal 3 15 8 7 2" xfId="26834" xr:uid="{00000000-0005-0000-0000-0000A3390000}"/>
    <cellStyle name="Normal 3 15 8 8" xfId="9247" xr:uid="{00000000-0005-0000-0000-0000A4390000}"/>
    <cellStyle name="Normal 3 15 8 8 2" xfId="26835" xr:uid="{00000000-0005-0000-0000-0000A5390000}"/>
    <cellStyle name="Normal 3 15 8 9" xfId="9248" xr:uid="{00000000-0005-0000-0000-0000A6390000}"/>
    <cellStyle name="Normal 3 15 8 9 2" xfId="26836" xr:uid="{00000000-0005-0000-0000-0000A7390000}"/>
    <cellStyle name="Normal 3 15 9" xfId="9249" xr:uid="{00000000-0005-0000-0000-0000A8390000}"/>
    <cellStyle name="Normal 3 15 9 10" xfId="9250" xr:uid="{00000000-0005-0000-0000-0000A9390000}"/>
    <cellStyle name="Normal 3 15 9 10 2" xfId="26838" xr:uid="{00000000-0005-0000-0000-0000AA390000}"/>
    <cellStyle name="Normal 3 15 9 11" xfId="9251" xr:uid="{00000000-0005-0000-0000-0000AB390000}"/>
    <cellStyle name="Normal 3 15 9 11 2" xfId="26839" xr:uid="{00000000-0005-0000-0000-0000AC390000}"/>
    <cellStyle name="Normal 3 15 9 12" xfId="9252" xr:uid="{00000000-0005-0000-0000-0000AD390000}"/>
    <cellStyle name="Normal 3 15 9 12 2" xfId="26840" xr:uid="{00000000-0005-0000-0000-0000AE390000}"/>
    <cellStyle name="Normal 3 15 9 13" xfId="9253" xr:uid="{00000000-0005-0000-0000-0000AF390000}"/>
    <cellStyle name="Normal 3 15 9 13 2" xfId="26841" xr:uid="{00000000-0005-0000-0000-0000B0390000}"/>
    <cellStyle name="Normal 3 15 9 14" xfId="9254" xr:uid="{00000000-0005-0000-0000-0000B1390000}"/>
    <cellStyle name="Normal 3 15 9 14 2" xfId="26842" xr:uid="{00000000-0005-0000-0000-0000B2390000}"/>
    <cellStyle name="Normal 3 15 9 15" xfId="26837" xr:uid="{00000000-0005-0000-0000-0000B3390000}"/>
    <cellStyle name="Normal 3 15 9 2" xfId="9255" xr:uid="{00000000-0005-0000-0000-0000B4390000}"/>
    <cellStyle name="Normal 3 15 9 2 2" xfId="26843" xr:uid="{00000000-0005-0000-0000-0000B5390000}"/>
    <cellStyle name="Normal 3 15 9 3" xfId="9256" xr:uid="{00000000-0005-0000-0000-0000B6390000}"/>
    <cellStyle name="Normal 3 15 9 3 2" xfId="26844" xr:uid="{00000000-0005-0000-0000-0000B7390000}"/>
    <cellStyle name="Normal 3 15 9 4" xfId="9257" xr:uid="{00000000-0005-0000-0000-0000B8390000}"/>
    <cellStyle name="Normal 3 15 9 4 2" xfId="26845" xr:uid="{00000000-0005-0000-0000-0000B9390000}"/>
    <cellStyle name="Normal 3 15 9 5" xfId="9258" xr:uid="{00000000-0005-0000-0000-0000BA390000}"/>
    <cellStyle name="Normal 3 15 9 5 2" xfId="26846" xr:uid="{00000000-0005-0000-0000-0000BB390000}"/>
    <cellStyle name="Normal 3 15 9 6" xfId="9259" xr:uid="{00000000-0005-0000-0000-0000BC390000}"/>
    <cellStyle name="Normal 3 15 9 6 2" xfId="26847" xr:uid="{00000000-0005-0000-0000-0000BD390000}"/>
    <cellStyle name="Normal 3 15 9 7" xfId="9260" xr:uid="{00000000-0005-0000-0000-0000BE390000}"/>
    <cellStyle name="Normal 3 15 9 7 2" xfId="26848" xr:uid="{00000000-0005-0000-0000-0000BF390000}"/>
    <cellStyle name="Normal 3 15 9 8" xfId="9261" xr:uid="{00000000-0005-0000-0000-0000C0390000}"/>
    <cellStyle name="Normal 3 15 9 8 2" xfId="26849" xr:uid="{00000000-0005-0000-0000-0000C1390000}"/>
    <cellStyle name="Normal 3 15 9 9" xfId="9262" xr:uid="{00000000-0005-0000-0000-0000C2390000}"/>
    <cellStyle name="Normal 3 15 9 9 2" xfId="26850" xr:uid="{00000000-0005-0000-0000-0000C3390000}"/>
    <cellStyle name="Normal 3 16" xfId="9263" xr:uid="{00000000-0005-0000-0000-0000C4390000}"/>
    <cellStyle name="Normal 3 16 10" xfId="9264" xr:uid="{00000000-0005-0000-0000-0000C5390000}"/>
    <cellStyle name="Normal 3 16 10 10" xfId="9265" xr:uid="{00000000-0005-0000-0000-0000C6390000}"/>
    <cellStyle name="Normal 3 16 10 10 2" xfId="26852" xr:uid="{00000000-0005-0000-0000-0000C7390000}"/>
    <cellStyle name="Normal 3 16 10 11" xfId="9266" xr:uid="{00000000-0005-0000-0000-0000C8390000}"/>
    <cellStyle name="Normal 3 16 10 11 2" xfId="26853" xr:uid="{00000000-0005-0000-0000-0000C9390000}"/>
    <cellStyle name="Normal 3 16 10 12" xfId="9267" xr:uid="{00000000-0005-0000-0000-0000CA390000}"/>
    <cellStyle name="Normal 3 16 10 12 2" xfId="26854" xr:uid="{00000000-0005-0000-0000-0000CB390000}"/>
    <cellStyle name="Normal 3 16 10 13" xfId="9268" xr:uid="{00000000-0005-0000-0000-0000CC390000}"/>
    <cellStyle name="Normal 3 16 10 13 2" xfId="26855" xr:uid="{00000000-0005-0000-0000-0000CD390000}"/>
    <cellStyle name="Normal 3 16 10 14" xfId="9269" xr:uid="{00000000-0005-0000-0000-0000CE390000}"/>
    <cellStyle name="Normal 3 16 10 14 2" xfId="26856" xr:uid="{00000000-0005-0000-0000-0000CF390000}"/>
    <cellStyle name="Normal 3 16 10 15" xfId="26851" xr:uid="{00000000-0005-0000-0000-0000D0390000}"/>
    <cellStyle name="Normal 3 16 10 2" xfId="9270" xr:uid="{00000000-0005-0000-0000-0000D1390000}"/>
    <cellStyle name="Normal 3 16 10 2 2" xfId="26857" xr:uid="{00000000-0005-0000-0000-0000D2390000}"/>
    <cellStyle name="Normal 3 16 10 3" xfId="9271" xr:uid="{00000000-0005-0000-0000-0000D3390000}"/>
    <cellStyle name="Normal 3 16 10 3 2" xfId="26858" xr:uid="{00000000-0005-0000-0000-0000D4390000}"/>
    <cellStyle name="Normal 3 16 10 4" xfId="9272" xr:uid="{00000000-0005-0000-0000-0000D5390000}"/>
    <cellStyle name="Normal 3 16 10 4 2" xfId="26859" xr:uid="{00000000-0005-0000-0000-0000D6390000}"/>
    <cellStyle name="Normal 3 16 10 5" xfId="9273" xr:uid="{00000000-0005-0000-0000-0000D7390000}"/>
    <cellStyle name="Normal 3 16 10 5 2" xfId="26860" xr:uid="{00000000-0005-0000-0000-0000D8390000}"/>
    <cellStyle name="Normal 3 16 10 6" xfId="9274" xr:uid="{00000000-0005-0000-0000-0000D9390000}"/>
    <cellStyle name="Normal 3 16 10 6 2" xfId="26861" xr:uid="{00000000-0005-0000-0000-0000DA390000}"/>
    <cellStyle name="Normal 3 16 10 7" xfId="9275" xr:uid="{00000000-0005-0000-0000-0000DB390000}"/>
    <cellStyle name="Normal 3 16 10 7 2" xfId="26862" xr:uid="{00000000-0005-0000-0000-0000DC390000}"/>
    <cellStyle name="Normal 3 16 10 8" xfId="9276" xr:uid="{00000000-0005-0000-0000-0000DD390000}"/>
    <cellStyle name="Normal 3 16 10 8 2" xfId="26863" xr:uid="{00000000-0005-0000-0000-0000DE390000}"/>
    <cellStyle name="Normal 3 16 10 9" xfId="9277" xr:uid="{00000000-0005-0000-0000-0000DF390000}"/>
    <cellStyle name="Normal 3 16 10 9 2" xfId="26864" xr:uid="{00000000-0005-0000-0000-0000E0390000}"/>
    <cellStyle name="Normal 3 16 11" xfId="9278" xr:uid="{00000000-0005-0000-0000-0000E1390000}"/>
    <cellStyle name="Normal 3 16 11 10" xfId="9279" xr:uid="{00000000-0005-0000-0000-0000E2390000}"/>
    <cellStyle name="Normal 3 16 11 10 2" xfId="26866" xr:uid="{00000000-0005-0000-0000-0000E3390000}"/>
    <cellStyle name="Normal 3 16 11 11" xfId="9280" xr:uid="{00000000-0005-0000-0000-0000E4390000}"/>
    <cellStyle name="Normal 3 16 11 11 2" xfId="26867" xr:uid="{00000000-0005-0000-0000-0000E5390000}"/>
    <cellStyle name="Normal 3 16 11 12" xfId="9281" xr:uid="{00000000-0005-0000-0000-0000E6390000}"/>
    <cellStyle name="Normal 3 16 11 12 2" xfId="26868" xr:uid="{00000000-0005-0000-0000-0000E7390000}"/>
    <cellStyle name="Normal 3 16 11 13" xfId="9282" xr:uid="{00000000-0005-0000-0000-0000E8390000}"/>
    <cellStyle name="Normal 3 16 11 13 2" xfId="26869" xr:uid="{00000000-0005-0000-0000-0000E9390000}"/>
    <cellStyle name="Normal 3 16 11 14" xfId="9283" xr:uid="{00000000-0005-0000-0000-0000EA390000}"/>
    <cellStyle name="Normal 3 16 11 14 2" xfId="26870" xr:uid="{00000000-0005-0000-0000-0000EB390000}"/>
    <cellStyle name="Normal 3 16 11 15" xfId="26865" xr:uid="{00000000-0005-0000-0000-0000EC390000}"/>
    <cellStyle name="Normal 3 16 11 2" xfId="9284" xr:uid="{00000000-0005-0000-0000-0000ED390000}"/>
    <cellStyle name="Normal 3 16 11 2 2" xfId="26871" xr:uid="{00000000-0005-0000-0000-0000EE390000}"/>
    <cellStyle name="Normal 3 16 11 3" xfId="9285" xr:uid="{00000000-0005-0000-0000-0000EF390000}"/>
    <cellStyle name="Normal 3 16 11 3 2" xfId="26872" xr:uid="{00000000-0005-0000-0000-0000F0390000}"/>
    <cellStyle name="Normal 3 16 11 4" xfId="9286" xr:uid="{00000000-0005-0000-0000-0000F1390000}"/>
    <cellStyle name="Normal 3 16 11 4 2" xfId="26873" xr:uid="{00000000-0005-0000-0000-0000F2390000}"/>
    <cellStyle name="Normal 3 16 11 5" xfId="9287" xr:uid="{00000000-0005-0000-0000-0000F3390000}"/>
    <cellStyle name="Normal 3 16 11 5 2" xfId="26874" xr:uid="{00000000-0005-0000-0000-0000F4390000}"/>
    <cellStyle name="Normal 3 16 11 6" xfId="9288" xr:uid="{00000000-0005-0000-0000-0000F5390000}"/>
    <cellStyle name="Normal 3 16 11 6 2" xfId="26875" xr:uid="{00000000-0005-0000-0000-0000F6390000}"/>
    <cellStyle name="Normal 3 16 11 7" xfId="9289" xr:uid="{00000000-0005-0000-0000-0000F7390000}"/>
    <cellStyle name="Normal 3 16 11 7 2" xfId="26876" xr:uid="{00000000-0005-0000-0000-0000F8390000}"/>
    <cellStyle name="Normal 3 16 11 8" xfId="9290" xr:uid="{00000000-0005-0000-0000-0000F9390000}"/>
    <cellStyle name="Normal 3 16 11 8 2" xfId="26877" xr:uid="{00000000-0005-0000-0000-0000FA390000}"/>
    <cellStyle name="Normal 3 16 11 9" xfId="9291" xr:uid="{00000000-0005-0000-0000-0000FB390000}"/>
    <cellStyle name="Normal 3 16 11 9 2" xfId="26878" xr:uid="{00000000-0005-0000-0000-0000FC390000}"/>
    <cellStyle name="Normal 3 16 12" xfId="9292" xr:uid="{00000000-0005-0000-0000-0000FD390000}"/>
    <cellStyle name="Normal 3 16 12 10" xfId="9293" xr:uid="{00000000-0005-0000-0000-0000FE390000}"/>
    <cellStyle name="Normal 3 16 12 10 2" xfId="26880" xr:uid="{00000000-0005-0000-0000-0000FF390000}"/>
    <cellStyle name="Normal 3 16 12 11" xfId="9294" xr:uid="{00000000-0005-0000-0000-0000003A0000}"/>
    <cellStyle name="Normal 3 16 12 11 2" xfId="26881" xr:uid="{00000000-0005-0000-0000-0000013A0000}"/>
    <cellStyle name="Normal 3 16 12 12" xfId="9295" xr:uid="{00000000-0005-0000-0000-0000023A0000}"/>
    <cellStyle name="Normal 3 16 12 12 2" xfId="26882" xr:uid="{00000000-0005-0000-0000-0000033A0000}"/>
    <cellStyle name="Normal 3 16 12 13" xfId="9296" xr:uid="{00000000-0005-0000-0000-0000043A0000}"/>
    <cellStyle name="Normal 3 16 12 13 2" xfId="26883" xr:uid="{00000000-0005-0000-0000-0000053A0000}"/>
    <cellStyle name="Normal 3 16 12 14" xfId="9297" xr:uid="{00000000-0005-0000-0000-0000063A0000}"/>
    <cellStyle name="Normal 3 16 12 14 2" xfId="26884" xr:uid="{00000000-0005-0000-0000-0000073A0000}"/>
    <cellStyle name="Normal 3 16 12 15" xfId="26879" xr:uid="{00000000-0005-0000-0000-0000083A0000}"/>
    <cellStyle name="Normal 3 16 12 2" xfId="9298" xr:uid="{00000000-0005-0000-0000-0000093A0000}"/>
    <cellStyle name="Normal 3 16 12 2 2" xfId="26885" xr:uid="{00000000-0005-0000-0000-00000A3A0000}"/>
    <cellStyle name="Normal 3 16 12 3" xfId="9299" xr:uid="{00000000-0005-0000-0000-00000B3A0000}"/>
    <cellStyle name="Normal 3 16 12 3 2" xfId="26886" xr:uid="{00000000-0005-0000-0000-00000C3A0000}"/>
    <cellStyle name="Normal 3 16 12 4" xfId="9300" xr:uid="{00000000-0005-0000-0000-00000D3A0000}"/>
    <cellStyle name="Normal 3 16 12 4 2" xfId="26887" xr:uid="{00000000-0005-0000-0000-00000E3A0000}"/>
    <cellStyle name="Normal 3 16 12 5" xfId="9301" xr:uid="{00000000-0005-0000-0000-00000F3A0000}"/>
    <cellStyle name="Normal 3 16 12 5 2" xfId="26888" xr:uid="{00000000-0005-0000-0000-0000103A0000}"/>
    <cellStyle name="Normal 3 16 12 6" xfId="9302" xr:uid="{00000000-0005-0000-0000-0000113A0000}"/>
    <cellStyle name="Normal 3 16 12 6 2" xfId="26889" xr:uid="{00000000-0005-0000-0000-0000123A0000}"/>
    <cellStyle name="Normal 3 16 12 7" xfId="9303" xr:uid="{00000000-0005-0000-0000-0000133A0000}"/>
    <cellStyle name="Normal 3 16 12 7 2" xfId="26890" xr:uid="{00000000-0005-0000-0000-0000143A0000}"/>
    <cellStyle name="Normal 3 16 12 8" xfId="9304" xr:uid="{00000000-0005-0000-0000-0000153A0000}"/>
    <cellStyle name="Normal 3 16 12 8 2" xfId="26891" xr:uid="{00000000-0005-0000-0000-0000163A0000}"/>
    <cellStyle name="Normal 3 16 12 9" xfId="9305" xr:uid="{00000000-0005-0000-0000-0000173A0000}"/>
    <cellStyle name="Normal 3 16 12 9 2" xfId="26892" xr:uid="{00000000-0005-0000-0000-0000183A0000}"/>
    <cellStyle name="Normal 3 16 13" xfId="9306" xr:uid="{00000000-0005-0000-0000-0000193A0000}"/>
    <cellStyle name="Normal 3 16 13 10" xfId="9307" xr:uid="{00000000-0005-0000-0000-00001A3A0000}"/>
    <cellStyle name="Normal 3 16 13 10 2" xfId="26894" xr:uid="{00000000-0005-0000-0000-00001B3A0000}"/>
    <cellStyle name="Normal 3 16 13 11" xfId="9308" xr:uid="{00000000-0005-0000-0000-00001C3A0000}"/>
    <cellStyle name="Normal 3 16 13 11 2" xfId="26895" xr:uid="{00000000-0005-0000-0000-00001D3A0000}"/>
    <cellStyle name="Normal 3 16 13 12" xfId="9309" xr:uid="{00000000-0005-0000-0000-00001E3A0000}"/>
    <cellStyle name="Normal 3 16 13 12 2" xfId="26896" xr:uid="{00000000-0005-0000-0000-00001F3A0000}"/>
    <cellStyle name="Normal 3 16 13 13" xfId="9310" xr:uid="{00000000-0005-0000-0000-0000203A0000}"/>
    <cellStyle name="Normal 3 16 13 13 2" xfId="26897" xr:uid="{00000000-0005-0000-0000-0000213A0000}"/>
    <cellStyle name="Normal 3 16 13 14" xfId="9311" xr:uid="{00000000-0005-0000-0000-0000223A0000}"/>
    <cellStyle name="Normal 3 16 13 14 2" xfId="26898" xr:uid="{00000000-0005-0000-0000-0000233A0000}"/>
    <cellStyle name="Normal 3 16 13 15" xfId="26893" xr:uid="{00000000-0005-0000-0000-0000243A0000}"/>
    <cellStyle name="Normal 3 16 13 2" xfId="9312" xr:uid="{00000000-0005-0000-0000-0000253A0000}"/>
    <cellStyle name="Normal 3 16 13 2 2" xfId="26899" xr:uid="{00000000-0005-0000-0000-0000263A0000}"/>
    <cellStyle name="Normal 3 16 13 3" xfId="9313" xr:uid="{00000000-0005-0000-0000-0000273A0000}"/>
    <cellStyle name="Normal 3 16 13 3 2" xfId="26900" xr:uid="{00000000-0005-0000-0000-0000283A0000}"/>
    <cellStyle name="Normal 3 16 13 4" xfId="9314" xr:uid="{00000000-0005-0000-0000-0000293A0000}"/>
    <cellStyle name="Normal 3 16 13 4 2" xfId="26901" xr:uid="{00000000-0005-0000-0000-00002A3A0000}"/>
    <cellStyle name="Normal 3 16 13 5" xfId="9315" xr:uid="{00000000-0005-0000-0000-00002B3A0000}"/>
    <cellStyle name="Normal 3 16 13 5 2" xfId="26902" xr:uid="{00000000-0005-0000-0000-00002C3A0000}"/>
    <cellStyle name="Normal 3 16 13 6" xfId="9316" xr:uid="{00000000-0005-0000-0000-00002D3A0000}"/>
    <cellStyle name="Normal 3 16 13 6 2" xfId="26903" xr:uid="{00000000-0005-0000-0000-00002E3A0000}"/>
    <cellStyle name="Normal 3 16 13 7" xfId="9317" xr:uid="{00000000-0005-0000-0000-00002F3A0000}"/>
    <cellStyle name="Normal 3 16 13 7 2" xfId="26904" xr:uid="{00000000-0005-0000-0000-0000303A0000}"/>
    <cellStyle name="Normal 3 16 13 8" xfId="9318" xr:uid="{00000000-0005-0000-0000-0000313A0000}"/>
    <cellStyle name="Normal 3 16 13 8 2" xfId="26905" xr:uid="{00000000-0005-0000-0000-0000323A0000}"/>
    <cellStyle name="Normal 3 16 13 9" xfId="9319" xr:uid="{00000000-0005-0000-0000-0000333A0000}"/>
    <cellStyle name="Normal 3 16 13 9 2" xfId="26906" xr:uid="{00000000-0005-0000-0000-0000343A0000}"/>
    <cellStyle name="Normal 3 16 14" xfId="9320" xr:uid="{00000000-0005-0000-0000-0000353A0000}"/>
    <cellStyle name="Normal 3 16 14 10" xfId="9321" xr:uid="{00000000-0005-0000-0000-0000363A0000}"/>
    <cellStyle name="Normal 3 16 14 10 2" xfId="26908" xr:uid="{00000000-0005-0000-0000-0000373A0000}"/>
    <cellStyle name="Normal 3 16 14 11" xfId="9322" xr:uid="{00000000-0005-0000-0000-0000383A0000}"/>
    <cellStyle name="Normal 3 16 14 11 2" xfId="26909" xr:uid="{00000000-0005-0000-0000-0000393A0000}"/>
    <cellStyle name="Normal 3 16 14 12" xfId="9323" xr:uid="{00000000-0005-0000-0000-00003A3A0000}"/>
    <cellStyle name="Normal 3 16 14 12 2" xfId="26910" xr:uid="{00000000-0005-0000-0000-00003B3A0000}"/>
    <cellStyle name="Normal 3 16 14 13" xfId="9324" xr:uid="{00000000-0005-0000-0000-00003C3A0000}"/>
    <cellStyle name="Normal 3 16 14 13 2" xfId="26911" xr:uid="{00000000-0005-0000-0000-00003D3A0000}"/>
    <cellStyle name="Normal 3 16 14 14" xfId="9325" xr:uid="{00000000-0005-0000-0000-00003E3A0000}"/>
    <cellStyle name="Normal 3 16 14 14 2" xfId="26912" xr:uid="{00000000-0005-0000-0000-00003F3A0000}"/>
    <cellStyle name="Normal 3 16 14 15" xfId="26907" xr:uid="{00000000-0005-0000-0000-0000403A0000}"/>
    <cellStyle name="Normal 3 16 14 2" xfId="9326" xr:uid="{00000000-0005-0000-0000-0000413A0000}"/>
    <cellStyle name="Normal 3 16 14 2 2" xfId="26913" xr:uid="{00000000-0005-0000-0000-0000423A0000}"/>
    <cellStyle name="Normal 3 16 14 3" xfId="9327" xr:uid="{00000000-0005-0000-0000-0000433A0000}"/>
    <cellStyle name="Normal 3 16 14 3 2" xfId="26914" xr:uid="{00000000-0005-0000-0000-0000443A0000}"/>
    <cellStyle name="Normal 3 16 14 4" xfId="9328" xr:uid="{00000000-0005-0000-0000-0000453A0000}"/>
    <cellStyle name="Normal 3 16 14 4 2" xfId="26915" xr:uid="{00000000-0005-0000-0000-0000463A0000}"/>
    <cellStyle name="Normal 3 16 14 5" xfId="9329" xr:uid="{00000000-0005-0000-0000-0000473A0000}"/>
    <cellStyle name="Normal 3 16 14 5 2" xfId="26916" xr:uid="{00000000-0005-0000-0000-0000483A0000}"/>
    <cellStyle name="Normal 3 16 14 6" xfId="9330" xr:uid="{00000000-0005-0000-0000-0000493A0000}"/>
    <cellStyle name="Normal 3 16 14 6 2" xfId="26917" xr:uid="{00000000-0005-0000-0000-00004A3A0000}"/>
    <cellStyle name="Normal 3 16 14 7" xfId="9331" xr:uid="{00000000-0005-0000-0000-00004B3A0000}"/>
    <cellStyle name="Normal 3 16 14 7 2" xfId="26918" xr:uid="{00000000-0005-0000-0000-00004C3A0000}"/>
    <cellStyle name="Normal 3 16 14 8" xfId="9332" xr:uid="{00000000-0005-0000-0000-00004D3A0000}"/>
    <cellStyle name="Normal 3 16 14 8 2" xfId="26919" xr:uid="{00000000-0005-0000-0000-00004E3A0000}"/>
    <cellStyle name="Normal 3 16 14 9" xfId="9333" xr:uid="{00000000-0005-0000-0000-00004F3A0000}"/>
    <cellStyle name="Normal 3 16 14 9 2" xfId="26920" xr:uid="{00000000-0005-0000-0000-0000503A0000}"/>
    <cellStyle name="Normal 3 16 15" xfId="9334" xr:uid="{00000000-0005-0000-0000-0000513A0000}"/>
    <cellStyle name="Normal 3 16 16" xfId="9335" xr:uid="{00000000-0005-0000-0000-0000523A0000}"/>
    <cellStyle name="Normal 3 16 17" xfId="9336" xr:uid="{00000000-0005-0000-0000-0000533A0000}"/>
    <cellStyle name="Normal 3 16 17 10" xfId="9337" xr:uid="{00000000-0005-0000-0000-0000543A0000}"/>
    <cellStyle name="Normal 3 16 17 10 2" xfId="26922" xr:uid="{00000000-0005-0000-0000-0000553A0000}"/>
    <cellStyle name="Normal 3 16 17 11" xfId="9338" xr:uid="{00000000-0005-0000-0000-0000563A0000}"/>
    <cellStyle name="Normal 3 16 17 11 2" xfId="26923" xr:uid="{00000000-0005-0000-0000-0000573A0000}"/>
    <cellStyle name="Normal 3 16 17 12" xfId="9339" xr:uid="{00000000-0005-0000-0000-0000583A0000}"/>
    <cellStyle name="Normal 3 16 17 12 2" xfId="26924" xr:uid="{00000000-0005-0000-0000-0000593A0000}"/>
    <cellStyle name="Normal 3 16 17 13" xfId="9340" xr:uid="{00000000-0005-0000-0000-00005A3A0000}"/>
    <cellStyle name="Normal 3 16 17 13 2" xfId="26925" xr:uid="{00000000-0005-0000-0000-00005B3A0000}"/>
    <cellStyle name="Normal 3 16 17 14" xfId="9341" xr:uid="{00000000-0005-0000-0000-00005C3A0000}"/>
    <cellStyle name="Normal 3 16 17 14 2" xfId="26926" xr:uid="{00000000-0005-0000-0000-00005D3A0000}"/>
    <cellStyle name="Normal 3 16 17 15" xfId="26921" xr:uid="{00000000-0005-0000-0000-00005E3A0000}"/>
    <cellStyle name="Normal 3 16 17 2" xfId="9342" xr:uid="{00000000-0005-0000-0000-00005F3A0000}"/>
    <cellStyle name="Normal 3 16 17 2 2" xfId="26927" xr:uid="{00000000-0005-0000-0000-0000603A0000}"/>
    <cellStyle name="Normal 3 16 17 3" xfId="9343" xr:uid="{00000000-0005-0000-0000-0000613A0000}"/>
    <cellStyle name="Normal 3 16 17 3 2" xfId="26928" xr:uid="{00000000-0005-0000-0000-0000623A0000}"/>
    <cellStyle name="Normal 3 16 17 4" xfId="9344" xr:uid="{00000000-0005-0000-0000-0000633A0000}"/>
    <cellStyle name="Normal 3 16 17 4 2" xfId="26929" xr:uid="{00000000-0005-0000-0000-0000643A0000}"/>
    <cellStyle name="Normal 3 16 17 5" xfId="9345" xr:uid="{00000000-0005-0000-0000-0000653A0000}"/>
    <cellStyle name="Normal 3 16 17 5 2" xfId="26930" xr:uid="{00000000-0005-0000-0000-0000663A0000}"/>
    <cellStyle name="Normal 3 16 17 6" xfId="9346" xr:uid="{00000000-0005-0000-0000-0000673A0000}"/>
    <cellStyle name="Normal 3 16 17 6 2" xfId="26931" xr:uid="{00000000-0005-0000-0000-0000683A0000}"/>
    <cellStyle name="Normal 3 16 17 7" xfId="9347" xr:uid="{00000000-0005-0000-0000-0000693A0000}"/>
    <cellStyle name="Normal 3 16 17 7 2" xfId="26932" xr:uid="{00000000-0005-0000-0000-00006A3A0000}"/>
    <cellStyle name="Normal 3 16 17 8" xfId="9348" xr:uid="{00000000-0005-0000-0000-00006B3A0000}"/>
    <cellStyle name="Normal 3 16 17 8 2" xfId="26933" xr:uid="{00000000-0005-0000-0000-00006C3A0000}"/>
    <cellStyle name="Normal 3 16 17 9" xfId="9349" xr:uid="{00000000-0005-0000-0000-00006D3A0000}"/>
    <cellStyle name="Normal 3 16 17 9 2" xfId="26934" xr:uid="{00000000-0005-0000-0000-00006E3A0000}"/>
    <cellStyle name="Normal 3 16 18" xfId="9350" xr:uid="{00000000-0005-0000-0000-00006F3A0000}"/>
    <cellStyle name="Normal 3 16 18 10" xfId="9351" xr:uid="{00000000-0005-0000-0000-0000703A0000}"/>
    <cellStyle name="Normal 3 16 18 10 2" xfId="26936" xr:uid="{00000000-0005-0000-0000-0000713A0000}"/>
    <cellStyle name="Normal 3 16 18 11" xfId="9352" xr:uid="{00000000-0005-0000-0000-0000723A0000}"/>
    <cellStyle name="Normal 3 16 18 11 2" xfId="26937" xr:uid="{00000000-0005-0000-0000-0000733A0000}"/>
    <cellStyle name="Normal 3 16 18 12" xfId="9353" xr:uid="{00000000-0005-0000-0000-0000743A0000}"/>
    <cellStyle name="Normal 3 16 18 12 2" xfId="26938" xr:uid="{00000000-0005-0000-0000-0000753A0000}"/>
    <cellStyle name="Normal 3 16 18 13" xfId="9354" xr:uid="{00000000-0005-0000-0000-0000763A0000}"/>
    <cellStyle name="Normal 3 16 18 13 2" xfId="26939" xr:uid="{00000000-0005-0000-0000-0000773A0000}"/>
    <cellStyle name="Normal 3 16 18 14" xfId="9355" xr:uid="{00000000-0005-0000-0000-0000783A0000}"/>
    <cellStyle name="Normal 3 16 18 14 2" xfId="26940" xr:uid="{00000000-0005-0000-0000-0000793A0000}"/>
    <cellStyle name="Normal 3 16 18 15" xfId="26935" xr:uid="{00000000-0005-0000-0000-00007A3A0000}"/>
    <cellStyle name="Normal 3 16 18 2" xfId="9356" xr:uid="{00000000-0005-0000-0000-00007B3A0000}"/>
    <cellStyle name="Normal 3 16 18 2 2" xfId="26941" xr:uid="{00000000-0005-0000-0000-00007C3A0000}"/>
    <cellStyle name="Normal 3 16 18 3" xfId="9357" xr:uid="{00000000-0005-0000-0000-00007D3A0000}"/>
    <cellStyle name="Normal 3 16 18 3 2" xfId="26942" xr:uid="{00000000-0005-0000-0000-00007E3A0000}"/>
    <cellStyle name="Normal 3 16 18 4" xfId="9358" xr:uid="{00000000-0005-0000-0000-00007F3A0000}"/>
    <cellStyle name="Normal 3 16 18 4 2" xfId="26943" xr:uid="{00000000-0005-0000-0000-0000803A0000}"/>
    <cellStyle name="Normal 3 16 18 5" xfId="9359" xr:uid="{00000000-0005-0000-0000-0000813A0000}"/>
    <cellStyle name="Normal 3 16 18 5 2" xfId="26944" xr:uid="{00000000-0005-0000-0000-0000823A0000}"/>
    <cellStyle name="Normal 3 16 18 6" xfId="9360" xr:uid="{00000000-0005-0000-0000-0000833A0000}"/>
    <cellStyle name="Normal 3 16 18 6 2" xfId="26945" xr:uid="{00000000-0005-0000-0000-0000843A0000}"/>
    <cellStyle name="Normal 3 16 18 7" xfId="9361" xr:uid="{00000000-0005-0000-0000-0000853A0000}"/>
    <cellStyle name="Normal 3 16 18 7 2" xfId="26946" xr:uid="{00000000-0005-0000-0000-0000863A0000}"/>
    <cellStyle name="Normal 3 16 18 8" xfId="9362" xr:uid="{00000000-0005-0000-0000-0000873A0000}"/>
    <cellStyle name="Normal 3 16 18 8 2" xfId="26947" xr:uid="{00000000-0005-0000-0000-0000883A0000}"/>
    <cellStyle name="Normal 3 16 18 9" xfId="9363" xr:uid="{00000000-0005-0000-0000-0000893A0000}"/>
    <cellStyle name="Normal 3 16 18 9 2" xfId="26948" xr:uid="{00000000-0005-0000-0000-00008A3A0000}"/>
    <cellStyle name="Normal 3 16 2" xfId="9364" xr:uid="{00000000-0005-0000-0000-00008B3A0000}"/>
    <cellStyle name="Normal 3 16 2 10" xfId="9365" xr:uid="{00000000-0005-0000-0000-00008C3A0000}"/>
    <cellStyle name="Normal 3 16 2 10 2" xfId="26950" xr:uid="{00000000-0005-0000-0000-00008D3A0000}"/>
    <cellStyle name="Normal 3 16 2 11" xfId="9366" xr:uid="{00000000-0005-0000-0000-00008E3A0000}"/>
    <cellStyle name="Normal 3 16 2 11 2" xfId="26951" xr:uid="{00000000-0005-0000-0000-00008F3A0000}"/>
    <cellStyle name="Normal 3 16 2 12" xfId="9367" xr:uid="{00000000-0005-0000-0000-0000903A0000}"/>
    <cellStyle name="Normal 3 16 2 12 2" xfId="26952" xr:uid="{00000000-0005-0000-0000-0000913A0000}"/>
    <cellStyle name="Normal 3 16 2 13" xfId="9368" xr:uid="{00000000-0005-0000-0000-0000923A0000}"/>
    <cellStyle name="Normal 3 16 2 13 2" xfId="26953" xr:uid="{00000000-0005-0000-0000-0000933A0000}"/>
    <cellStyle name="Normal 3 16 2 14" xfId="9369" xr:uid="{00000000-0005-0000-0000-0000943A0000}"/>
    <cellStyle name="Normal 3 16 2 14 2" xfId="26954" xr:uid="{00000000-0005-0000-0000-0000953A0000}"/>
    <cellStyle name="Normal 3 16 2 15" xfId="9370" xr:uid="{00000000-0005-0000-0000-0000963A0000}"/>
    <cellStyle name="Normal 3 16 2 15 2" xfId="26955" xr:uid="{00000000-0005-0000-0000-0000973A0000}"/>
    <cellStyle name="Normal 3 16 2 16" xfId="9371" xr:uid="{00000000-0005-0000-0000-0000983A0000}"/>
    <cellStyle name="Normal 3 16 2 16 2" xfId="26956" xr:uid="{00000000-0005-0000-0000-0000993A0000}"/>
    <cellStyle name="Normal 3 16 2 17" xfId="9372" xr:uid="{00000000-0005-0000-0000-00009A3A0000}"/>
    <cellStyle name="Normal 3 16 2 17 2" xfId="26957" xr:uid="{00000000-0005-0000-0000-00009B3A0000}"/>
    <cellStyle name="Normal 3 16 2 18" xfId="26949" xr:uid="{00000000-0005-0000-0000-00009C3A0000}"/>
    <cellStyle name="Normal 3 16 2 2" xfId="9373" xr:uid="{00000000-0005-0000-0000-00009D3A0000}"/>
    <cellStyle name="Normal 3 16 2 3" xfId="9374" xr:uid="{00000000-0005-0000-0000-00009E3A0000}"/>
    <cellStyle name="Normal 3 16 2 4" xfId="9375" xr:uid="{00000000-0005-0000-0000-00009F3A0000}"/>
    <cellStyle name="Normal 3 16 2 5" xfId="9376" xr:uid="{00000000-0005-0000-0000-0000A03A0000}"/>
    <cellStyle name="Normal 3 16 2 5 2" xfId="26958" xr:uid="{00000000-0005-0000-0000-0000A13A0000}"/>
    <cellStyle name="Normal 3 16 2 6" xfId="9377" xr:uid="{00000000-0005-0000-0000-0000A23A0000}"/>
    <cellStyle name="Normal 3 16 2 6 2" xfId="26959" xr:uid="{00000000-0005-0000-0000-0000A33A0000}"/>
    <cellStyle name="Normal 3 16 2 7" xfId="9378" xr:uid="{00000000-0005-0000-0000-0000A43A0000}"/>
    <cellStyle name="Normal 3 16 2 7 2" xfId="26960" xr:uid="{00000000-0005-0000-0000-0000A53A0000}"/>
    <cellStyle name="Normal 3 16 2 8" xfId="9379" xr:uid="{00000000-0005-0000-0000-0000A63A0000}"/>
    <cellStyle name="Normal 3 16 2 8 2" xfId="26961" xr:uid="{00000000-0005-0000-0000-0000A73A0000}"/>
    <cellStyle name="Normal 3 16 2 9" xfId="9380" xr:uid="{00000000-0005-0000-0000-0000A83A0000}"/>
    <cellStyle name="Normal 3 16 2 9 2" xfId="26962" xr:uid="{00000000-0005-0000-0000-0000A93A0000}"/>
    <cellStyle name="Normal 3 16 3" xfId="9381" xr:uid="{00000000-0005-0000-0000-0000AA3A0000}"/>
    <cellStyle name="Normal 3 16 4" xfId="9382" xr:uid="{00000000-0005-0000-0000-0000AB3A0000}"/>
    <cellStyle name="Normal 3 16 5" xfId="9383" xr:uid="{00000000-0005-0000-0000-0000AC3A0000}"/>
    <cellStyle name="Normal 3 16 6" xfId="9384" xr:uid="{00000000-0005-0000-0000-0000AD3A0000}"/>
    <cellStyle name="Normal 3 16 6 10" xfId="9385" xr:uid="{00000000-0005-0000-0000-0000AE3A0000}"/>
    <cellStyle name="Normal 3 16 6 10 2" xfId="26964" xr:uid="{00000000-0005-0000-0000-0000AF3A0000}"/>
    <cellStyle name="Normal 3 16 6 11" xfId="9386" xr:uid="{00000000-0005-0000-0000-0000B03A0000}"/>
    <cellStyle name="Normal 3 16 6 11 2" xfId="26965" xr:uid="{00000000-0005-0000-0000-0000B13A0000}"/>
    <cellStyle name="Normal 3 16 6 12" xfId="9387" xr:uid="{00000000-0005-0000-0000-0000B23A0000}"/>
    <cellStyle name="Normal 3 16 6 12 2" xfId="26966" xr:uid="{00000000-0005-0000-0000-0000B33A0000}"/>
    <cellStyle name="Normal 3 16 6 13" xfId="9388" xr:uid="{00000000-0005-0000-0000-0000B43A0000}"/>
    <cellStyle name="Normal 3 16 6 13 2" xfId="26967" xr:uid="{00000000-0005-0000-0000-0000B53A0000}"/>
    <cellStyle name="Normal 3 16 6 14" xfId="9389" xr:uid="{00000000-0005-0000-0000-0000B63A0000}"/>
    <cellStyle name="Normal 3 16 6 14 2" xfId="26968" xr:uid="{00000000-0005-0000-0000-0000B73A0000}"/>
    <cellStyle name="Normal 3 16 6 15" xfId="9390" xr:uid="{00000000-0005-0000-0000-0000B83A0000}"/>
    <cellStyle name="Normal 3 16 6 15 2" xfId="26969" xr:uid="{00000000-0005-0000-0000-0000B93A0000}"/>
    <cellStyle name="Normal 3 16 6 16" xfId="26963" xr:uid="{00000000-0005-0000-0000-0000BA3A0000}"/>
    <cellStyle name="Normal 3 16 6 2" xfId="9391" xr:uid="{00000000-0005-0000-0000-0000BB3A0000}"/>
    <cellStyle name="Normal 3 16 6 2 10" xfId="9392" xr:uid="{00000000-0005-0000-0000-0000BC3A0000}"/>
    <cellStyle name="Normal 3 16 6 2 10 2" xfId="26971" xr:uid="{00000000-0005-0000-0000-0000BD3A0000}"/>
    <cellStyle name="Normal 3 16 6 2 11" xfId="9393" xr:uid="{00000000-0005-0000-0000-0000BE3A0000}"/>
    <cellStyle name="Normal 3 16 6 2 11 2" xfId="26972" xr:uid="{00000000-0005-0000-0000-0000BF3A0000}"/>
    <cellStyle name="Normal 3 16 6 2 12" xfId="9394" xr:uid="{00000000-0005-0000-0000-0000C03A0000}"/>
    <cellStyle name="Normal 3 16 6 2 12 2" xfId="26973" xr:uid="{00000000-0005-0000-0000-0000C13A0000}"/>
    <cellStyle name="Normal 3 16 6 2 13" xfId="9395" xr:uid="{00000000-0005-0000-0000-0000C23A0000}"/>
    <cellStyle name="Normal 3 16 6 2 13 2" xfId="26974" xr:uid="{00000000-0005-0000-0000-0000C33A0000}"/>
    <cellStyle name="Normal 3 16 6 2 14" xfId="9396" xr:uid="{00000000-0005-0000-0000-0000C43A0000}"/>
    <cellStyle name="Normal 3 16 6 2 14 2" xfId="26975" xr:uid="{00000000-0005-0000-0000-0000C53A0000}"/>
    <cellStyle name="Normal 3 16 6 2 15" xfId="26970" xr:uid="{00000000-0005-0000-0000-0000C63A0000}"/>
    <cellStyle name="Normal 3 16 6 2 2" xfId="9397" xr:uid="{00000000-0005-0000-0000-0000C73A0000}"/>
    <cellStyle name="Normal 3 16 6 2 2 2" xfId="26976" xr:uid="{00000000-0005-0000-0000-0000C83A0000}"/>
    <cellStyle name="Normal 3 16 6 2 3" xfId="9398" xr:uid="{00000000-0005-0000-0000-0000C93A0000}"/>
    <cellStyle name="Normal 3 16 6 2 3 2" xfId="26977" xr:uid="{00000000-0005-0000-0000-0000CA3A0000}"/>
    <cellStyle name="Normal 3 16 6 2 4" xfId="9399" xr:uid="{00000000-0005-0000-0000-0000CB3A0000}"/>
    <cellStyle name="Normal 3 16 6 2 4 2" xfId="26978" xr:uid="{00000000-0005-0000-0000-0000CC3A0000}"/>
    <cellStyle name="Normal 3 16 6 2 5" xfId="9400" xr:uid="{00000000-0005-0000-0000-0000CD3A0000}"/>
    <cellStyle name="Normal 3 16 6 2 5 2" xfId="26979" xr:uid="{00000000-0005-0000-0000-0000CE3A0000}"/>
    <cellStyle name="Normal 3 16 6 2 6" xfId="9401" xr:uid="{00000000-0005-0000-0000-0000CF3A0000}"/>
    <cellStyle name="Normal 3 16 6 2 6 2" xfId="26980" xr:uid="{00000000-0005-0000-0000-0000D03A0000}"/>
    <cellStyle name="Normal 3 16 6 2 7" xfId="9402" xr:uid="{00000000-0005-0000-0000-0000D13A0000}"/>
    <cellStyle name="Normal 3 16 6 2 7 2" xfId="26981" xr:uid="{00000000-0005-0000-0000-0000D23A0000}"/>
    <cellStyle name="Normal 3 16 6 2 8" xfId="9403" xr:uid="{00000000-0005-0000-0000-0000D33A0000}"/>
    <cellStyle name="Normal 3 16 6 2 8 2" xfId="26982" xr:uid="{00000000-0005-0000-0000-0000D43A0000}"/>
    <cellStyle name="Normal 3 16 6 2 9" xfId="9404" xr:uid="{00000000-0005-0000-0000-0000D53A0000}"/>
    <cellStyle name="Normal 3 16 6 2 9 2" xfId="26983" xr:uid="{00000000-0005-0000-0000-0000D63A0000}"/>
    <cellStyle name="Normal 3 16 6 3" xfId="9405" xr:uid="{00000000-0005-0000-0000-0000D73A0000}"/>
    <cellStyle name="Normal 3 16 6 3 2" xfId="26984" xr:uid="{00000000-0005-0000-0000-0000D83A0000}"/>
    <cellStyle name="Normal 3 16 6 4" xfId="9406" xr:uid="{00000000-0005-0000-0000-0000D93A0000}"/>
    <cellStyle name="Normal 3 16 6 4 2" xfId="26985" xr:uid="{00000000-0005-0000-0000-0000DA3A0000}"/>
    <cellStyle name="Normal 3 16 6 5" xfId="9407" xr:uid="{00000000-0005-0000-0000-0000DB3A0000}"/>
    <cellStyle name="Normal 3 16 6 5 2" xfId="26986" xr:uid="{00000000-0005-0000-0000-0000DC3A0000}"/>
    <cellStyle name="Normal 3 16 6 6" xfId="9408" xr:uid="{00000000-0005-0000-0000-0000DD3A0000}"/>
    <cellStyle name="Normal 3 16 6 6 2" xfId="26987" xr:uid="{00000000-0005-0000-0000-0000DE3A0000}"/>
    <cellStyle name="Normal 3 16 6 7" xfId="9409" xr:uid="{00000000-0005-0000-0000-0000DF3A0000}"/>
    <cellStyle name="Normal 3 16 6 7 2" xfId="26988" xr:uid="{00000000-0005-0000-0000-0000E03A0000}"/>
    <cellStyle name="Normal 3 16 6 8" xfId="9410" xr:uid="{00000000-0005-0000-0000-0000E13A0000}"/>
    <cellStyle name="Normal 3 16 6 8 2" xfId="26989" xr:uid="{00000000-0005-0000-0000-0000E23A0000}"/>
    <cellStyle name="Normal 3 16 6 9" xfId="9411" xr:uid="{00000000-0005-0000-0000-0000E33A0000}"/>
    <cellStyle name="Normal 3 16 6 9 2" xfId="26990" xr:uid="{00000000-0005-0000-0000-0000E43A0000}"/>
    <cellStyle name="Normal 3 16 7" xfId="9412" xr:uid="{00000000-0005-0000-0000-0000E53A0000}"/>
    <cellStyle name="Normal 3 16 7 10" xfId="9413" xr:uid="{00000000-0005-0000-0000-0000E63A0000}"/>
    <cellStyle name="Normal 3 16 7 10 2" xfId="26992" xr:uid="{00000000-0005-0000-0000-0000E73A0000}"/>
    <cellStyle name="Normal 3 16 7 11" xfId="9414" xr:uid="{00000000-0005-0000-0000-0000E83A0000}"/>
    <cellStyle name="Normal 3 16 7 11 2" xfId="26993" xr:uid="{00000000-0005-0000-0000-0000E93A0000}"/>
    <cellStyle name="Normal 3 16 7 12" xfId="9415" xr:uid="{00000000-0005-0000-0000-0000EA3A0000}"/>
    <cellStyle name="Normal 3 16 7 12 2" xfId="26994" xr:uid="{00000000-0005-0000-0000-0000EB3A0000}"/>
    <cellStyle name="Normal 3 16 7 13" xfId="9416" xr:uid="{00000000-0005-0000-0000-0000EC3A0000}"/>
    <cellStyle name="Normal 3 16 7 13 2" xfId="26995" xr:uid="{00000000-0005-0000-0000-0000ED3A0000}"/>
    <cellStyle name="Normal 3 16 7 14" xfId="9417" xr:uid="{00000000-0005-0000-0000-0000EE3A0000}"/>
    <cellStyle name="Normal 3 16 7 14 2" xfId="26996" xr:uid="{00000000-0005-0000-0000-0000EF3A0000}"/>
    <cellStyle name="Normal 3 16 7 15" xfId="9418" xr:uid="{00000000-0005-0000-0000-0000F03A0000}"/>
    <cellStyle name="Normal 3 16 7 15 2" xfId="26997" xr:uid="{00000000-0005-0000-0000-0000F13A0000}"/>
    <cellStyle name="Normal 3 16 7 16" xfId="26991" xr:uid="{00000000-0005-0000-0000-0000F23A0000}"/>
    <cellStyle name="Normal 3 16 7 2" xfId="9419" xr:uid="{00000000-0005-0000-0000-0000F33A0000}"/>
    <cellStyle name="Normal 3 16 7 2 10" xfId="9420" xr:uid="{00000000-0005-0000-0000-0000F43A0000}"/>
    <cellStyle name="Normal 3 16 7 2 10 2" xfId="26999" xr:uid="{00000000-0005-0000-0000-0000F53A0000}"/>
    <cellStyle name="Normal 3 16 7 2 11" xfId="9421" xr:uid="{00000000-0005-0000-0000-0000F63A0000}"/>
    <cellStyle name="Normal 3 16 7 2 11 2" xfId="27000" xr:uid="{00000000-0005-0000-0000-0000F73A0000}"/>
    <cellStyle name="Normal 3 16 7 2 12" xfId="9422" xr:uid="{00000000-0005-0000-0000-0000F83A0000}"/>
    <cellStyle name="Normal 3 16 7 2 12 2" xfId="27001" xr:uid="{00000000-0005-0000-0000-0000F93A0000}"/>
    <cellStyle name="Normal 3 16 7 2 13" xfId="9423" xr:uid="{00000000-0005-0000-0000-0000FA3A0000}"/>
    <cellStyle name="Normal 3 16 7 2 13 2" xfId="27002" xr:uid="{00000000-0005-0000-0000-0000FB3A0000}"/>
    <cellStyle name="Normal 3 16 7 2 14" xfId="9424" xr:uid="{00000000-0005-0000-0000-0000FC3A0000}"/>
    <cellStyle name="Normal 3 16 7 2 14 2" xfId="27003" xr:uid="{00000000-0005-0000-0000-0000FD3A0000}"/>
    <cellStyle name="Normal 3 16 7 2 15" xfId="26998" xr:uid="{00000000-0005-0000-0000-0000FE3A0000}"/>
    <cellStyle name="Normal 3 16 7 2 2" xfId="9425" xr:uid="{00000000-0005-0000-0000-0000FF3A0000}"/>
    <cellStyle name="Normal 3 16 7 2 2 2" xfId="27004" xr:uid="{00000000-0005-0000-0000-0000003B0000}"/>
    <cellStyle name="Normal 3 16 7 2 3" xfId="9426" xr:uid="{00000000-0005-0000-0000-0000013B0000}"/>
    <cellStyle name="Normal 3 16 7 2 3 2" xfId="27005" xr:uid="{00000000-0005-0000-0000-0000023B0000}"/>
    <cellStyle name="Normal 3 16 7 2 4" xfId="9427" xr:uid="{00000000-0005-0000-0000-0000033B0000}"/>
    <cellStyle name="Normal 3 16 7 2 4 2" xfId="27006" xr:uid="{00000000-0005-0000-0000-0000043B0000}"/>
    <cellStyle name="Normal 3 16 7 2 5" xfId="9428" xr:uid="{00000000-0005-0000-0000-0000053B0000}"/>
    <cellStyle name="Normal 3 16 7 2 5 2" xfId="27007" xr:uid="{00000000-0005-0000-0000-0000063B0000}"/>
    <cellStyle name="Normal 3 16 7 2 6" xfId="9429" xr:uid="{00000000-0005-0000-0000-0000073B0000}"/>
    <cellStyle name="Normal 3 16 7 2 6 2" xfId="27008" xr:uid="{00000000-0005-0000-0000-0000083B0000}"/>
    <cellStyle name="Normal 3 16 7 2 7" xfId="9430" xr:uid="{00000000-0005-0000-0000-0000093B0000}"/>
    <cellStyle name="Normal 3 16 7 2 7 2" xfId="27009" xr:uid="{00000000-0005-0000-0000-00000A3B0000}"/>
    <cellStyle name="Normal 3 16 7 2 8" xfId="9431" xr:uid="{00000000-0005-0000-0000-00000B3B0000}"/>
    <cellStyle name="Normal 3 16 7 2 8 2" xfId="27010" xr:uid="{00000000-0005-0000-0000-00000C3B0000}"/>
    <cellStyle name="Normal 3 16 7 2 9" xfId="9432" xr:uid="{00000000-0005-0000-0000-00000D3B0000}"/>
    <cellStyle name="Normal 3 16 7 2 9 2" xfId="27011" xr:uid="{00000000-0005-0000-0000-00000E3B0000}"/>
    <cellStyle name="Normal 3 16 7 3" xfId="9433" xr:uid="{00000000-0005-0000-0000-00000F3B0000}"/>
    <cellStyle name="Normal 3 16 7 3 2" xfId="27012" xr:uid="{00000000-0005-0000-0000-0000103B0000}"/>
    <cellStyle name="Normal 3 16 7 4" xfId="9434" xr:uid="{00000000-0005-0000-0000-0000113B0000}"/>
    <cellStyle name="Normal 3 16 7 4 2" xfId="27013" xr:uid="{00000000-0005-0000-0000-0000123B0000}"/>
    <cellStyle name="Normal 3 16 7 5" xfId="9435" xr:uid="{00000000-0005-0000-0000-0000133B0000}"/>
    <cellStyle name="Normal 3 16 7 5 2" xfId="27014" xr:uid="{00000000-0005-0000-0000-0000143B0000}"/>
    <cellStyle name="Normal 3 16 7 6" xfId="9436" xr:uid="{00000000-0005-0000-0000-0000153B0000}"/>
    <cellStyle name="Normal 3 16 7 6 2" xfId="27015" xr:uid="{00000000-0005-0000-0000-0000163B0000}"/>
    <cellStyle name="Normal 3 16 7 7" xfId="9437" xr:uid="{00000000-0005-0000-0000-0000173B0000}"/>
    <cellStyle name="Normal 3 16 7 7 2" xfId="27016" xr:uid="{00000000-0005-0000-0000-0000183B0000}"/>
    <cellStyle name="Normal 3 16 7 8" xfId="9438" xr:uid="{00000000-0005-0000-0000-0000193B0000}"/>
    <cellStyle name="Normal 3 16 7 8 2" xfId="27017" xr:uid="{00000000-0005-0000-0000-00001A3B0000}"/>
    <cellStyle name="Normal 3 16 7 9" xfId="9439" xr:uid="{00000000-0005-0000-0000-00001B3B0000}"/>
    <cellStyle name="Normal 3 16 7 9 2" xfId="27018" xr:uid="{00000000-0005-0000-0000-00001C3B0000}"/>
    <cellStyle name="Normal 3 16 8" xfId="9440" xr:uid="{00000000-0005-0000-0000-00001D3B0000}"/>
    <cellStyle name="Normal 3 16 8 10" xfId="9441" xr:uid="{00000000-0005-0000-0000-00001E3B0000}"/>
    <cellStyle name="Normal 3 16 8 10 2" xfId="27020" xr:uid="{00000000-0005-0000-0000-00001F3B0000}"/>
    <cellStyle name="Normal 3 16 8 11" xfId="9442" xr:uid="{00000000-0005-0000-0000-0000203B0000}"/>
    <cellStyle name="Normal 3 16 8 11 2" xfId="27021" xr:uid="{00000000-0005-0000-0000-0000213B0000}"/>
    <cellStyle name="Normal 3 16 8 12" xfId="9443" xr:uid="{00000000-0005-0000-0000-0000223B0000}"/>
    <cellStyle name="Normal 3 16 8 12 2" xfId="27022" xr:uid="{00000000-0005-0000-0000-0000233B0000}"/>
    <cellStyle name="Normal 3 16 8 13" xfId="9444" xr:uid="{00000000-0005-0000-0000-0000243B0000}"/>
    <cellStyle name="Normal 3 16 8 13 2" xfId="27023" xr:uid="{00000000-0005-0000-0000-0000253B0000}"/>
    <cellStyle name="Normal 3 16 8 14" xfId="9445" xr:uid="{00000000-0005-0000-0000-0000263B0000}"/>
    <cellStyle name="Normal 3 16 8 14 2" xfId="27024" xr:uid="{00000000-0005-0000-0000-0000273B0000}"/>
    <cellStyle name="Normal 3 16 8 15" xfId="9446" xr:uid="{00000000-0005-0000-0000-0000283B0000}"/>
    <cellStyle name="Normal 3 16 8 15 2" xfId="27025" xr:uid="{00000000-0005-0000-0000-0000293B0000}"/>
    <cellStyle name="Normal 3 16 8 16" xfId="27019" xr:uid="{00000000-0005-0000-0000-00002A3B0000}"/>
    <cellStyle name="Normal 3 16 8 2" xfId="9447" xr:uid="{00000000-0005-0000-0000-00002B3B0000}"/>
    <cellStyle name="Normal 3 16 8 2 10" xfId="9448" xr:uid="{00000000-0005-0000-0000-00002C3B0000}"/>
    <cellStyle name="Normal 3 16 8 2 10 2" xfId="27027" xr:uid="{00000000-0005-0000-0000-00002D3B0000}"/>
    <cellStyle name="Normal 3 16 8 2 11" xfId="9449" xr:uid="{00000000-0005-0000-0000-00002E3B0000}"/>
    <cellStyle name="Normal 3 16 8 2 11 2" xfId="27028" xr:uid="{00000000-0005-0000-0000-00002F3B0000}"/>
    <cellStyle name="Normal 3 16 8 2 12" xfId="9450" xr:uid="{00000000-0005-0000-0000-0000303B0000}"/>
    <cellStyle name="Normal 3 16 8 2 12 2" xfId="27029" xr:uid="{00000000-0005-0000-0000-0000313B0000}"/>
    <cellStyle name="Normal 3 16 8 2 13" xfId="9451" xr:uid="{00000000-0005-0000-0000-0000323B0000}"/>
    <cellStyle name="Normal 3 16 8 2 13 2" xfId="27030" xr:uid="{00000000-0005-0000-0000-0000333B0000}"/>
    <cellStyle name="Normal 3 16 8 2 14" xfId="9452" xr:uid="{00000000-0005-0000-0000-0000343B0000}"/>
    <cellStyle name="Normal 3 16 8 2 14 2" xfId="27031" xr:uid="{00000000-0005-0000-0000-0000353B0000}"/>
    <cellStyle name="Normal 3 16 8 2 15" xfId="27026" xr:uid="{00000000-0005-0000-0000-0000363B0000}"/>
    <cellStyle name="Normal 3 16 8 2 2" xfId="9453" xr:uid="{00000000-0005-0000-0000-0000373B0000}"/>
    <cellStyle name="Normal 3 16 8 2 2 2" xfId="27032" xr:uid="{00000000-0005-0000-0000-0000383B0000}"/>
    <cellStyle name="Normal 3 16 8 2 3" xfId="9454" xr:uid="{00000000-0005-0000-0000-0000393B0000}"/>
    <cellStyle name="Normal 3 16 8 2 3 2" xfId="27033" xr:uid="{00000000-0005-0000-0000-00003A3B0000}"/>
    <cellStyle name="Normal 3 16 8 2 4" xfId="9455" xr:uid="{00000000-0005-0000-0000-00003B3B0000}"/>
    <cellStyle name="Normal 3 16 8 2 4 2" xfId="27034" xr:uid="{00000000-0005-0000-0000-00003C3B0000}"/>
    <cellStyle name="Normal 3 16 8 2 5" xfId="9456" xr:uid="{00000000-0005-0000-0000-00003D3B0000}"/>
    <cellStyle name="Normal 3 16 8 2 5 2" xfId="27035" xr:uid="{00000000-0005-0000-0000-00003E3B0000}"/>
    <cellStyle name="Normal 3 16 8 2 6" xfId="9457" xr:uid="{00000000-0005-0000-0000-00003F3B0000}"/>
    <cellStyle name="Normal 3 16 8 2 6 2" xfId="27036" xr:uid="{00000000-0005-0000-0000-0000403B0000}"/>
    <cellStyle name="Normal 3 16 8 2 7" xfId="9458" xr:uid="{00000000-0005-0000-0000-0000413B0000}"/>
    <cellStyle name="Normal 3 16 8 2 7 2" xfId="27037" xr:uid="{00000000-0005-0000-0000-0000423B0000}"/>
    <cellStyle name="Normal 3 16 8 2 8" xfId="9459" xr:uid="{00000000-0005-0000-0000-0000433B0000}"/>
    <cellStyle name="Normal 3 16 8 2 8 2" xfId="27038" xr:uid="{00000000-0005-0000-0000-0000443B0000}"/>
    <cellStyle name="Normal 3 16 8 2 9" xfId="9460" xr:uid="{00000000-0005-0000-0000-0000453B0000}"/>
    <cellStyle name="Normal 3 16 8 2 9 2" xfId="27039" xr:uid="{00000000-0005-0000-0000-0000463B0000}"/>
    <cellStyle name="Normal 3 16 8 3" xfId="9461" xr:uid="{00000000-0005-0000-0000-0000473B0000}"/>
    <cellStyle name="Normal 3 16 8 3 2" xfId="27040" xr:uid="{00000000-0005-0000-0000-0000483B0000}"/>
    <cellStyle name="Normal 3 16 8 4" xfId="9462" xr:uid="{00000000-0005-0000-0000-0000493B0000}"/>
    <cellStyle name="Normal 3 16 8 4 2" xfId="27041" xr:uid="{00000000-0005-0000-0000-00004A3B0000}"/>
    <cellStyle name="Normal 3 16 8 5" xfId="9463" xr:uid="{00000000-0005-0000-0000-00004B3B0000}"/>
    <cellStyle name="Normal 3 16 8 5 2" xfId="27042" xr:uid="{00000000-0005-0000-0000-00004C3B0000}"/>
    <cellStyle name="Normal 3 16 8 6" xfId="9464" xr:uid="{00000000-0005-0000-0000-00004D3B0000}"/>
    <cellStyle name="Normal 3 16 8 6 2" xfId="27043" xr:uid="{00000000-0005-0000-0000-00004E3B0000}"/>
    <cellStyle name="Normal 3 16 8 7" xfId="9465" xr:uid="{00000000-0005-0000-0000-00004F3B0000}"/>
    <cellStyle name="Normal 3 16 8 7 2" xfId="27044" xr:uid="{00000000-0005-0000-0000-0000503B0000}"/>
    <cellStyle name="Normal 3 16 8 8" xfId="9466" xr:uid="{00000000-0005-0000-0000-0000513B0000}"/>
    <cellStyle name="Normal 3 16 8 8 2" xfId="27045" xr:uid="{00000000-0005-0000-0000-0000523B0000}"/>
    <cellStyle name="Normal 3 16 8 9" xfId="9467" xr:uid="{00000000-0005-0000-0000-0000533B0000}"/>
    <cellStyle name="Normal 3 16 8 9 2" xfId="27046" xr:uid="{00000000-0005-0000-0000-0000543B0000}"/>
    <cellStyle name="Normal 3 16 9" xfId="9468" xr:uid="{00000000-0005-0000-0000-0000553B0000}"/>
    <cellStyle name="Normal 3 16 9 10" xfId="9469" xr:uid="{00000000-0005-0000-0000-0000563B0000}"/>
    <cellStyle name="Normal 3 16 9 10 2" xfId="27048" xr:uid="{00000000-0005-0000-0000-0000573B0000}"/>
    <cellStyle name="Normal 3 16 9 11" xfId="9470" xr:uid="{00000000-0005-0000-0000-0000583B0000}"/>
    <cellStyle name="Normal 3 16 9 11 2" xfId="27049" xr:uid="{00000000-0005-0000-0000-0000593B0000}"/>
    <cellStyle name="Normal 3 16 9 12" xfId="9471" xr:uid="{00000000-0005-0000-0000-00005A3B0000}"/>
    <cellStyle name="Normal 3 16 9 12 2" xfId="27050" xr:uid="{00000000-0005-0000-0000-00005B3B0000}"/>
    <cellStyle name="Normal 3 16 9 13" xfId="9472" xr:uid="{00000000-0005-0000-0000-00005C3B0000}"/>
    <cellStyle name="Normal 3 16 9 13 2" xfId="27051" xr:uid="{00000000-0005-0000-0000-00005D3B0000}"/>
    <cellStyle name="Normal 3 16 9 14" xfId="9473" xr:uid="{00000000-0005-0000-0000-00005E3B0000}"/>
    <cellStyle name="Normal 3 16 9 14 2" xfId="27052" xr:uid="{00000000-0005-0000-0000-00005F3B0000}"/>
    <cellStyle name="Normal 3 16 9 15" xfId="27047" xr:uid="{00000000-0005-0000-0000-0000603B0000}"/>
    <cellStyle name="Normal 3 16 9 2" xfId="9474" xr:uid="{00000000-0005-0000-0000-0000613B0000}"/>
    <cellStyle name="Normal 3 16 9 2 2" xfId="27053" xr:uid="{00000000-0005-0000-0000-0000623B0000}"/>
    <cellStyle name="Normal 3 16 9 3" xfId="9475" xr:uid="{00000000-0005-0000-0000-0000633B0000}"/>
    <cellStyle name="Normal 3 16 9 3 2" xfId="27054" xr:uid="{00000000-0005-0000-0000-0000643B0000}"/>
    <cellStyle name="Normal 3 16 9 4" xfId="9476" xr:uid="{00000000-0005-0000-0000-0000653B0000}"/>
    <cellStyle name="Normal 3 16 9 4 2" xfId="27055" xr:uid="{00000000-0005-0000-0000-0000663B0000}"/>
    <cellStyle name="Normal 3 16 9 5" xfId="9477" xr:uid="{00000000-0005-0000-0000-0000673B0000}"/>
    <cellStyle name="Normal 3 16 9 5 2" xfId="27056" xr:uid="{00000000-0005-0000-0000-0000683B0000}"/>
    <cellStyle name="Normal 3 16 9 6" xfId="9478" xr:uid="{00000000-0005-0000-0000-0000693B0000}"/>
    <cellStyle name="Normal 3 16 9 6 2" xfId="27057" xr:uid="{00000000-0005-0000-0000-00006A3B0000}"/>
    <cellStyle name="Normal 3 16 9 7" xfId="9479" xr:uid="{00000000-0005-0000-0000-00006B3B0000}"/>
    <cellStyle name="Normal 3 16 9 7 2" xfId="27058" xr:uid="{00000000-0005-0000-0000-00006C3B0000}"/>
    <cellStyle name="Normal 3 16 9 8" xfId="9480" xr:uid="{00000000-0005-0000-0000-00006D3B0000}"/>
    <cellStyle name="Normal 3 16 9 8 2" xfId="27059" xr:uid="{00000000-0005-0000-0000-00006E3B0000}"/>
    <cellStyle name="Normal 3 16 9 9" xfId="9481" xr:uid="{00000000-0005-0000-0000-00006F3B0000}"/>
    <cellStyle name="Normal 3 16 9 9 2" xfId="27060" xr:uid="{00000000-0005-0000-0000-0000703B0000}"/>
    <cellStyle name="Normal 3 17" xfId="9482" xr:uid="{00000000-0005-0000-0000-0000713B0000}"/>
    <cellStyle name="Normal 3 17 10" xfId="9483" xr:uid="{00000000-0005-0000-0000-0000723B0000}"/>
    <cellStyle name="Normal 3 17 10 10" xfId="9484" xr:uid="{00000000-0005-0000-0000-0000733B0000}"/>
    <cellStyle name="Normal 3 17 10 10 2" xfId="27062" xr:uid="{00000000-0005-0000-0000-0000743B0000}"/>
    <cellStyle name="Normal 3 17 10 11" xfId="9485" xr:uid="{00000000-0005-0000-0000-0000753B0000}"/>
    <cellStyle name="Normal 3 17 10 11 2" xfId="27063" xr:uid="{00000000-0005-0000-0000-0000763B0000}"/>
    <cellStyle name="Normal 3 17 10 12" xfId="9486" xr:uid="{00000000-0005-0000-0000-0000773B0000}"/>
    <cellStyle name="Normal 3 17 10 12 2" xfId="27064" xr:uid="{00000000-0005-0000-0000-0000783B0000}"/>
    <cellStyle name="Normal 3 17 10 13" xfId="9487" xr:uid="{00000000-0005-0000-0000-0000793B0000}"/>
    <cellStyle name="Normal 3 17 10 13 2" xfId="27065" xr:uid="{00000000-0005-0000-0000-00007A3B0000}"/>
    <cellStyle name="Normal 3 17 10 14" xfId="9488" xr:uid="{00000000-0005-0000-0000-00007B3B0000}"/>
    <cellStyle name="Normal 3 17 10 14 2" xfId="27066" xr:uid="{00000000-0005-0000-0000-00007C3B0000}"/>
    <cellStyle name="Normal 3 17 10 15" xfId="27061" xr:uid="{00000000-0005-0000-0000-00007D3B0000}"/>
    <cellStyle name="Normal 3 17 10 2" xfId="9489" xr:uid="{00000000-0005-0000-0000-00007E3B0000}"/>
    <cellStyle name="Normal 3 17 10 2 2" xfId="27067" xr:uid="{00000000-0005-0000-0000-00007F3B0000}"/>
    <cellStyle name="Normal 3 17 10 3" xfId="9490" xr:uid="{00000000-0005-0000-0000-0000803B0000}"/>
    <cellStyle name="Normal 3 17 10 3 2" xfId="27068" xr:uid="{00000000-0005-0000-0000-0000813B0000}"/>
    <cellStyle name="Normal 3 17 10 4" xfId="9491" xr:uid="{00000000-0005-0000-0000-0000823B0000}"/>
    <cellStyle name="Normal 3 17 10 4 2" xfId="27069" xr:uid="{00000000-0005-0000-0000-0000833B0000}"/>
    <cellStyle name="Normal 3 17 10 5" xfId="9492" xr:uid="{00000000-0005-0000-0000-0000843B0000}"/>
    <cellStyle name="Normal 3 17 10 5 2" xfId="27070" xr:uid="{00000000-0005-0000-0000-0000853B0000}"/>
    <cellStyle name="Normal 3 17 10 6" xfId="9493" xr:uid="{00000000-0005-0000-0000-0000863B0000}"/>
    <cellStyle name="Normal 3 17 10 6 2" xfId="27071" xr:uid="{00000000-0005-0000-0000-0000873B0000}"/>
    <cellStyle name="Normal 3 17 10 7" xfId="9494" xr:uid="{00000000-0005-0000-0000-0000883B0000}"/>
    <cellStyle name="Normal 3 17 10 7 2" xfId="27072" xr:uid="{00000000-0005-0000-0000-0000893B0000}"/>
    <cellStyle name="Normal 3 17 10 8" xfId="9495" xr:uid="{00000000-0005-0000-0000-00008A3B0000}"/>
    <cellStyle name="Normal 3 17 10 8 2" xfId="27073" xr:uid="{00000000-0005-0000-0000-00008B3B0000}"/>
    <cellStyle name="Normal 3 17 10 9" xfId="9496" xr:uid="{00000000-0005-0000-0000-00008C3B0000}"/>
    <cellStyle name="Normal 3 17 10 9 2" xfId="27074" xr:uid="{00000000-0005-0000-0000-00008D3B0000}"/>
    <cellStyle name="Normal 3 17 11" xfId="9497" xr:uid="{00000000-0005-0000-0000-00008E3B0000}"/>
    <cellStyle name="Normal 3 17 11 10" xfId="9498" xr:uid="{00000000-0005-0000-0000-00008F3B0000}"/>
    <cellStyle name="Normal 3 17 11 10 2" xfId="27076" xr:uid="{00000000-0005-0000-0000-0000903B0000}"/>
    <cellStyle name="Normal 3 17 11 11" xfId="9499" xr:uid="{00000000-0005-0000-0000-0000913B0000}"/>
    <cellStyle name="Normal 3 17 11 11 2" xfId="27077" xr:uid="{00000000-0005-0000-0000-0000923B0000}"/>
    <cellStyle name="Normal 3 17 11 12" xfId="9500" xr:uid="{00000000-0005-0000-0000-0000933B0000}"/>
    <cellStyle name="Normal 3 17 11 12 2" xfId="27078" xr:uid="{00000000-0005-0000-0000-0000943B0000}"/>
    <cellStyle name="Normal 3 17 11 13" xfId="9501" xr:uid="{00000000-0005-0000-0000-0000953B0000}"/>
    <cellStyle name="Normal 3 17 11 13 2" xfId="27079" xr:uid="{00000000-0005-0000-0000-0000963B0000}"/>
    <cellStyle name="Normal 3 17 11 14" xfId="9502" xr:uid="{00000000-0005-0000-0000-0000973B0000}"/>
    <cellStyle name="Normal 3 17 11 14 2" xfId="27080" xr:uid="{00000000-0005-0000-0000-0000983B0000}"/>
    <cellStyle name="Normal 3 17 11 15" xfId="27075" xr:uid="{00000000-0005-0000-0000-0000993B0000}"/>
    <cellStyle name="Normal 3 17 11 2" xfId="9503" xr:uid="{00000000-0005-0000-0000-00009A3B0000}"/>
    <cellStyle name="Normal 3 17 11 2 2" xfId="27081" xr:uid="{00000000-0005-0000-0000-00009B3B0000}"/>
    <cellStyle name="Normal 3 17 11 3" xfId="9504" xr:uid="{00000000-0005-0000-0000-00009C3B0000}"/>
    <cellStyle name="Normal 3 17 11 3 2" xfId="27082" xr:uid="{00000000-0005-0000-0000-00009D3B0000}"/>
    <cellStyle name="Normal 3 17 11 4" xfId="9505" xr:uid="{00000000-0005-0000-0000-00009E3B0000}"/>
    <cellStyle name="Normal 3 17 11 4 2" xfId="27083" xr:uid="{00000000-0005-0000-0000-00009F3B0000}"/>
    <cellStyle name="Normal 3 17 11 5" xfId="9506" xr:uid="{00000000-0005-0000-0000-0000A03B0000}"/>
    <cellStyle name="Normal 3 17 11 5 2" xfId="27084" xr:uid="{00000000-0005-0000-0000-0000A13B0000}"/>
    <cellStyle name="Normal 3 17 11 6" xfId="9507" xr:uid="{00000000-0005-0000-0000-0000A23B0000}"/>
    <cellStyle name="Normal 3 17 11 6 2" xfId="27085" xr:uid="{00000000-0005-0000-0000-0000A33B0000}"/>
    <cellStyle name="Normal 3 17 11 7" xfId="9508" xr:uid="{00000000-0005-0000-0000-0000A43B0000}"/>
    <cellStyle name="Normal 3 17 11 7 2" xfId="27086" xr:uid="{00000000-0005-0000-0000-0000A53B0000}"/>
    <cellStyle name="Normal 3 17 11 8" xfId="9509" xr:uid="{00000000-0005-0000-0000-0000A63B0000}"/>
    <cellStyle name="Normal 3 17 11 8 2" xfId="27087" xr:uid="{00000000-0005-0000-0000-0000A73B0000}"/>
    <cellStyle name="Normal 3 17 11 9" xfId="9510" xr:uid="{00000000-0005-0000-0000-0000A83B0000}"/>
    <cellStyle name="Normal 3 17 11 9 2" xfId="27088" xr:uid="{00000000-0005-0000-0000-0000A93B0000}"/>
    <cellStyle name="Normal 3 17 12" xfId="9511" xr:uid="{00000000-0005-0000-0000-0000AA3B0000}"/>
    <cellStyle name="Normal 3 17 12 10" xfId="9512" xr:uid="{00000000-0005-0000-0000-0000AB3B0000}"/>
    <cellStyle name="Normal 3 17 12 10 2" xfId="27090" xr:uid="{00000000-0005-0000-0000-0000AC3B0000}"/>
    <cellStyle name="Normal 3 17 12 11" xfId="9513" xr:uid="{00000000-0005-0000-0000-0000AD3B0000}"/>
    <cellStyle name="Normal 3 17 12 11 2" xfId="27091" xr:uid="{00000000-0005-0000-0000-0000AE3B0000}"/>
    <cellStyle name="Normal 3 17 12 12" xfId="9514" xr:uid="{00000000-0005-0000-0000-0000AF3B0000}"/>
    <cellStyle name="Normal 3 17 12 12 2" xfId="27092" xr:uid="{00000000-0005-0000-0000-0000B03B0000}"/>
    <cellStyle name="Normal 3 17 12 13" xfId="9515" xr:uid="{00000000-0005-0000-0000-0000B13B0000}"/>
    <cellStyle name="Normal 3 17 12 13 2" xfId="27093" xr:uid="{00000000-0005-0000-0000-0000B23B0000}"/>
    <cellStyle name="Normal 3 17 12 14" xfId="9516" xr:uid="{00000000-0005-0000-0000-0000B33B0000}"/>
    <cellStyle name="Normal 3 17 12 14 2" xfId="27094" xr:uid="{00000000-0005-0000-0000-0000B43B0000}"/>
    <cellStyle name="Normal 3 17 12 15" xfId="27089" xr:uid="{00000000-0005-0000-0000-0000B53B0000}"/>
    <cellStyle name="Normal 3 17 12 2" xfId="9517" xr:uid="{00000000-0005-0000-0000-0000B63B0000}"/>
    <cellStyle name="Normal 3 17 12 2 2" xfId="27095" xr:uid="{00000000-0005-0000-0000-0000B73B0000}"/>
    <cellStyle name="Normal 3 17 12 3" xfId="9518" xr:uid="{00000000-0005-0000-0000-0000B83B0000}"/>
    <cellStyle name="Normal 3 17 12 3 2" xfId="27096" xr:uid="{00000000-0005-0000-0000-0000B93B0000}"/>
    <cellStyle name="Normal 3 17 12 4" xfId="9519" xr:uid="{00000000-0005-0000-0000-0000BA3B0000}"/>
    <cellStyle name="Normal 3 17 12 4 2" xfId="27097" xr:uid="{00000000-0005-0000-0000-0000BB3B0000}"/>
    <cellStyle name="Normal 3 17 12 5" xfId="9520" xr:uid="{00000000-0005-0000-0000-0000BC3B0000}"/>
    <cellStyle name="Normal 3 17 12 5 2" xfId="27098" xr:uid="{00000000-0005-0000-0000-0000BD3B0000}"/>
    <cellStyle name="Normal 3 17 12 6" xfId="9521" xr:uid="{00000000-0005-0000-0000-0000BE3B0000}"/>
    <cellStyle name="Normal 3 17 12 6 2" xfId="27099" xr:uid="{00000000-0005-0000-0000-0000BF3B0000}"/>
    <cellStyle name="Normal 3 17 12 7" xfId="9522" xr:uid="{00000000-0005-0000-0000-0000C03B0000}"/>
    <cellStyle name="Normal 3 17 12 7 2" xfId="27100" xr:uid="{00000000-0005-0000-0000-0000C13B0000}"/>
    <cellStyle name="Normal 3 17 12 8" xfId="9523" xr:uid="{00000000-0005-0000-0000-0000C23B0000}"/>
    <cellStyle name="Normal 3 17 12 8 2" xfId="27101" xr:uid="{00000000-0005-0000-0000-0000C33B0000}"/>
    <cellStyle name="Normal 3 17 12 9" xfId="9524" xr:uid="{00000000-0005-0000-0000-0000C43B0000}"/>
    <cellStyle name="Normal 3 17 12 9 2" xfId="27102" xr:uid="{00000000-0005-0000-0000-0000C53B0000}"/>
    <cellStyle name="Normal 3 17 13" xfId="9525" xr:uid="{00000000-0005-0000-0000-0000C63B0000}"/>
    <cellStyle name="Normal 3 17 13 10" xfId="9526" xr:uid="{00000000-0005-0000-0000-0000C73B0000}"/>
    <cellStyle name="Normal 3 17 13 10 2" xfId="27104" xr:uid="{00000000-0005-0000-0000-0000C83B0000}"/>
    <cellStyle name="Normal 3 17 13 11" xfId="9527" xr:uid="{00000000-0005-0000-0000-0000C93B0000}"/>
    <cellStyle name="Normal 3 17 13 11 2" xfId="27105" xr:uid="{00000000-0005-0000-0000-0000CA3B0000}"/>
    <cellStyle name="Normal 3 17 13 12" xfId="9528" xr:uid="{00000000-0005-0000-0000-0000CB3B0000}"/>
    <cellStyle name="Normal 3 17 13 12 2" xfId="27106" xr:uid="{00000000-0005-0000-0000-0000CC3B0000}"/>
    <cellStyle name="Normal 3 17 13 13" xfId="9529" xr:uid="{00000000-0005-0000-0000-0000CD3B0000}"/>
    <cellStyle name="Normal 3 17 13 13 2" xfId="27107" xr:uid="{00000000-0005-0000-0000-0000CE3B0000}"/>
    <cellStyle name="Normal 3 17 13 14" xfId="9530" xr:uid="{00000000-0005-0000-0000-0000CF3B0000}"/>
    <cellStyle name="Normal 3 17 13 14 2" xfId="27108" xr:uid="{00000000-0005-0000-0000-0000D03B0000}"/>
    <cellStyle name="Normal 3 17 13 15" xfId="27103" xr:uid="{00000000-0005-0000-0000-0000D13B0000}"/>
    <cellStyle name="Normal 3 17 13 2" xfId="9531" xr:uid="{00000000-0005-0000-0000-0000D23B0000}"/>
    <cellStyle name="Normal 3 17 13 2 2" xfId="27109" xr:uid="{00000000-0005-0000-0000-0000D33B0000}"/>
    <cellStyle name="Normal 3 17 13 3" xfId="9532" xr:uid="{00000000-0005-0000-0000-0000D43B0000}"/>
    <cellStyle name="Normal 3 17 13 3 2" xfId="27110" xr:uid="{00000000-0005-0000-0000-0000D53B0000}"/>
    <cellStyle name="Normal 3 17 13 4" xfId="9533" xr:uid="{00000000-0005-0000-0000-0000D63B0000}"/>
    <cellStyle name="Normal 3 17 13 4 2" xfId="27111" xr:uid="{00000000-0005-0000-0000-0000D73B0000}"/>
    <cellStyle name="Normal 3 17 13 5" xfId="9534" xr:uid="{00000000-0005-0000-0000-0000D83B0000}"/>
    <cellStyle name="Normal 3 17 13 5 2" xfId="27112" xr:uid="{00000000-0005-0000-0000-0000D93B0000}"/>
    <cellStyle name="Normal 3 17 13 6" xfId="9535" xr:uid="{00000000-0005-0000-0000-0000DA3B0000}"/>
    <cellStyle name="Normal 3 17 13 6 2" xfId="27113" xr:uid="{00000000-0005-0000-0000-0000DB3B0000}"/>
    <cellStyle name="Normal 3 17 13 7" xfId="9536" xr:uid="{00000000-0005-0000-0000-0000DC3B0000}"/>
    <cellStyle name="Normal 3 17 13 7 2" xfId="27114" xr:uid="{00000000-0005-0000-0000-0000DD3B0000}"/>
    <cellStyle name="Normal 3 17 13 8" xfId="9537" xr:uid="{00000000-0005-0000-0000-0000DE3B0000}"/>
    <cellStyle name="Normal 3 17 13 8 2" xfId="27115" xr:uid="{00000000-0005-0000-0000-0000DF3B0000}"/>
    <cellStyle name="Normal 3 17 13 9" xfId="9538" xr:uid="{00000000-0005-0000-0000-0000E03B0000}"/>
    <cellStyle name="Normal 3 17 13 9 2" xfId="27116" xr:uid="{00000000-0005-0000-0000-0000E13B0000}"/>
    <cellStyle name="Normal 3 17 14" xfId="9539" xr:uid="{00000000-0005-0000-0000-0000E23B0000}"/>
    <cellStyle name="Normal 3 17 14 10" xfId="9540" xr:uid="{00000000-0005-0000-0000-0000E33B0000}"/>
    <cellStyle name="Normal 3 17 14 10 2" xfId="27118" xr:uid="{00000000-0005-0000-0000-0000E43B0000}"/>
    <cellStyle name="Normal 3 17 14 11" xfId="9541" xr:uid="{00000000-0005-0000-0000-0000E53B0000}"/>
    <cellStyle name="Normal 3 17 14 11 2" xfId="27119" xr:uid="{00000000-0005-0000-0000-0000E63B0000}"/>
    <cellStyle name="Normal 3 17 14 12" xfId="9542" xr:uid="{00000000-0005-0000-0000-0000E73B0000}"/>
    <cellStyle name="Normal 3 17 14 12 2" xfId="27120" xr:uid="{00000000-0005-0000-0000-0000E83B0000}"/>
    <cellStyle name="Normal 3 17 14 13" xfId="9543" xr:uid="{00000000-0005-0000-0000-0000E93B0000}"/>
    <cellStyle name="Normal 3 17 14 13 2" xfId="27121" xr:uid="{00000000-0005-0000-0000-0000EA3B0000}"/>
    <cellStyle name="Normal 3 17 14 14" xfId="9544" xr:uid="{00000000-0005-0000-0000-0000EB3B0000}"/>
    <cellStyle name="Normal 3 17 14 14 2" xfId="27122" xr:uid="{00000000-0005-0000-0000-0000EC3B0000}"/>
    <cellStyle name="Normal 3 17 14 15" xfId="27117" xr:uid="{00000000-0005-0000-0000-0000ED3B0000}"/>
    <cellStyle name="Normal 3 17 14 2" xfId="9545" xr:uid="{00000000-0005-0000-0000-0000EE3B0000}"/>
    <cellStyle name="Normal 3 17 14 2 2" xfId="27123" xr:uid="{00000000-0005-0000-0000-0000EF3B0000}"/>
    <cellStyle name="Normal 3 17 14 3" xfId="9546" xr:uid="{00000000-0005-0000-0000-0000F03B0000}"/>
    <cellStyle name="Normal 3 17 14 3 2" xfId="27124" xr:uid="{00000000-0005-0000-0000-0000F13B0000}"/>
    <cellStyle name="Normal 3 17 14 4" xfId="9547" xr:uid="{00000000-0005-0000-0000-0000F23B0000}"/>
    <cellStyle name="Normal 3 17 14 4 2" xfId="27125" xr:uid="{00000000-0005-0000-0000-0000F33B0000}"/>
    <cellStyle name="Normal 3 17 14 5" xfId="9548" xr:uid="{00000000-0005-0000-0000-0000F43B0000}"/>
    <cellStyle name="Normal 3 17 14 5 2" xfId="27126" xr:uid="{00000000-0005-0000-0000-0000F53B0000}"/>
    <cellStyle name="Normal 3 17 14 6" xfId="9549" xr:uid="{00000000-0005-0000-0000-0000F63B0000}"/>
    <cellStyle name="Normal 3 17 14 6 2" xfId="27127" xr:uid="{00000000-0005-0000-0000-0000F73B0000}"/>
    <cellStyle name="Normal 3 17 14 7" xfId="9550" xr:uid="{00000000-0005-0000-0000-0000F83B0000}"/>
    <cellStyle name="Normal 3 17 14 7 2" xfId="27128" xr:uid="{00000000-0005-0000-0000-0000F93B0000}"/>
    <cellStyle name="Normal 3 17 14 8" xfId="9551" xr:uid="{00000000-0005-0000-0000-0000FA3B0000}"/>
    <cellStyle name="Normal 3 17 14 8 2" xfId="27129" xr:uid="{00000000-0005-0000-0000-0000FB3B0000}"/>
    <cellStyle name="Normal 3 17 14 9" xfId="9552" xr:uid="{00000000-0005-0000-0000-0000FC3B0000}"/>
    <cellStyle name="Normal 3 17 14 9 2" xfId="27130" xr:uid="{00000000-0005-0000-0000-0000FD3B0000}"/>
    <cellStyle name="Normal 3 17 15" xfId="9553" xr:uid="{00000000-0005-0000-0000-0000FE3B0000}"/>
    <cellStyle name="Normal 3 17 16" xfId="9554" xr:uid="{00000000-0005-0000-0000-0000FF3B0000}"/>
    <cellStyle name="Normal 3 17 17" xfId="9555" xr:uid="{00000000-0005-0000-0000-0000003C0000}"/>
    <cellStyle name="Normal 3 17 17 10" xfId="9556" xr:uid="{00000000-0005-0000-0000-0000013C0000}"/>
    <cellStyle name="Normal 3 17 17 10 2" xfId="27132" xr:uid="{00000000-0005-0000-0000-0000023C0000}"/>
    <cellStyle name="Normal 3 17 17 11" xfId="9557" xr:uid="{00000000-0005-0000-0000-0000033C0000}"/>
    <cellStyle name="Normal 3 17 17 11 2" xfId="27133" xr:uid="{00000000-0005-0000-0000-0000043C0000}"/>
    <cellStyle name="Normal 3 17 17 12" xfId="9558" xr:uid="{00000000-0005-0000-0000-0000053C0000}"/>
    <cellStyle name="Normal 3 17 17 12 2" xfId="27134" xr:uid="{00000000-0005-0000-0000-0000063C0000}"/>
    <cellStyle name="Normal 3 17 17 13" xfId="9559" xr:uid="{00000000-0005-0000-0000-0000073C0000}"/>
    <cellStyle name="Normal 3 17 17 13 2" xfId="27135" xr:uid="{00000000-0005-0000-0000-0000083C0000}"/>
    <cellStyle name="Normal 3 17 17 14" xfId="9560" xr:uid="{00000000-0005-0000-0000-0000093C0000}"/>
    <cellStyle name="Normal 3 17 17 14 2" xfId="27136" xr:uid="{00000000-0005-0000-0000-00000A3C0000}"/>
    <cellStyle name="Normal 3 17 17 15" xfId="27131" xr:uid="{00000000-0005-0000-0000-00000B3C0000}"/>
    <cellStyle name="Normal 3 17 17 2" xfId="9561" xr:uid="{00000000-0005-0000-0000-00000C3C0000}"/>
    <cellStyle name="Normal 3 17 17 2 2" xfId="27137" xr:uid="{00000000-0005-0000-0000-00000D3C0000}"/>
    <cellStyle name="Normal 3 17 17 3" xfId="9562" xr:uid="{00000000-0005-0000-0000-00000E3C0000}"/>
    <cellStyle name="Normal 3 17 17 3 2" xfId="27138" xr:uid="{00000000-0005-0000-0000-00000F3C0000}"/>
    <cellStyle name="Normal 3 17 17 4" xfId="9563" xr:uid="{00000000-0005-0000-0000-0000103C0000}"/>
    <cellStyle name="Normal 3 17 17 4 2" xfId="27139" xr:uid="{00000000-0005-0000-0000-0000113C0000}"/>
    <cellStyle name="Normal 3 17 17 5" xfId="9564" xr:uid="{00000000-0005-0000-0000-0000123C0000}"/>
    <cellStyle name="Normal 3 17 17 5 2" xfId="27140" xr:uid="{00000000-0005-0000-0000-0000133C0000}"/>
    <cellStyle name="Normal 3 17 17 6" xfId="9565" xr:uid="{00000000-0005-0000-0000-0000143C0000}"/>
    <cellStyle name="Normal 3 17 17 6 2" xfId="27141" xr:uid="{00000000-0005-0000-0000-0000153C0000}"/>
    <cellStyle name="Normal 3 17 17 7" xfId="9566" xr:uid="{00000000-0005-0000-0000-0000163C0000}"/>
    <cellStyle name="Normal 3 17 17 7 2" xfId="27142" xr:uid="{00000000-0005-0000-0000-0000173C0000}"/>
    <cellStyle name="Normal 3 17 17 8" xfId="9567" xr:uid="{00000000-0005-0000-0000-0000183C0000}"/>
    <cellStyle name="Normal 3 17 17 8 2" xfId="27143" xr:uid="{00000000-0005-0000-0000-0000193C0000}"/>
    <cellStyle name="Normal 3 17 17 9" xfId="9568" xr:uid="{00000000-0005-0000-0000-00001A3C0000}"/>
    <cellStyle name="Normal 3 17 17 9 2" xfId="27144" xr:uid="{00000000-0005-0000-0000-00001B3C0000}"/>
    <cellStyle name="Normal 3 17 18" xfId="9569" xr:uid="{00000000-0005-0000-0000-00001C3C0000}"/>
    <cellStyle name="Normal 3 17 18 10" xfId="9570" xr:uid="{00000000-0005-0000-0000-00001D3C0000}"/>
    <cellStyle name="Normal 3 17 18 10 2" xfId="27146" xr:uid="{00000000-0005-0000-0000-00001E3C0000}"/>
    <cellStyle name="Normal 3 17 18 11" xfId="9571" xr:uid="{00000000-0005-0000-0000-00001F3C0000}"/>
    <cellStyle name="Normal 3 17 18 11 2" xfId="27147" xr:uid="{00000000-0005-0000-0000-0000203C0000}"/>
    <cellStyle name="Normal 3 17 18 12" xfId="9572" xr:uid="{00000000-0005-0000-0000-0000213C0000}"/>
    <cellStyle name="Normal 3 17 18 12 2" xfId="27148" xr:uid="{00000000-0005-0000-0000-0000223C0000}"/>
    <cellStyle name="Normal 3 17 18 13" xfId="9573" xr:uid="{00000000-0005-0000-0000-0000233C0000}"/>
    <cellStyle name="Normal 3 17 18 13 2" xfId="27149" xr:uid="{00000000-0005-0000-0000-0000243C0000}"/>
    <cellStyle name="Normal 3 17 18 14" xfId="9574" xr:uid="{00000000-0005-0000-0000-0000253C0000}"/>
    <cellStyle name="Normal 3 17 18 14 2" xfId="27150" xr:uid="{00000000-0005-0000-0000-0000263C0000}"/>
    <cellStyle name="Normal 3 17 18 15" xfId="27145" xr:uid="{00000000-0005-0000-0000-0000273C0000}"/>
    <cellStyle name="Normal 3 17 18 2" xfId="9575" xr:uid="{00000000-0005-0000-0000-0000283C0000}"/>
    <cellStyle name="Normal 3 17 18 2 2" xfId="27151" xr:uid="{00000000-0005-0000-0000-0000293C0000}"/>
    <cellStyle name="Normal 3 17 18 3" xfId="9576" xr:uid="{00000000-0005-0000-0000-00002A3C0000}"/>
    <cellStyle name="Normal 3 17 18 3 2" xfId="27152" xr:uid="{00000000-0005-0000-0000-00002B3C0000}"/>
    <cellStyle name="Normal 3 17 18 4" xfId="9577" xr:uid="{00000000-0005-0000-0000-00002C3C0000}"/>
    <cellStyle name="Normal 3 17 18 4 2" xfId="27153" xr:uid="{00000000-0005-0000-0000-00002D3C0000}"/>
    <cellStyle name="Normal 3 17 18 5" xfId="9578" xr:uid="{00000000-0005-0000-0000-00002E3C0000}"/>
    <cellStyle name="Normal 3 17 18 5 2" xfId="27154" xr:uid="{00000000-0005-0000-0000-00002F3C0000}"/>
    <cellStyle name="Normal 3 17 18 6" xfId="9579" xr:uid="{00000000-0005-0000-0000-0000303C0000}"/>
    <cellStyle name="Normal 3 17 18 6 2" xfId="27155" xr:uid="{00000000-0005-0000-0000-0000313C0000}"/>
    <cellStyle name="Normal 3 17 18 7" xfId="9580" xr:uid="{00000000-0005-0000-0000-0000323C0000}"/>
    <cellStyle name="Normal 3 17 18 7 2" xfId="27156" xr:uid="{00000000-0005-0000-0000-0000333C0000}"/>
    <cellStyle name="Normal 3 17 18 8" xfId="9581" xr:uid="{00000000-0005-0000-0000-0000343C0000}"/>
    <cellStyle name="Normal 3 17 18 8 2" xfId="27157" xr:uid="{00000000-0005-0000-0000-0000353C0000}"/>
    <cellStyle name="Normal 3 17 18 9" xfId="9582" xr:uid="{00000000-0005-0000-0000-0000363C0000}"/>
    <cellStyle name="Normal 3 17 18 9 2" xfId="27158" xr:uid="{00000000-0005-0000-0000-0000373C0000}"/>
    <cellStyle name="Normal 3 17 2" xfId="9583" xr:uid="{00000000-0005-0000-0000-0000383C0000}"/>
    <cellStyle name="Normal 3 17 2 10" xfId="9584" xr:uid="{00000000-0005-0000-0000-0000393C0000}"/>
    <cellStyle name="Normal 3 17 2 10 2" xfId="27160" xr:uid="{00000000-0005-0000-0000-00003A3C0000}"/>
    <cellStyle name="Normal 3 17 2 11" xfId="9585" xr:uid="{00000000-0005-0000-0000-00003B3C0000}"/>
    <cellStyle name="Normal 3 17 2 11 2" xfId="27161" xr:uid="{00000000-0005-0000-0000-00003C3C0000}"/>
    <cellStyle name="Normal 3 17 2 12" xfId="9586" xr:uid="{00000000-0005-0000-0000-00003D3C0000}"/>
    <cellStyle name="Normal 3 17 2 12 2" xfId="27162" xr:uid="{00000000-0005-0000-0000-00003E3C0000}"/>
    <cellStyle name="Normal 3 17 2 13" xfId="9587" xr:uid="{00000000-0005-0000-0000-00003F3C0000}"/>
    <cellStyle name="Normal 3 17 2 13 2" xfId="27163" xr:uid="{00000000-0005-0000-0000-0000403C0000}"/>
    <cellStyle name="Normal 3 17 2 14" xfId="9588" xr:uid="{00000000-0005-0000-0000-0000413C0000}"/>
    <cellStyle name="Normal 3 17 2 14 2" xfId="27164" xr:uid="{00000000-0005-0000-0000-0000423C0000}"/>
    <cellStyle name="Normal 3 17 2 15" xfId="9589" xr:uid="{00000000-0005-0000-0000-0000433C0000}"/>
    <cellStyle name="Normal 3 17 2 15 2" xfId="27165" xr:uid="{00000000-0005-0000-0000-0000443C0000}"/>
    <cellStyle name="Normal 3 17 2 16" xfId="9590" xr:uid="{00000000-0005-0000-0000-0000453C0000}"/>
    <cellStyle name="Normal 3 17 2 16 2" xfId="27166" xr:uid="{00000000-0005-0000-0000-0000463C0000}"/>
    <cellStyle name="Normal 3 17 2 17" xfId="9591" xr:uid="{00000000-0005-0000-0000-0000473C0000}"/>
    <cellStyle name="Normal 3 17 2 17 2" xfId="27167" xr:uid="{00000000-0005-0000-0000-0000483C0000}"/>
    <cellStyle name="Normal 3 17 2 18" xfId="27159" xr:uid="{00000000-0005-0000-0000-0000493C0000}"/>
    <cellStyle name="Normal 3 17 2 2" xfId="9592" xr:uid="{00000000-0005-0000-0000-00004A3C0000}"/>
    <cellStyle name="Normal 3 17 2 3" xfId="9593" xr:uid="{00000000-0005-0000-0000-00004B3C0000}"/>
    <cellStyle name="Normal 3 17 2 4" xfId="9594" xr:uid="{00000000-0005-0000-0000-00004C3C0000}"/>
    <cellStyle name="Normal 3 17 2 5" xfId="9595" xr:uid="{00000000-0005-0000-0000-00004D3C0000}"/>
    <cellStyle name="Normal 3 17 2 5 2" xfId="27168" xr:uid="{00000000-0005-0000-0000-00004E3C0000}"/>
    <cellStyle name="Normal 3 17 2 6" xfId="9596" xr:uid="{00000000-0005-0000-0000-00004F3C0000}"/>
    <cellStyle name="Normal 3 17 2 6 2" xfId="27169" xr:uid="{00000000-0005-0000-0000-0000503C0000}"/>
    <cellStyle name="Normal 3 17 2 7" xfId="9597" xr:uid="{00000000-0005-0000-0000-0000513C0000}"/>
    <cellStyle name="Normal 3 17 2 7 2" xfId="27170" xr:uid="{00000000-0005-0000-0000-0000523C0000}"/>
    <cellStyle name="Normal 3 17 2 8" xfId="9598" xr:uid="{00000000-0005-0000-0000-0000533C0000}"/>
    <cellStyle name="Normal 3 17 2 8 2" xfId="27171" xr:uid="{00000000-0005-0000-0000-0000543C0000}"/>
    <cellStyle name="Normal 3 17 2 9" xfId="9599" xr:uid="{00000000-0005-0000-0000-0000553C0000}"/>
    <cellStyle name="Normal 3 17 2 9 2" xfId="27172" xr:uid="{00000000-0005-0000-0000-0000563C0000}"/>
    <cellStyle name="Normal 3 17 3" xfId="9600" xr:uid="{00000000-0005-0000-0000-0000573C0000}"/>
    <cellStyle name="Normal 3 17 4" xfId="9601" xr:uid="{00000000-0005-0000-0000-0000583C0000}"/>
    <cellStyle name="Normal 3 17 5" xfId="9602" xr:uid="{00000000-0005-0000-0000-0000593C0000}"/>
    <cellStyle name="Normal 3 17 6" xfId="9603" xr:uid="{00000000-0005-0000-0000-00005A3C0000}"/>
    <cellStyle name="Normal 3 17 6 10" xfId="9604" xr:uid="{00000000-0005-0000-0000-00005B3C0000}"/>
    <cellStyle name="Normal 3 17 6 10 2" xfId="27174" xr:uid="{00000000-0005-0000-0000-00005C3C0000}"/>
    <cellStyle name="Normal 3 17 6 11" xfId="9605" xr:uid="{00000000-0005-0000-0000-00005D3C0000}"/>
    <cellStyle name="Normal 3 17 6 11 2" xfId="27175" xr:uid="{00000000-0005-0000-0000-00005E3C0000}"/>
    <cellStyle name="Normal 3 17 6 12" xfId="9606" xr:uid="{00000000-0005-0000-0000-00005F3C0000}"/>
    <cellStyle name="Normal 3 17 6 12 2" xfId="27176" xr:uid="{00000000-0005-0000-0000-0000603C0000}"/>
    <cellStyle name="Normal 3 17 6 13" xfId="9607" xr:uid="{00000000-0005-0000-0000-0000613C0000}"/>
    <cellStyle name="Normal 3 17 6 13 2" xfId="27177" xr:uid="{00000000-0005-0000-0000-0000623C0000}"/>
    <cellStyle name="Normal 3 17 6 14" xfId="9608" xr:uid="{00000000-0005-0000-0000-0000633C0000}"/>
    <cellStyle name="Normal 3 17 6 14 2" xfId="27178" xr:uid="{00000000-0005-0000-0000-0000643C0000}"/>
    <cellStyle name="Normal 3 17 6 15" xfId="9609" xr:uid="{00000000-0005-0000-0000-0000653C0000}"/>
    <cellStyle name="Normal 3 17 6 15 2" xfId="27179" xr:uid="{00000000-0005-0000-0000-0000663C0000}"/>
    <cellStyle name="Normal 3 17 6 16" xfId="27173" xr:uid="{00000000-0005-0000-0000-0000673C0000}"/>
    <cellStyle name="Normal 3 17 6 2" xfId="9610" xr:uid="{00000000-0005-0000-0000-0000683C0000}"/>
    <cellStyle name="Normal 3 17 6 2 10" xfId="9611" xr:uid="{00000000-0005-0000-0000-0000693C0000}"/>
    <cellStyle name="Normal 3 17 6 2 10 2" xfId="27181" xr:uid="{00000000-0005-0000-0000-00006A3C0000}"/>
    <cellStyle name="Normal 3 17 6 2 11" xfId="9612" xr:uid="{00000000-0005-0000-0000-00006B3C0000}"/>
    <cellStyle name="Normal 3 17 6 2 11 2" xfId="27182" xr:uid="{00000000-0005-0000-0000-00006C3C0000}"/>
    <cellStyle name="Normal 3 17 6 2 12" xfId="9613" xr:uid="{00000000-0005-0000-0000-00006D3C0000}"/>
    <cellStyle name="Normal 3 17 6 2 12 2" xfId="27183" xr:uid="{00000000-0005-0000-0000-00006E3C0000}"/>
    <cellStyle name="Normal 3 17 6 2 13" xfId="9614" xr:uid="{00000000-0005-0000-0000-00006F3C0000}"/>
    <cellStyle name="Normal 3 17 6 2 13 2" xfId="27184" xr:uid="{00000000-0005-0000-0000-0000703C0000}"/>
    <cellStyle name="Normal 3 17 6 2 14" xfId="9615" xr:uid="{00000000-0005-0000-0000-0000713C0000}"/>
    <cellStyle name="Normal 3 17 6 2 14 2" xfId="27185" xr:uid="{00000000-0005-0000-0000-0000723C0000}"/>
    <cellStyle name="Normal 3 17 6 2 15" xfId="27180" xr:uid="{00000000-0005-0000-0000-0000733C0000}"/>
    <cellStyle name="Normal 3 17 6 2 2" xfId="9616" xr:uid="{00000000-0005-0000-0000-0000743C0000}"/>
    <cellStyle name="Normal 3 17 6 2 2 2" xfId="27186" xr:uid="{00000000-0005-0000-0000-0000753C0000}"/>
    <cellStyle name="Normal 3 17 6 2 3" xfId="9617" xr:uid="{00000000-0005-0000-0000-0000763C0000}"/>
    <cellStyle name="Normal 3 17 6 2 3 2" xfId="27187" xr:uid="{00000000-0005-0000-0000-0000773C0000}"/>
    <cellStyle name="Normal 3 17 6 2 4" xfId="9618" xr:uid="{00000000-0005-0000-0000-0000783C0000}"/>
    <cellStyle name="Normal 3 17 6 2 4 2" xfId="27188" xr:uid="{00000000-0005-0000-0000-0000793C0000}"/>
    <cellStyle name="Normal 3 17 6 2 5" xfId="9619" xr:uid="{00000000-0005-0000-0000-00007A3C0000}"/>
    <cellStyle name="Normal 3 17 6 2 5 2" xfId="27189" xr:uid="{00000000-0005-0000-0000-00007B3C0000}"/>
    <cellStyle name="Normal 3 17 6 2 6" xfId="9620" xr:uid="{00000000-0005-0000-0000-00007C3C0000}"/>
    <cellStyle name="Normal 3 17 6 2 6 2" xfId="27190" xr:uid="{00000000-0005-0000-0000-00007D3C0000}"/>
    <cellStyle name="Normal 3 17 6 2 7" xfId="9621" xr:uid="{00000000-0005-0000-0000-00007E3C0000}"/>
    <cellStyle name="Normal 3 17 6 2 7 2" xfId="27191" xr:uid="{00000000-0005-0000-0000-00007F3C0000}"/>
    <cellStyle name="Normal 3 17 6 2 8" xfId="9622" xr:uid="{00000000-0005-0000-0000-0000803C0000}"/>
    <cellStyle name="Normal 3 17 6 2 8 2" xfId="27192" xr:uid="{00000000-0005-0000-0000-0000813C0000}"/>
    <cellStyle name="Normal 3 17 6 2 9" xfId="9623" xr:uid="{00000000-0005-0000-0000-0000823C0000}"/>
    <cellStyle name="Normal 3 17 6 2 9 2" xfId="27193" xr:uid="{00000000-0005-0000-0000-0000833C0000}"/>
    <cellStyle name="Normal 3 17 6 3" xfId="9624" xr:uid="{00000000-0005-0000-0000-0000843C0000}"/>
    <cellStyle name="Normal 3 17 6 3 2" xfId="27194" xr:uid="{00000000-0005-0000-0000-0000853C0000}"/>
    <cellStyle name="Normal 3 17 6 4" xfId="9625" xr:uid="{00000000-0005-0000-0000-0000863C0000}"/>
    <cellStyle name="Normal 3 17 6 4 2" xfId="27195" xr:uid="{00000000-0005-0000-0000-0000873C0000}"/>
    <cellStyle name="Normal 3 17 6 5" xfId="9626" xr:uid="{00000000-0005-0000-0000-0000883C0000}"/>
    <cellStyle name="Normal 3 17 6 5 2" xfId="27196" xr:uid="{00000000-0005-0000-0000-0000893C0000}"/>
    <cellStyle name="Normal 3 17 6 6" xfId="9627" xr:uid="{00000000-0005-0000-0000-00008A3C0000}"/>
    <cellStyle name="Normal 3 17 6 6 2" xfId="27197" xr:uid="{00000000-0005-0000-0000-00008B3C0000}"/>
    <cellStyle name="Normal 3 17 6 7" xfId="9628" xr:uid="{00000000-0005-0000-0000-00008C3C0000}"/>
    <cellStyle name="Normal 3 17 6 7 2" xfId="27198" xr:uid="{00000000-0005-0000-0000-00008D3C0000}"/>
    <cellStyle name="Normal 3 17 6 8" xfId="9629" xr:uid="{00000000-0005-0000-0000-00008E3C0000}"/>
    <cellStyle name="Normal 3 17 6 8 2" xfId="27199" xr:uid="{00000000-0005-0000-0000-00008F3C0000}"/>
    <cellStyle name="Normal 3 17 6 9" xfId="9630" xr:uid="{00000000-0005-0000-0000-0000903C0000}"/>
    <cellStyle name="Normal 3 17 6 9 2" xfId="27200" xr:uid="{00000000-0005-0000-0000-0000913C0000}"/>
    <cellStyle name="Normal 3 17 7" xfId="9631" xr:uid="{00000000-0005-0000-0000-0000923C0000}"/>
    <cellStyle name="Normal 3 17 7 10" xfId="9632" xr:uid="{00000000-0005-0000-0000-0000933C0000}"/>
    <cellStyle name="Normal 3 17 7 10 2" xfId="27202" xr:uid="{00000000-0005-0000-0000-0000943C0000}"/>
    <cellStyle name="Normal 3 17 7 11" xfId="9633" xr:uid="{00000000-0005-0000-0000-0000953C0000}"/>
    <cellStyle name="Normal 3 17 7 11 2" xfId="27203" xr:uid="{00000000-0005-0000-0000-0000963C0000}"/>
    <cellStyle name="Normal 3 17 7 12" xfId="9634" xr:uid="{00000000-0005-0000-0000-0000973C0000}"/>
    <cellStyle name="Normal 3 17 7 12 2" xfId="27204" xr:uid="{00000000-0005-0000-0000-0000983C0000}"/>
    <cellStyle name="Normal 3 17 7 13" xfId="9635" xr:uid="{00000000-0005-0000-0000-0000993C0000}"/>
    <cellStyle name="Normal 3 17 7 13 2" xfId="27205" xr:uid="{00000000-0005-0000-0000-00009A3C0000}"/>
    <cellStyle name="Normal 3 17 7 14" xfId="9636" xr:uid="{00000000-0005-0000-0000-00009B3C0000}"/>
    <cellStyle name="Normal 3 17 7 14 2" xfId="27206" xr:uid="{00000000-0005-0000-0000-00009C3C0000}"/>
    <cellStyle name="Normal 3 17 7 15" xfId="9637" xr:uid="{00000000-0005-0000-0000-00009D3C0000}"/>
    <cellStyle name="Normal 3 17 7 15 2" xfId="27207" xr:uid="{00000000-0005-0000-0000-00009E3C0000}"/>
    <cellStyle name="Normal 3 17 7 16" xfId="27201" xr:uid="{00000000-0005-0000-0000-00009F3C0000}"/>
    <cellStyle name="Normal 3 17 7 2" xfId="9638" xr:uid="{00000000-0005-0000-0000-0000A03C0000}"/>
    <cellStyle name="Normal 3 17 7 2 10" xfId="9639" xr:uid="{00000000-0005-0000-0000-0000A13C0000}"/>
    <cellStyle name="Normal 3 17 7 2 10 2" xfId="27209" xr:uid="{00000000-0005-0000-0000-0000A23C0000}"/>
    <cellStyle name="Normal 3 17 7 2 11" xfId="9640" xr:uid="{00000000-0005-0000-0000-0000A33C0000}"/>
    <cellStyle name="Normal 3 17 7 2 11 2" xfId="27210" xr:uid="{00000000-0005-0000-0000-0000A43C0000}"/>
    <cellStyle name="Normal 3 17 7 2 12" xfId="9641" xr:uid="{00000000-0005-0000-0000-0000A53C0000}"/>
    <cellStyle name="Normal 3 17 7 2 12 2" xfId="27211" xr:uid="{00000000-0005-0000-0000-0000A63C0000}"/>
    <cellStyle name="Normal 3 17 7 2 13" xfId="9642" xr:uid="{00000000-0005-0000-0000-0000A73C0000}"/>
    <cellStyle name="Normal 3 17 7 2 13 2" xfId="27212" xr:uid="{00000000-0005-0000-0000-0000A83C0000}"/>
    <cellStyle name="Normal 3 17 7 2 14" xfId="9643" xr:uid="{00000000-0005-0000-0000-0000A93C0000}"/>
    <cellStyle name="Normal 3 17 7 2 14 2" xfId="27213" xr:uid="{00000000-0005-0000-0000-0000AA3C0000}"/>
    <cellStyle name="Normal 3 17 7 2 15" xfId="27208" xr:uid="{00000000-0005-0000-0000-0000AB3C0000}"/>
    <cellStyle name="Normal 3 17 7 2 2" xfId="9644" xr:uid="{00000000-0005-0000-0000-0000AC3C0000}"/>
    <cellStyle name="Normal 3 17 7 2 2 2" xfId="27214" xr:uid="{00000000-0005-0000-0000-0000AD3C0000}"/>
    <cellStyle name="Normal 3 17 7 2 3" xfId="9645" xr:uid="{00000000-0005-0000-0000-0000AE3C0000}"/>
    <cellStyle name="Normal 3 17 7 2 3 2" xfId="27215" xr:uid="{00000000-0005-0000-0000-0000AF3C0000}"/>
    <cellStyle name="Normal 3 17 7 2 4" xfId="9646" xr:uid="{00000000-0005-0000-0000-0000B03C0000}"/>
    <cellStyle name="Normal 3 17 7 2 4 2" xfId="27216" xr:uid="{00000000-0005-0000-0000-0000B13C0000}"/>
    <cellStyle name="Normal 3 17 7 2 5" xfId="9647" xr:uid="{00000000-0005-0000-0000-0000B23C0000}"/>
    <cellStyle name="Normal 3 17 7 2 5 2" xfId="27217" xr:uid="{00000000-0005-0000-0000-0000B33C0000}"/>
    <cellStyle name="Normal 3 17 7 2 6" xfId="9648" xr:uid="{00000000-0005-0000-0000-0000B43C0000}"/>
    <cellStyle name="Normal 3 17 7 2 6 2" xfId="27218" xr:uid="{00000000-0005-0000-0000-0000B53C0000}"/>
    <cellStyle name="Normal 3 17 7 2 7" xfId="9649" xr:uid="{00000000-0005-0000-0000-0000B63C0000}"/>
    <cellStyle name="Normal 3 17 7 2 7 2" xfId="27219" xr:uid="{00000000-0005-0000-0000-0000B73C0000}"/>
    <cellStyle name="Normal 3 17 7 2 8" xfId="9650" xr:uid="{00000000-0005-0000-0000-0000B83C0000}"/>
    <cellStyle name="Normal 3 17 7 2 8 2" xfId="27220" xr:uid="{00000000-0005-0000-0000-0000B93C0000}"/>
    <cellStyle name="Normal 3 17 7 2 9" xfId="9651" xr:uid="{00000000-0005-0000-0000-0000BA3C0000}"/>
    <cellStyle name="Normal 3 17 7 2 9 2" xfId="27221" xr:uid="{00000000-0005-0000-0000-0000BB3C0000}"/>
    <cellStyle name="Normal 3 17 7 3" xfId="9652" xr:uid="{00000000-0005-0000-0000-0000BC3C0000}"/>
    <cellStyle name="Normal 3 17 7 3 2" xfId="27222" xr:uid="{00000000-0005-0000-0000-0000BD3C0000}"/>
    <cellStyle name="Normal 3 17 7 4" xfId="9653" xr:uid="{00000000-0005-0000-0000-0000BE3C0000}"/>
    <cellStyle name="Normal 3 17 7 4 2" xfId="27223" xr:uid="{00000000-0005-0000-0000-0000BF3C0000}"/>
    <cellStyle name="Normal 3 17 7 5" xfId="9654" xr:uid="{00000000-0005-0000-0000-0000C03C0000}"/>
    <cellStyle name="Normal 3 17 7 5 2" xfId="27224" xr:uid="{00000000-0005-0000-0000-0000C13C0000}"/>
    <cellStyle name="Normal 3 17 7 6" xfId="9655" xr:uid="{00000000-0005-0000-0000-0000C23C0000}"/>
    <cellStyle name="Normal 3 17 7 6 2" xfId="27225" xr:uid="{00000000-0005-0000-0000-0000C33C0000}"/>
    <cellStyle name="Normal 3 17 7 7" xfId="9656" xr:uid="{00000000-0005-0000-0000-0000C43C0000}"/>
    <cellStyle name="Normal 3 17 7 7 2" xfId="27226" xr:uid="{00000000-0005-0000-0000-0000C53C0000}"/>
    <cellStyle name="Normal 3 17 7 8" xfId="9657" xr:uid="{00000000-0005-0000-0000-0000C63C0000}"/>
    <cellStyle name="Normal 3 17 7 8 2" xfId="27227" xr:uid="{00000000-0005-0000-0000-0000C73C0000}"/>
    <cellStyle name="Normal 3 17 7 9" xfId="9658" xr:uid="{00000000-0005-0000-0000-0000C83C0000}"/>
    <cellStyle name="Normal 3 17 7 9 2" xfId="27228" xr:uid="{00000000-0005-0000-0000-0000C93C0000}"/>
    <cellStyle name="Normal 3 17 8" xfId="9659" xr:uid="{00000000-0005-0000-0000-0000CA3C0000}"/>
    <cellStyle name="Normal 3 17 8 10" xfId="9660" xr:uid="{00000000-0005-0000-0000-0000CB3C0000}"/>
    <cellStyle name="Normal 3 17 8 10 2" xfId="27230" xr:uid="{00000000-0005-0000-0000-0000CC3C0000}"/>
    <cellStyle name="Normal 3 17 8 11" xfId="9661" xr:uid="{00000000-0005-0000-0000-0000CD3C0000}"/>
    <cellStyle name="Normal 3 17 8 11 2" xfId="27231" xr:uid="{00000000-0005-0000-0000-0000CE3C0000}"/>
    <cellStyle name="Normal 3 17 8 12" xfId="9662" xr:uid="{00000000-0005-0000-0000-0000CF3C0000}"/>
    <cellStyle name="Normal 3 17 8 12 2" xfId="27232" xr:uid="{00000000-0005-0000-0000-0000D03C0000}"/>
    <cellStyle name="Normal 3 17 8 13" xfId="9663" xr:uid="{00000000-0005-0000-0000-0000D13C0000}"/>
    <cellStyle name="Normal 3 17 8 13 2" xfId="27233" xr:uid="{00000000-0005-0000-0000-0000D23C0000}"/>
    <cellStyle name="Normal 3 17 8 14" xfId="9664" xr:uid="{00000000-0005-0000-0000-0000D33C0000}"/>
    <cellStyle name="Normal 3 17 8 14 2" xfId="27234" xr:uid="{00000000-0005-0000-0000-0000D43C0000}"/>
    <cellStyle name="Normal 3 17 8 15" xfId="9665" xr:uid="{00000000-0005-0000-0000-0000D53C0000}"/>
    <cellStyle name="Normal 3 17 8 15 2" xfId="27235" xr:uid="{00000000-0005-0000-0000-0000D63C0000}"/>
    <cellStyle name="Normal 3 17 8 16" xfId="27229" xr:uid="{00000000-0005-0000-0000-0000D73C0000}"/>
    <cellStyle name="Normal 3 17 8 2" xfId="9666" xr:uid="{00000000-0005-0000-0000-0000D83C0000}"/>
    <cellStyle name="Normal 3 17 8 2 10" xfId="9667" xr:uid="{00000000-0005-0000-0000-0000D93C0000}"/>
    <cellStyle name="Normal 3 17 8 2 10 2" xfId="27237" xr:uid="{00000000-0005-0000-0000-0000DA3C0000}"/>
    <cellStyle name="Normal 3 17 8 2 11" xfId="9668" xr:uid="{00000000-0005-0000-0000-0000DB3C0000}"/>
    <cellStyle name="Normal 3 17 8 2 11 2" xfId="27238" xr:uid="{00000000-0005-0000-0000-0000DC3C0000}"/>
    <cellStyle name="Normal 3 17 8 2 12" xfId="9669" xr:uid="{00000000-0005-0000-0000-0000DD3C0000}"/>
    <cellStyle name="Normal 3 17 8 2 12 2" xfId="27239" xr:uid="{00000000-0005-0000-0000-0000DE3C0000}"/>
    <cellStyle name="Normal 3 17 8 2 13" xfId="9670" xr:uid="{00000000-0005-0000-0000-0000DF3C0000}"/>
    <cellStyle name="Normal 3 17 8 2 13 2" xfId="27240" xr:uid="{00000000-0005-0000-0000-0000E03C0000}"/>
    <cellStyle name="Normal 3 17 8 2 14" xfId="9671" xr:uid="{00000000-0005-0000-0000-0000E13C0000}"/>
    <cellStyle name="Normal 3 17 8 2 14 2" xfId="27241" xr:uid="{00000000-0005-0000-0000-0000E23C0000}"/>
    <cellStyle name="Normal 3 17 8 2 15" xfId="27236" xr:uid="{00000000-0005-0000-0000-0000E33C0000}"/>
    <cellStyle name="Normal 3 17 8 2 2" xfId="9672" xr:uid="{00000000-0005-0000-0000-0000E43C0000}"/>
    <cellStyle name="Normal 3 17 8 2 2 2" xfId="27242" xr:uid="{00000000-0005-0000-0000-0000E53C0000}"/>
    <cellStyle name="Normal 3 17 8 2 3" xfId="9673" xr:uid="{00000000-0005-0000-0000-0000E63C0000}"/>
    <cellStyle name="Normal 3 17 8 2 3 2" xfId="27243" xr:uid="{00000000-0005-0000-0000-0000E73C0000}"/>
    <cellStyle name="Normal 3 17 8 2 4" xfId="9674" xr:uid="{00000000-0005-0000-0000-0000E83C0000}"/>
    <cellStyle name="Normal 3 17 8 2 4 2" xfId="27244" xr:uid="{00000000-0005-0000-0000-0000E93C0000}"/>
    <cellStyle name="Normal 3 17 8 2 5" xfId="9675" xr:uid="{00000000-0005-0000-0000-0000EA3C0000}"/>
    <cellStyle name="Normal 3 17 8 2 5 2" xfId="27245" xr:uid="{00000000-0005-0000-0000-0000EB3C0000}"/>
    <cellStyle name="Normal 3 17 8 2 6" xfId="9676" xr:uid="{00000000-0005-0000-0000-0000EC3C0000}"/>
    <cellStyle name="Normal 3 17 8 2 6 2" xfId="27246" xr:uid="{00000000-0005-0000-0000-0000ED3C0000}"/>
    <cellStyle name="Normal 3 17 8 2 7" xfId="9677" xr:uid="{00000000-0005-0000-0000-0000EE3C0000}"/>
    <cellStyle name="Normal 3 17 8 2 7 2" xfId="27247" xr:uid="{00000000-0005-0000-0000-0000EF3C0000}"/>
    <cellStyle name="Normal 3 17 8 2 8" xfId="9678" xr:uid="{00000000-0005-0000-0000-0000F03C0000}"/>
    <cellStyle name="Normal 3 17 8 2 8 2" xfId="27248" xr:uid="{00000000-0005-0000-0000-0000F13C0000}"/>
    <cellStyle name="Normal 3 17 8 2 9" xfId="9679" xr:uid="{00000000-0005-0000-0000-0000F23C0000}"/>
    <cellStyle name="Normal 3 17 8 2 9 2" xfId="27249" xr:uid="{00000000-0005-0000-0000-0000F33C0000}"/>
    <cellStyle name="Normal 3 17 8 3" xfId="9680" xr:uid="{00000000-0005-0000-0000-0000F43C0000}"/>
    <cellStyle name="Normal 3 17 8 3 2" xfId="27250" xr:uid="{00000000-0005-0000-0000-0000F53C0000}"/>
    <cellStyle name="Normal 3 17 8 4" xfId="9681" xr:uid="{00000000-0005-0000-0000-0000F63C0000}"/>
    <cellStyle name="Normal 3 17 8 4 2" xfId="27251" xr:uid="{00000000-0005-0000-0000-0000F73C0000}"/>
    <cellStyle name="Normal 3 17 8 5" xfId="9682" xr:uid="{00000000-0005-0000-0000-0000F83C0000}"/>
    <cellStyle name="Normal 3 17 8 5 2" xfId="27252" xr:uid="{00000000-0005-0000-0000-0000F93C0000}"/>
    <cellStyle name="Normal 3 17 8 6" xfId="9683" xr:uid="{00000000-0005-0000-0000-0000FA3C0000}"/>
    <cellStyle name="Normal 3 17 8 6 2" xfId="27253" xr:uid="{00000000-0005-0000-0000-0000FB3C0000}"/>
    <cellStyle name="Normal 3 17 8 7" xfId="9684" xr:uid="{00000000-0005-0000-0000-0000FC3C0000}"/>
    <cellStyle name="Normal 3 17 8 7 2" xfId="27254" xr:uid="{00000000-0005-0000-0000-0000FD3C0000}"/>
    <cellStyle name="Normal 3 17 8 8" xfId="9685" xr:uid="{00000000-0005-0000-0000-0000FE3C0000}"/>
    <cellStyle name="Normal 3 17 8 8 2" xfId="27255" xr:uid="{00000000-0005-0000-0000-0000FF3C0000}"/>
    <cellStyle name="Normal 3 17 8 9" xfId="9686" xr:uid="{00000000-0005-0000-0000-0000003D0000}"/>
    <cellStyle name="Normal 3 17 8 9 2" xfId="27256" xr:uid="{00000000-0005-0000-0000-0000013D0000}"/>
    <cellStyle name="Normal 3 17 9" xfId="9687" xr:uid="{00000000-0005-0000-0000-0000023D0000}"/>
    <cellStyle name="Normal 3 17 9 10" xfId="9688" xr:uid="{00000000-0005-0000-0000-0000033D0000}"/>
    <cellStyle name="Normal 3 17 9 10 2" xfId="27258" xr:uid="{00000000-0005-0000-0000-0000043D0000}"/>
    <cellStyle name="Normal 3 17 9 11" xfId="9689" xr:uid="{00000000-0005-0000-0000-0000053D0000}"/>
    <cellStyle name="Normal 3 17 9 11 2" xfId="27259" xr:uid="{00000000-0005-0000-0000-0000063D0000}"/>
    <cellStyle name="Normal 3 17 9 12" xfId="9690" xr:uid="{00000000-0005-0000-0000-0000073D0000}"/>
    <cellStyle name="Normal 3 17 9 12 2" xfId="27260" xr:uid="{00000000-0005-0000-0000-0000083D0000}"/>
    <cellStyle name="Normal 3 17 9 13" xfId="9691" xr:uid="{00000000-0005-0000-0000-0000093D0000}"/>
    <cellStyle name="Normal 3 17 9 13 2" xfId="27261" xr:uid="{00000000-0005-0000-0000-00000A3D0000}"/>
    <cellStyle name="Normal 3 17 9 14" xfId="9692" xr:uid="{00000000-0005-0000-0000-00000B3D0000}"/>
    <cellStyle name="Normal 3 17 9 14 2" xfId="27262" xr:uid="{00000000-0005-0000-0000-00000C3D0000}"/>
    <cellStyle name="Normal 3 17 9 15" xfId="27257" xr:uid="{00000000-0005-0000-0000-00000D3D0000}"/>
    <cellStyle name="Normal 3 17 9 2" xfId="9693" xr:uid="{00000000-0005-0000-0000-00000E3D0000}"/>
    <cellStyle name="Normal 3 17 9 2 2" xfId="27263" xr:uid="{00000000-0005-0000-0000-00000F3D0000}"/>
    <cellStyle name="Normal 3 17 9 3" xfId="9694" xr:uid="{00000000-0005-0000-0000-0000103D0000}"/>
    <cellStyle name="Normal 3 17 9 3 2" xfId="27264" xr:uid="{00000000-0005-0000-0000-0000113D0000}"/>
    <cellStyle name="Normal 3 17 9 4" xfId="9695" xr:uid="{00000000-0005-0000-0000-0000123D0000}"/>
    <cellStyle name="Normal 3 17 9 4 2" xfId="27265" xr:uid="{00000000-0005-0000-0000-0000133D0000}"/>
    <cellStyle name="Normal 3 17 9 5" xfId="9696" xr:uid="{00000000-0005-0000-0000-0000143D0000}"/>
    <cellStyle name="Normal 3 17 9 5 2" xfId="27266" xr:uid="{00000000-0005-0000-0000-0000153D0000}"/>
    <cellStyle name="Normal 3 17 9 6" xfId="9697" xr:uid="{00000000-0005-0000-0000-0000163D0000}"/>
    <cellStyle name="Normal 3 17 9 6 2" xfId="27267" xr:uid="{00000000-0005-0000-0000-0000173D0000}"/>
    <cellStyle name="Normal 3 17 9 7" xfId="9698" xr:uid="{00000000-0005-0000-0000-0000183D0000}"/>
    <cellStyle name="Normal 3 17 9 7 2" xfId="27268" xr:uid="{00000000-0005-0000-0000-0000193D0000}"/>
    <cellStyle name="Normal 3 17 9 8" xfId="9699" xr:uid="{00000000-0005-0000-0000-00001A3D0000}"/>
    <cellStyle name="Normal 3 17 9 8 2" xfId="27269" xr:uid="{00000000-0005-0000-0000-00001B3D0000}"/>
    <cellStyle name="Normal 3 17 9 9" xfId="9700" xr:uid="{00000000-0005-0000-0000-00001C3D0000}"/>
    <cellStyle name="Normal 3 17 9 9 2" xfId="27270" xr:uid="{00000000-0005-0000-0000-00001D3D0000}"/>
    <cellStyle name="Normal 3 18" xfId="9701" xr:uid="{00000000-0005-0000-0000-00001E3D0000}"/>
    <cellStyle name="Normal 3 18 10" xfId="9702" xr:uid="{00000000-0005-0000-0000-00001F3D0000}"/>
    <cellStyle name="Normal 3 18 10 10" xfId="9703" xr:uid="{00000000-0005-0000-0000-0000203D0000}"/>
    <cellStyle name="Normal 3 18 10 10 2" xfId="27273" xr:uid="{00000000-0005-0000-0000-0000213D0000}"/>
    <cellStyle name="Normal 3 18 10 11" xfId="9704" xr:uid="{00000000-0005-0000-0000-0000223D0000}"/>
    <cellStyle name="Normal 3 18 10 11 2" xfId="27274" xr:uid="{00000000-0005-0000-0000-0000233D0000}"/>
    <cellStyle name="Normal 3 18 10 12" xfId="9705" xr:uid="{00000000-0005-0000-0000-0000243D0000}"/>
    <cellStyle name="Normal 3 18 10 12 2" xfId="27275" xr:uid="{00000000-0005-0000-0000-0000253D0000}"/>
    <cellStyle name="Normal 3 18 10 13" xfId="9706" xr:uid="{00000000-0005-0000-0000-0000263D0000}"/>
    <cellStyle name="Normal 3 18 10 13 2" xfId="27276" xr:uid="{00000000-0005-0000-0000-0000273D0000}"/>
    <cellStyle name="Normal 3 18 10 14" xfId="9707" xr:uid="{00000000-0005-0000-0000-0000283D0000}"/>
    <cellStyle name="Normal 3 18 10 14 2" xfId="27277" xr:uid="{00000000-0005-0000-0000-0000293D0000}"/>
    <cellStyle name="Normal 3 18 10 15" xfId="27272" xr:uid="{00000000-0005-0000-0000-00002A3D0000}"/>
    <cellStyle name="Normal 3 18 10 2" xfId="9708" xr:uid="{00000000-0005-0000-0000-00002B3D0000}"/>
    <cellStyle name="Normal 3 18 10 2 2" xfId="27278" xr:uid="{00000000-0005-0000-0000-00002C3D0000}"/>
    <cellStyle name="Normal 3 18 10 3" xfId="9709" xr:uid="{00000000-0005-0000-0000-00002D3D0000}"/>
    <cellStyle name="Normal 3 18 10 3 2" xfId="27279" xr:uid="{00000000-0005-0000-0000-00002E3D0000}"/>
    <cellStyle name="Normal 3 18 10 4" xfId="9710" xr:uid="{00000000-0005-0000-0000-00002F3D0000}"/>
    <cellStyle name="Normal 3 18 10 4 2" xfId="27280" xr:uid="{00000000-0005-0000-0000-0000303D0000}"/>
    <cellStyle name="Normal 3 18 10 5" xfId="9711" xr:uid="{00000000-0005-0000-0000-0000313D0000}"/>
    <cellStyle name="Normal 3 18 10 5 2" xfId="27281" xr:uid="{00000000-0005-0000-0000-0000323D0000}"/>
    <cellStyle name="Normal 3 18 10 6" xfId="9712" xr:uid="{00000000-0005-0000-0000-0000333D0000}"/>
    <cellStyle name="Normal 3 18 10 6 2" xfId="27282" xr:uid="{00000000-0005-0000-0000-0000343D0000}"/>
    <cellStyle name="Normal 3 18 10 7" xfId="9713" xr:uid="{00000000-0005-0000-0000-0000353D0000}"/>
    <cellStyle name="Normal 3 18 10 7 2" xfId="27283" xr:uid="{00000000-0005-0000-0000-0000363D0000}"/>
    <cellStyle name="Normal 3 18 10 8" xfId="9714" xr:uid="{00000000-0005-0000-0000-0000373D0000}"/>
    <cellStyle name="Normal 3 18 10 8 2" xfId="27284" xr:uid="{00000000-0005-0000-0000-0000383D0000}"/>
    <cellStyle name="Normal 3 18 10 9" xfId="9715" xr:uid="{00000000-0005-0000-0000-0000393D0000}"/>
    <cellStyle name="Normal 3 18 10 9 2" xfId="27285" xr:uid="{00000000-0005-0000-0000-00003A3D0000}"/>
    <cellStyle name="Normal 3 18 11" xfId="9716" xr:uid="{00000000-0005-0000-0000-00003B3D0000}"/>
    <cellStyle name="Normal 3 18 11 10" xfId="9717" xr:uid="{00000000-0005-0000-0000-00003C3D0000}"/>
    <cellStyle name="Normal 3 18 11 10 2" xfId="27287" xr:uid="{00000000-0005-0000-0000-00003D3D0000}"/>
    <cellStyle name="Normal 3 18 11 11" xfId="9718" xr:uid="{00000000-0005-0000-0000-00003E3D0000}"/>
    <cellStyle name="Normal 3 18 11 11 2" xfId="27288" xr:uid="{00000000-0005-0000-0000-00003F3D0000}"/>
    <cellStyle name="Normal 3 18 11 12" xfId="9719" xr:uid="{00000000-0005-0000-0000-0000403D0000}"/>
    <cellStyle name="Normal 3 18 11 12 2" xfId="27289" xr:uid="{00000000-0005-0000-0000-0000413D0000}"/>
    <cellStyle name="Normal 3 18 11 13" xfId="9720" xr:uid="{00000000-0005-0000-0000-0000423D0000}"/>
    <cellStyle name="Normal 3 18 11 13 2" xfId="27290" xr:uid="{00000000-0005-0000-0000-0000433D0000}"/>
    <cellStyle name="Normal 3 18 11 14" xfId="9721" xr:uid="{00000000-0005-0000-0000-0000443D0000}"/>
    <cellStyle name="Normal 3 18 11 14 2" xfId="27291" xr:uid="{00000000-0005-0000-0000-0000453D0000}"/>
    <cellStyle name="Normal 3 18 11 15" xfId="27286" xr:uid="{00000000-0005-0000-0000-0000463D0000}"/>
    <cellStyle name="Normal 3 18 11 2" xfId="9722" xr:uid="{00000000-0005-0000-0000-0000473D0000}"/>
    <cellStyle name="Normal 3 18 11 2 2" xfId="27292" xr:uid="{00000000-0005-0000-0000-0000483D0000}"/>
    <cellStyle name="Normal 3 18 11 3" xfId="9723" xr:uid="{00000000-0005-0000-0000-0000493D0000}"/>
    <cellStyle name="Normal 3 18 11 3 2" xfId="27293" xr:uid="{00000000-0005-0000-0000-00004A3D0000}"/>
    <cellStyle name="Normal 3 18 11 4" xfId="9724" xr:uid="{00000000-0005-0000-0000-00004B3D0000}"/>
    <cellStyle name="Normal 3 18 11 4 2" xfId="27294" xr:uid="{00000000-0005-0000-0000-00004C3D0000}"/>
    <cellStyle name="Normal 3 18 11 5" xfId="9725" xr:uid="{00000000-0005-0000-0000-00004D3D0000}"/>
    <cellStyle name="Normal 3 18 11 5 2" xfId="27295" xr:uid="{00000000-0005-0000-0000-00004E3D0000}"/>
    <cellStyle name="Normal 3 18 11 6" xfId="9726" xr:uid="{00000000-0005-0000-0000-00004F3D0000}"/>
    <cellStyle name="Normal 3 18 11 6 2" xfId="27296" xr:uid="{00000000-0005-0000-0000-0000503D0000}"/>
    <cellStyle name="Normal 3 18 11 7" xfId="9727" xr:uid="{00000000-0005-0000-0000-0000513D0000}"/>
    <cellStyle name="Normal 3 18 11 7 2" xfId="27297" xr:uid="{00000000-0005-0000-0000-0000523D0000}"/>
    <cellStyle name="Normal 3 18 11 8" xfId="9728" xr:uid="{00000000-0005-0000-0000-0000533D0000}"/>
    <cellStyle name="Normal 3 18 11 8 2" xfId="27298" xr:uid="{00000000-0005-0000-0000-0000543D0000}"/>
    <cellStyle name="Normal 3 18 11 9" xfId="9729" xr:uid="{00000000-0005-0000-0000-0000553D0000}"/>
    <cellStyle name="Normal 3 18 11 9 2" xfId="27299" xr:uid="{00000000-0005-0000-0000-0000563D0000}"/>
    <cellStyle name="Normal 3 18 12" xfId="9730" xr:uid="{00000000-0005-0000-0000-0000573D0000}"/>
    <cellStyle name="Normal 3 18 12 10" xfId="9731" xr:uid="{00000000-0005-0000-0000-0000583D0000}"/>
    <cellStyle name="Normal 3 18 12 10 2" xfId="27301" xr:uid="{00000000-0005-0000-0000-0000593D0000}"/>
    <cellStyle name="Normal 3 18 12 11" xfId="9732" xr:uid="{00000000-0005-0000-0000-00005A3D0000}"/>
    <cellStyle name="Normal 3 18 12 11 2" xfId="27302" xr:uid="{00000000-0005-0000-0000-00005B3D0000}"/>
    <cellStyle name="Normal 3 18 12 12" xfId="9733" xr:uid="{00000000-0005-0000-0000-00005C3D0000}"/>
    <cellStyle name="Normal 3 18 12 12 2" xfId="27303" xr:uid="{00000000-0005-0000-0000-00005D3D0000}"/>
    <cellStyle name="Normal 3 18 12 13" xfId="9734" xr:uid="{00000000-0005-0000-0000-00005E3D0000}"/>
    <cellStyle name="Normal 3 18 12 13 2" xfId="27304" xr:uid="{00000000-0005-0000-0000-00005F3D0000}"/>
    <cellStyle name="Normal 3 18 12 14" xfId="9735" xr:uid="{00000000-0005-0000-0000-0000603D0000}"/>
    <cellStyle name="Normal 3 18 12 14 2" xfId="27305" xr:uid="{00000000-0005-0000-0000-0000613D0000}"/>
    <cellStyle name="Normal 3 18 12 15" xfId="27300" xr:uid="{00000000-0005-0000-0000-0000623D0000}"/>
    <cellStyle name="Normal 3 18 12 2" xfId="9736" xr:uid="{00000000-0005-0000-0000-0000633D0000}"/>
    <cellStyle name="Normal 3 18 12 2 2" xfId="27306" xr:uid="{00000000-0005-0000-0000-0000643D0000}"/>
    <cellStyle name="Normal 3 18 12 3" xfId="9737" xr:uid="{00000000-0005-0000-0000-0000653D0000}"/>
    <cellStyle name="Normal 3 18 12 3 2" xfId="27307" xr:uid="{00000000-0005-0000-0000-0000663D0000}"/>
    <cellStyle name="Normal 3 18 12 4" xfId="9738" xr:uid="{00000000-0005-0000-0000-0000673D0000}"/>
    <cellStyle name="Normal 3 18 12 4 2" xfId="27308" xr:uid="{00000000-0005-0000-0000-0000683D0000}"/>
    <cellStyle name="Normal 3 18 12 5" xfId="9739" xr:uid="{00000000-0005-0000-0000-0000693D0000}"/>
    <cellStyle name="Normal 3 18 12 5 2" xfId="27309" xr:uid="{00000000-0005-0000-0000-00006A3D0000}"/>
    <cellStyle name="Normal 3 18 12 6" xfId="9740" xr:uid="{00000000-0005-0000-0000-00006B3D0000}"/>
    <cellStyle name="Normal 3 18 12 6 2" xfId="27310" xr:uid="{00000000-0005-0000-0000-00006C3D0000}"/>
    <cellStyle name="Normal 3 18 12 7" xfId="9741" xr:uid="{00000000-0005-0000-0000-00006D3D0000}"/>
    <cellStyle name="Normal 3 18 12 7 2" xfId="27311" xr:uid="{00000000-0005-0000-0000-00006E3D0000}"/>
    <cellStyle name="Normal 3 18 12 8" xfId="9742" xr:uid="{00000000-0005-0000-0000-00006F3D0000}"/>
    <cellStyle name="Normal 3 18 12 8 2" xfId="27312" xr:uid="{00000000-0005-0000-0000-0000703D0000}"/>
    <cellStyle name="Normal 3 18 12 9" xfId="9743" xr:uid="{00000000-0005-0000-0000-0000713D0000}"/>
    <cellStyle name="Normal 3 18 12 9 2" xfId="27313" xr:uid="{00000000-0005-0000-0000-0000723D0000}"/>
    <cellStyle name="Normal 3 18 13" xfId="9744" xr:uid="{00000000-0005-0000-0000-0000733D0000}"/>
    <cellStyle name="Normal 3 18 13 10" xfId="9745" xr:uid="{00000000-0005-0000-0000-0000743D0000}"/>
    <cellStyle name="Normal 3 18 13 10 2" xfId="27315" xr:uid="{00000000-0005-0000-0000-0000753D0000}"/>
    <cellStyle name="Normal 3 18 13 11" xfId="9746" xr:uid="{00000000-0005-0000-0000-0000763D0000}"/>
    <cellStyle name="Normal 3 18 13 11 2" xfId="27316" xr:uid="{00000000-0005-0000-0000-0000773D0000}"/>
    <cellStyle name="Normal 3 18 13 12" xfId="9747" xr:uid="{00000000-0005-0000-0000-0000783D0000}"/>
    <cellStyle name="Normal 3 18 13 12 2" xfId="27317" xr:uid="{00000000-0005-0000-0000-0000793D0000}"/>
    <cellStyle name="Normal 3 18 13 13" xfId="9748" xr:uid="{00000000-0005-0000-0000-00007A3D0000}"/>
    <cellStyle name="Normal 3 18 13 13 2" xfId="27318" xr:uid="{00000000-0005-0000-0000-00007B3D0000}"/>
    <cellStyle name="Normal 3 18 13 14" xfId="9749" xr:uid="{00000000-0005-0000-0000-00007C3D0000}"/>
    <cellStyle name="Normal 3 18 13 14 2" xfId="27319" xr:uid="{00000000-0005-0000-0000-00007D3D0000}"/>
    <cellStyle name="Normal 3 18 13 15" xfId="27314" xr:uid="{00000000-0005-0000-0000-00007E3D0000}"/>
    <cellStyle name="Normal 3 18 13 2" xfId="9750" xr:uid="{00000000-0005-0000-0000-00007F3D0000}"/>
    <cellStyle name="Normal 3 18 13 2 2" xfId="27320" xr:uid="{00000000-0005-0000-0000-0000803D0000}"/>
    <cellStyle name="Normal 3 18 13 3" xfId="9751" xr:uid="{00000000-0005-0000-0000-0000813D0000}"/>
    <cellStyle name="Normal 3 18 13 3 2" xfId="27321" xr:uid="{00000000-0005-0000-0000-0000823D0000}"/>
    <cellStyle name="Normal 3 18 13 4" xfId="9752" xr:uid="{00000000-0005-0000-0000-0000833D0000}"/>
    <cellStyle name="Normal 3 18 13 4 2" xfId="27322" xr:uid="{00000000-0005-0000-0000-0000843D0000}"/>
    <cellStyle name="Normal 3 18 13 5" xfId="9753" xr:uid="{00000000-0005-0000-0000-0000853D0000}"/>
    <cellStyle name="Normal 3 18 13 5 2" xfId="27323" xr:uid="{00000000-0005-0000-0000-0000863D0000}"/>
    <cellStyle name="Normal 3 18 13 6" xfId="9754" xr:uid="{00000000-0005-0000-0000-0000873D0000}"/>
    <cellStyle name="Normal 3 18 13 6 2" xfId="27324" xr:uid="{00000000-0005-0000-0000-0000883D0000}"/>
    <cellStyle name="Normal 3 18 13 7" xfId="9755" xr:uid="{00000000-0005-0000-0000-0000893D0000}"/>
    <cellStyle name="Normal 3 18 13 7 2" xfId="27325" xr:uid="{00000000-0005-0000-0000-00008A3D0000}"/>
    <cellStyle name="Normal 3 18 13 8" xfId="9756" xr:uid="{00000000-0005-0000-0000-00008B3D0000}"/>
    <cellStyle name="Normal 3 18 13 8 2" xfId="27326" xr:uid="{00000000-0005-0000-0000-00008C3D0000}"/>
    <cellStyle name="Normal 3 18 13 9" xfId="9757" xr:uid="{00000000-0005-0000-0000-00008D3D0000}"/>
    <cellStyle name="Normal 3 18 13 9 2" xfId="27327" xr:uid="{00000000-0005-0000-0000-00008E3D0000}"/>
    <cellStyle name="Normal 3 18 14" xfId="9758" xr:uid="{00000000-0005-0000-0000-00008F3D0000}"/>
    <cellStyle name="Normal 3 18 14 10" xfId="9759" xr:uid="{00000000-0005-0000-0000-0000903D0000}"/>
    <cellStyle name="Normal 3 18 14 10 2" xfId="27329" xr:uid="{00000000-0005-0000-0000-0000913D0000}"/>
    <cellStyle name="Normal 3 18 14 11" xfId="9760" xr:uid="{00000000-0005-0000-0000-0000923D0000}"/>
    <cellStyle name="Normal 3 18 14 11 2" xfId="27330" xr:uid="{00000000-0005-0000-0000-0000933D0000}"/>
    <cellStyle name="Normal 3 18 14 12" xfId="9761" xr:uid="{00000000-0005-0000-0000-0000943D0000}"/>
    <cellStyle name="Normal 3 18 14 12 2" xfId="27331" xr:uid="{00000000-0005-0000-0000-0000953D0000}"/>
    <cellStyle name="Normal 3 18 14 13" xfId="9762" xr:uid="{00000000-0005-0000-0000-0000963D0000}"/>
    <cellStyle name="Normal 3 18 14 13 2" xfId="27332" xr:uid="{00000000-0005-0000-0000-0000973D0000}"/>
    <cellStyle name="Normal 3 18 14 14" xfId="9763" xr:uid="{00000000-0005-0000-0000-0000983D0000}"/>
    <cellStyle name="Normal 3 18 14 14 2" xfId="27333" xr:uid="{00000000-0005-0000-0000-0000993D0000}"/>
    <cellStyle name="Normal 3 18 14 15" xfId="27328" xr:uid="{00000000-0005-0000-0000-00009A3D0000}"/>
    <cellStyle name="Normal 3 18 14 2" xfId="9764" xr:uid="{00000000-0005-0000-0000-00009B3D0000}"/>
    <cellStyle name="Normal 3 18 14 2 2" xfId="27334" xr:uid="{00000000-0005-0000-0000-00009C3D0000}"/>
    <cellStyle name="Normal 3 18 14 3" xfId="9765" xr:uid="{00000000-0005-0000-0000-00009D3D0000}"/>
    <cellStyle name="Normal 3 18 14 3 2" xfId="27335" xr:uid="{00000000-0005-0000-0000-00009E3D0000}"/>
    <cellStyle name="Normal 3 18 14 4" xfId="9766" xr:uid="{00000000-0005-0000-0000-00009F3D0000}"/>
    <cellStyle name="Normal 3 18 14 4 2" xfId="27336" xr:uid="{00000000-0005-0000-0000-0000A03D0000}"/>
    <cellStyle name="Normal 3 18 14 5" xfId="9767" xr:uid="{00000000-0005-0000-0000-0000A13D0000}"/>
    <cellStyle name="Normal 3 18 14 5 2" xfId="27337" xr:uid="{00000000-0005-0000-0000-0000A23D0000}"/>
    <cellStyle name="Normal 3 18 14 6" xfId="9768" xr:uid="{00000000-0005-0000-0000-0000A33D0000}"/>
    <cellStyle name="Normal 3 18 14 6 2" xfId="27338" xr:uid="{00000000-0005-0000-0000-0000A43D0000}"/>
    <cellStyle name="Normal 3 18 14 7" xfId="9769" xr:uid="{00000000-0005-0000-0000-0000A53D0000}"/>
    <cellStyle name="Normal 3 18 14 7 2" xfId="27339" xr:uid="{00000000-0005-0000-0000-0000A63D0000}"/>
    <cellStyle name="Normal 3 18 14 8" xfId="9770" xr:uid="{00000000-0005-0000-0000-0000A73D0000}"/>
    <cellStyle name="Normal 3 18 14 8 2" xfId="27340" xr:uid="{00000000-0005-0000-0000-0000A83D0000}"/>
    <cellStyle name="Normal 3 18 14 9" xfId="9771" xr:uid="{00000000-0005-0000-0000-0000A93D0000}"/>
    <cellStyle name="Normal 3 18 14 9 2" xfId="27341" xr:uid="{00000000-0005-0000-0000-0000AA3D0000}"/>
    <cellStyle name="Normal 3 18 15" xfId="9772" xr:uid="{00000000-0005-0000-0000-0000AB3D0000}"/>
    <cellStyle name="Normal 3 18 15 2" xfId="27342" xr:uid="{00000000-0005-0000-0000-0000AC3D0000}"/>
    <cellStyle name="Normal 3 18 16" xfId="9773" xr:uid="{00000000-0005-0000-0000-0000AD3D0000}"/>
    <cellStyle name="Normal 3 18 16 2" xfId="27343" xr:uid="{00000000-0005-0000-0000-0000AE3D0000}"/>
    <cellStyle name="Normal 3 18 17" xfId="9774" xr:uid="{00000000-0005-0000-0000-0000AF3D0000}"/>
    <cellStyle name="Normal 3 18 17 2" xfId="27344" xr:uid="{00000000-0005-0000-0000-0000B03D0000}"/>
    <cellStyle name="Normal 3 18 18" xfId="9775" xr:uid="{00000000-0005-0000-0000-0000B13D0000}"/>
    <cellStyle name="Normal 3 18 18 2" xfId="27345" xr:uid="{00000000-0005-0000-0000-0000B23D0000}"/>
    <cellStyle name="Normal 3 18 19" xfId="9776" xr:uid="{00000000-0005-0000-0000-0000B33D0000}"/>
    <cellStyle name="Normal 3 18 19 2" xfId="27346" xr:uid="{00000000-0005-0000-0000-0000B43D0000}"/>
    <cellStyle name="Normal 3 18 2" xfId="9777" xr:uid="{00000000-0005-0000-0000-0000B53D0000}"/>
    <cellStyle name="Normal 3 18 20" xfId="9778" xr:uid="{00000000-0005-0000-0000-0000B63D0000}"/>
    <cellStyle name="Normal 3 18 20 2" xfId="27347" xr:uid="{00000000-0005-0000-0000-0000B73D0000}"/>
    <cellStyle name="Normal 3 18 21" xfId="9779" xr:uid="{00000000-0005-0000-0000-0000B83D0000}"/>
    <cellStyle name="Normal 3 18 21 2" xfId="27348" xr:uid="{00000000-0005-0000-0000-0000B93D0000}"/>
    <cellStyle name="Normal 3 18 22" xfId="9780" xr:uid="{00000000-0005-0000-0000-0000BA3D0000}"/>
    <cellStyle name="Normal 3 18 22 2" xfId="27349" xr:uid="{00000000-0005-0000-0000-0000BB3D0000}"/>
    <cellStyle name="Normal 3 18 23" xfId="9781" xr:uid="{00000000-0005-0000-0000-0000BC3D0000}"/>
    <cellStyle name="Normal 3 18 23 2" xfId="27350" xr:uid="{00000000-0005-0000-0000-0000BD3D0000}"/>
    <cellStyle name="Normal 3 18 24" xfId="9782" xr:uid="{00000000-0005-0000-0000-0000BE3D0000}"/>
    <cellStyle name="Normal 3 18 24 2" xfId="27351" xr:uid="{00000000-0005-0000-0000-0000BF3D0000}"/>
    <cellStyle name="Normal 3 18 25" xfId="9783" xr:uid="{00000000-0005-0000-0000-0000C03D0000}"/>
    <cellStyle name="Normal 3 18 25 2" xfId="27352" xr:uid="{00000000-0005-0000-0000-0000C13D0000}"/>
    <cellStyle name="Normal 3 18 26" xfId="9784" xr:uid="{00000000-0005-0000-0000-0000C23D0000}"/>
    <cellStyle name="Normal 3 18 26 2" xfId="27353" xr:uid="{00000000-0005-0000-0000-0000C33D0000}"/>
    <cellStyle name="Normal 3 18 27" xfId="9785" xr:uid="{00000000-0005-0000-0000-0000C43D0000}"/>
    <cellStyle name="Normal 3 18 27 2" xfId="27354" xr:uid="{00000000-0005-0000-0000-0000C53D0000}"/>
    <cellStyle name="Normal 3 18 28" xfId="27271" xr:uid="{00000000-0005-0000-0000-0000C63D0000}"/>
    <cellStyle name="Normal 3 18 3" xfId="9786" xr:uid="{00000000-0005-0000-0000-0000C73D0000}"/>
    <cellStyle name="Normal 3 18 4" xfId="9787" xr:uid="{00000000-0005-0000-0000-0000C83D0000}"/>
    <cellStyle name="Normal 3 18 5" xfId="9788" xr:uid="{00000000-0005-0000-0000-0000C93D0000}"/>
    <cellStyle name="Normal 3 18 6" xfId="9789" xr:uid="{00000000-0005-0000-0000-0000CA3D0000}"/>
    <cellStyle name="Normal 3 18 6 10" xfId="9790" xr:uid="{00000000-0005-0000-0000-0000CB3D0000}"/>
    <cellStyle name="Normal 3 18 6 10 2" xfId="27356" xr:uid="{00000000-0005-0000-0000-0000CC3D0000}"/>
    <cellStyle name="Normal 3 18 6 11" xfId="9791" xr:uid="{00000000-0005-0000-0000-0000CD3D0000}"/>
    <cellStyle name="Normal 3 18 6 11 2" xfId="27357" xr:uid="{00000000-0005-0000-0000-0000CE3D0000}"/>
    <cellStyle name="Normal 3 18 6 12" xfId="9792" xr:uid="{00000000-0005-0000-0000-0000CF3D0000}"/>
    <cellStyle name="Normal 3 18 6 12 2" xfId="27358" xr:uid="{00000000-0005-0000-0000-0000D03D0000}"/>
    <cellStyle name="Normal 3 18 6 13" xfId="9793" xr:uid="{00000000-0005-0000-0000-0000D13D0000}"/>
    <cellStyle name="Normal 3 18 6 13 2" xfId="27359" xr:uid="{00000000-0005-0000-0000-0000D23D0000}"/>
    <cellStyle name="Normal 3 18 6 14" xfId="9794" xr:uid="{00000000-0005-0000-0000-0000D33D0000}"/>
    <cellStyle name="Normal 3 18 6 14 2" xfId="27360" xr:uid="{00000000-0005-0000-0000-0000D43D0000}"/>
    <cellStyle name="Normal 3 18 6 15" xfId="9795" xr:uid="{00000000-0005-0000-0000-0000D53D0000}"/>
    <cellStyle name="Normal 3 18 6 15 2" xfId="27361" xr:uid="{00000000-0005-0000-0000-0000D63D0000}"/>
    <cellStyle name="Normal 3 18 6 16" xfId="27355" xr:uid="{00000000-0005-0000-0000-0000D73D0000}"/>
    <cellStyle name="Normal 3 18 6 2" xfId="9796" xr:uid="{00000000-0005-0000-0000-0000D83D0000}"/>
    <cellStyle name="Normal 3 18 6 2 10" xfId="9797" xr:uid="{00000000-0005-0000-0000-0000D93D0000}"/>
    <cellStyle name="Normal 3 18 6 2 10 2" xfId="27363" xr:uid="{00000000-0005-0000-0000-0000DA3D0000}"/>
    <cellStyle name="Normal 3 18 6 2 11" xfId="9798" xr:uid="{00000000-0005-0000-0000-0000DB3D0000}"/>
    <cellStyle name="Normal 3 18 6 2 11 2" xfId="27364" xr:uid="{00000000-0005-0000-0000-0000DC3D0000}"/>
    <cellStyle name="Normal 3 18 6 2 12" xfId="9799" xr:uid="{00000000-0005-0000-0000-0000DD3D0000}"/>
    <cellStyle name="Normal 3 18 6 2 12 2" xfId="27365" xr:uid="{00000000-0005-0000-0000-0000DE3D0000}"/>
    <cellStyle name="Normal 3 18 6 2 13" xfId="9800" xr:uid="{00000000-0005-0000-0000-0000DF3D0000}"/>
    <cellStyle name="Normal 3 18 6 2 13 2" xfId="27366" xr:uid="{00000000-0005-0000-0000-0000E03D0000}"/>
    <cellStyle name="Normal 3 18 6 2 14" xfId="9801" xr:uid="{00000000-0005-0000-0000-0000E13D0000}"/>
    <cellStyle name="Normal 3 18 6 2 14 2" xfId="27367" xr:uid="{00000000-0005-0000-0000-0000E23D0000}"/>
    <cellStyle name="Normal 3 18 6 2 15" xfId="27362" xr:uid="{00000000-0005-0000-0000-0000E33D0000}"/>
    <cellStyle name="Normal 3 18 6 2 2" xfId="9802" xr:uid="{00000000-0005-0000-0000-0000E43D0000}"/>
    <cellStyle name="Normal 3 18 6 2 2 2" xfId="27368" xr:uid="{00000000-0005-0000-0000-0000E53D0000}"/>
    <cellStyle name="Normal 3 18 6 2 3" xfId="9803" xr:uid="{00000000-0005-0000-0000-0000E63D0000}"/>
    <cellStyle name="Normal 3 18 6 2 3 2" xfId="27369" xr:uid="{00000000-0005-0000-0000-0000E73D0000}"/>
    <cellStyle name="Normal 3 18 6 2 4" xfId="9804" xr:uid="{00000000-0005-0000-0000-0000E83D0000}"/>
    <cellStyle name="Normal 3 18 6 2 4 2" xfId="27370" xr:uid="{00000000-0005-0000-0000-0000E93D0000}"/>
    <cellStyle name="Normal 3 18 6 2 5" xfId="9805" xr:uid="{00000000-0005-0000-0000-0000EA3D0000}"/>
    <cellStyle name="Normal 3 18 6 2 5 2" xfId="27371" xr:uid="{00000000-0005-0000-0000-0000EB3D0000}"/>
    <cellStyle name="Normal 3 18 6 2 6" xfId="9806" xr:uid="{00000000-0005-0000-0000-0000EC3D0000}"/>
    <cellStyle name="Normal 3 18 6 2 6 2" xfId="27372" xr:uid="{00000000-0005-0000-0000-0000ED3D0000}"/>
    <cellStyle name="Normal 3 18 6 2 7" xfId="9807" xr:uid="{00000000-0005-0000-0000-0000EE3D0000}"/>
    <cellStyle name="Normal 3 18 6 2 7 2" xfId="27373" xr:uid="{00000000-0005-0000-0000-0000EF3D0000}"/>
    <cellStyle name="Normal 3 18 6 2 8" xfId="9808" xr:uid="{00000000-0005-0000-0000-0000F03D0000}"/>
    <cellStyle name="Normal 3 18 6 2 8 2" xfId="27374" xr:uid="{00000000-0005-0000-0000-0000F13D0000}"/>
    <cellStyle name="Normal 3 18 6 2 9" xfId="9809" xr:uid="{00000000-0005-0000-0000-0000F23D0000}"/>
    <cellStyle name="Normal 3 18 6 2 9 2" xfId="27375" xr:uid="{00000000-0005-0000-0000-0000F33D0000}"/>
    <cellStyle name="Normal 3 18 6 3" xfId="9810" xr:uid="{00000000-0005-0000-0000-0000F43D0000}"/>
    <cellStyle name="Normal 3 18 6 3 2" xfId="27376" xr:uid="{00000000-0005-0000-0000-0000F53D0000}"/>
    <cellStyle name="Normal 3 18 6 4" xfId="9811" xr:uid="{00000000-0005-0000-0000-0000F63D0000}"/>
    <cellStyle name="Normal 3 18 6 4 2" xfId="27377" xr:uid="{00000000-0005-0000-0000-0000F73D0000}"/>
    <cellStyle name="Normal 3 18 6 5" xfId="9812" xr:uid="{00000000-0005-0000-0000-0000F83D0000}"/>
    <cellStyle name="Normal 3 18 6 5 2" xfId="27378" xr:uid="{00000000-0005-0000-0000-0000F93D0000}"/>
    <cellStyle name="Normal 3 18 6 6" xfId="9813" xr:uid="{00000000-0005-0000-0000-0000FA3D0000}"/>
    <cellStyle name="Normal 3 18 6 6 2" xfId="27379" xr:uid="{00000000-0005-0000-0000-0000FB3D0000}"/>
    <cellStyle name="Normal 3 18 6 7" xfId="9814" xr:uid="{00000000-0005-0000-0000-0000FC3D0000}"/>
    <cellStyle name="Normal 3 18 6 7 2" xfId="27380" xr:uid="{00000000-0005-0000-0000-0000FD3D0000}"/>
    <cellStyle name="Normal 3 18 6 8" xfId="9815" xr:uid="{00000000-0005-0000-0000-0000FE3D0000}"/>
    <cellStyle name="Normal 3 18 6 8 2" xfId="27381" xr:uid="{00000000-0005-0000-0000-0000FF3D0000}"/>
    <cellStyle name="Normal 3 18 6 9" xfId="9816" xr:uid="{00000000-0005-0000-0000-0000003E0000}"/>
    <cellStyle name="Normal 3 18 6 9 2" xfId="27382" xr:uid="{00000000-0005-0000-0000-0000013E0000}"/>
    <cellStyle name="Normal 3 18 7" xfId="9817" xr:uid="{00000000-0005-0000-0000-0000023E0000}"/>
    <cellStyle name="Normal 3 18 7 10" xfId="9818" xr:uid="{00000000-0005-0000-0000-0000033E0000}"/>
    <cellStyle name="Normal 3 18 7 10 2" xfId="27384" xr:uid="{00000000-0005-0000-0000-0000043E0000}"/>
    <cellStyle name="Normal 3 18 7 11" xfId="9819" xr:uid="{00000000-0005-0000-0000-0000053E0000}"/>
    <cellStyle name="Normal 3 18 7 11 2" xfId="27385" xr:uid="{00000000-0005-0000-0000-0000063E0000}"/>
    <cellStyle name="Normal 3 18 7 12" xfId="9820" xr:uid="{00000000-0005-0000-0000-0000073E0000}"/>
    <cellStyle name="Normal 3 18 7 12 2" xfId="27386" xr:uid="{00000000-0005-0000-0000-0000083E0000}"/>
    <cellStyle name="Normal 3 18 7 13" xfId="9821" xr:uid="{00000000-0005-0000-0000-0000093E0000}"/>
    <cellStyle name="Normal 3 18 7 13 2" xfId="27387" xr:uid="{00000000-0005-0000-0000-00000A3E0000}"/>
    <cellStyle name="Normal 3 18 7 14" xfId="9822" xr:uid="{00000000-0005-0000-0000-00000B3E0000}"/>
    <cellStyle name="Normal 3 18 7 14 2" xfId="27388" xr:uid="{00000000-0005-0000-0000-00000C3E0000}"/>
    <cellStyle name="Normal 3 18 7 15" xfId="9823" xr:uid="{00000000-0005-0000-0000-00000D3E0000}"/>
    <cellStyle name="Normal 3 18 7 15 2" xfId="27389" xr:uid="{00000000-0005-0000-0000-00000E3E0000}"/>
    <cellStyle name="Normal 3 18 7 16" xfId="27383" xr:uid="{00000000-0005-0000-0000-00000F3E0000}"/>
    <cellStyle name="Normal 3 18 7 2" xfId="9824" xr:uid="{00000000-0005-0000-0000-0000103E0000}"/>
    <cellStyle name="Normal 3 18 7 2 10" xfId="9825" xr:uid="{00000000-0005-0000-0000-0000113E0000}"/>
    <cellStyle name="Normal 3 18 7 2 10 2" xfId="27391" xr:uid="{00000000-0005-0000-0000-0000123E0000}"/>
    <cellStyle name="Normal 3 18 7 2 11" xfId="9826" xr:uid="{00000000-0005-0000-0000-0000133E0000}"/>
    <cellStyle name="Normal 3 18 7 2 11 2" xfId="27392" xr:uid="{00000000-0005-0000-0000-0000143E0000}"/>
    <cellStyle name="Normal 3 18 7 2 12" xfId="9827" xr:uid="{00000000-0005-0000-0000-0000153E0000}"/>
    <cellStyle name="Normal 3 18 7 2 12 2" xfId="27393" xr:uid="{00000000-0005-0000-0000-0000163E0000}"/>
    <cellStyle name="Normal 3 18 7 2 13" xfId="9828" xr:uid="{00000000-0005-0000-0000-0000173E0000}"/>
    <cellStyle name="Normal 3 18 7 2 13 2" xfId="27394" xr:uid="{00000000-0005-0000-0000-0000183E0000}"/>
    <cellStyle name="Normal 3 18 7 2 14" xfId="9829" xr:uid="{00000000-0005-0000-0000-0000193E0000}"/>
    <cellStyle name="Normal 3 18 7 2 14 2" xfId="27395" xr:uid="{00000000-0005-0000-0000-00001A3E0000}"/>
    <cellStyle name="Normal 3 18 7 2 15" xfId="27390" xr:uid="{00000000-0005-0000-0000-00001B3E0000}"/>
    <cellStyle name="Normal 3 18 7 2 2" xfId="9830" xr:uid="{00000000-0005-0000-0000-00001C3E0000}"/>
    <cellStyle name="Normal 3 18 7 2 2 2" xfId="27396" xr:uid="{00000000-0005-0000-0000-00001D3E0000}"/>
    <cellStyle name="Normal 3 18 7 2 3" xfId="9831" xr:uid="{00000000-0005-0000-0000-00001E3E0000}"/>
    <cellStyle name="Normal 3 18 7 2 3 2" xfId="27397" xr:uid="{00000000-0005-0000-0000-00001F3E0000}"/>
    <cellStyle name="Normal 3 18 7 2 4" xfId="9832" xr:uid="{00000000-0005-0000-0000-0000203E0000}"/>
    <cellStyle name="Normal 3 18 7 2 4 2" xfId="27398" xr:uid="{00000000-0005-0000-0000-0000213E0000}"/>
    <cellStyle name="Normal 3 18 7 2 5" xfId="9833" xr:uid="{00000000-0005-0000-0000-0000223E0000}"/>
    <cellStyle name="Normal 3 18 7 2 5 2" xfId="27399" xr:uid="{00000000-0005-0000-0000-0000233E0000}"/>
    <cellStyle name="Normal 3 18 7 2 6" xfId="9834" xr:uid="{00000000-0005-0000-0000-0000243E0000}"/>
    <cellStyle name="Normal 3 18 7 2 6 2" xfId="27400" xr:uid="{00000000-0005-0000-0000-0000253E0000}"/>
    <cellStyle name="Normal 3 18 7 2 7" xfId="9835" xr:uid="{00000000-0005-0000-0000-0000263E0000}"/>
    <cellStyle name="Normal 3 18 7 2 7 2" xfId="27401" xr:uid="{00000000-0005-0000-0000-0000273E0000}"/>
    <cellStyle name="Normal 3 18 7 2 8" xfId="9836" xr:uid="{00000000-0005-0000-0000-0000283E0000}"/>
    <cellStyle name="Normal 3 18 7 2 8 2" xfId="27402" xr:uid="{00000000-0005-0000-0000-0000293E0000}"/>
    <cellStyle name="Normal 3 18 7 2 9" xfId="9837" xr:uid="{00000000-0005-0000-0000-00002A3E0000}"/>
    <cellStyle name="Normal 3 18 7 2 9 2" xfId="27403" xr:uid="{00000000-0005-0000-0000-00002B3E0000}"/>
    <cellStyle name="Normal 3 18 7 3" xfId="9838" xr:uid="{00000000-0005-0000-0000-00002C3E0000}"/>
    <cellStyle name="Normal 3 18 7 3 2" xfId="27404" xr:uid="{00000000-0005-0000-0000-00002D3E0000}"/>
    <cellStyle name="Normal 3 18 7 4" xfId="9839" xr:uid="{00000000-0005-0000-0000-00002E3E0000}"/>
    <cellStyle name="Normal 3 18 7 4 2" xfId="27405" xr:uid="{00000000-0005-0000-0000-00002F3E0000}"/>
    <cellStyle name="Normal 3 18 7 5" xfId="9840" xr:uid="{00000000-0005-0000-0000-0000303E0000}"/>
    <cellStyle name="Normal 3 18 7 5 2" xfId="27406" xr:uid="{00000000-0005-0000-0000-0000313E0000}"/>
    <cellStyle name="Normal 3 18 7 6" xfId="9841" xr:uid="{00000000-0005-0000-0000-0000323E0000}"/>
    <cellStyle name="Normal 3 18 7 6 2" xfId="27407" xr:uid="{00000000-0005-0000-0000-0000333E0000}"/>
    <cellStyle name="Normal 3 18 7 7" xfId="9842" xr:uid="{00000000-0005-0000-0000-0000343E0000}"/>
    <cellStyle name="Normal 3 18 7 7 2" xfId="27408" xr:uid="{00000000-0005-0000-0000-0000353E0000}"/>
    <cellStyle name="Normal 3 18 7 8" xfId="9843" xr:uid="{00000000-0005-0000-0000-0000363E0000}"/>
    <cellStyle name="Normal 3 18 7 8 2" xfId="27409" xr:uid="{00000000-0005-0000-0000-0000373E0000}"/>
    <cellStyle name="Normal 3 18 7 9" xfId="9844" xr:uid="{00000000-0005-0000-0000-0000383E0000}"/>
    <cellStyle name="Normal 3 18 7 9 2" xfId="27410" xr:uid="{00000000-0005-0000-0000-0000393E0000}"/>
    <cellStyle name="Normal 3 18 8" xfId="9845" xr:uid="{00000000-0005-0000-0000-00003A3E0000}"/>
    <cellStyle name="Normal 3 18 8 10" xfId="9846" xr:uid="{00000000-0005-0000-0000-00003B3E0000}"/>
    <cellStyle name="Normal 3 18 8 10 2" xfId="27412" xr:uid="{00000000-0005-0000-0000-00003C3E0000}"/>
    <cellStyle name="Normal 3 18 8 11" xfId="9847" xr:uid="{00000000-0005-0000-0000-00003D3E0000}"/>
    <cellStyle name="Normal 3 18 8 11 2" xfId="27413" xr:uid="{00000000-0005-0000-0000-00003E3E0000}"/>
    <cellStyle name="Normal 3 18 8 12" xfId="9848" xr:uid="{00000000-0005-0000-0000-00003F3E0000}"/>
    <cellStyle name="Normal 3 18 8 12 2" xfId="27414" xr:uid="{00000000-0005-0000-0000-0000403E0000}"/>
    <cellStyle name="Normal 3 18 8 13" xfId="9849" xr:uid="{00000000-0005-0000-0000-0000413E0000}"/>
    <cellStyle name="Normal 3 18 8 13 2" xfId="27415" xr:uid="{00000000-0005-0000-0000-0000423E0000}"/>
    <cellStyle name="Normal 3 18 8 14" xfId="9850" xr:uid="{00000000-0005-0000-0000-0000433E0000}"/>
    <cellStyle name="Normal 3 18 8 14 2" xfId="27416" xr:uid="{00000000-0005-0000-0000-0000443E0000}"/>
    <cellStyle name="Normal 3 18 8 15" xfId="9851" xr:uid="{00000000-0005-0000-0000-0000453E0000}"/>
    <cellStyle name="Normal 3 18 8 15 2" xfId="27417" xr:uid="{00000000-0005-0000-0000-0000463E0000}"/>
    <cellStyle name="Normal 3 18 8 16" xfId="27411" xr:uid="{00000000-0005-0000-0000-0000473E0000}"/>
    <cellStyle name="Normal 3 18 8 2" xfId="9852" xr:uid="{00000000-0005-0000-0000-0000483E0000}"/>
    <cellStyle name="Normal 3 18 8 2 10" xfId="9853" xr:uid="{00000000-0005-0000-0000-0000493E0000}"/>
    <cellStyle name="Normal 3 18 8 2 10 2" xfId="27419" xr:uid="{00000000-0005-0000-0000-00004A3E0000}"/>
    <cellStyle name="Normal 3 18 8 2 11" xfId="9854" xr:uid="{00000000-0005-0000-0000-00004B3E0000}"/>
    <cellStyle name="Normal 3 18 8 2 11 2" xfId="27420" xr:uid="{00000000-0005-0000-0000-00004C3E0000}"/>
    <cellStyle name="Normal 3 18 8 2 12" xfId="9855" xr:uid="{00000000-0005-0000-0000-00004D3E0000}"/>
    <cellStyle name="Normal 3 18 8 2 12 2" xfId="27421" xr:uid="{00000000-0005-0000-0000-00004E3E0000}"/>
    <cellStyle name="Normal 3 18 8 2 13" xfId="9856" xr:uid="{00000000-0005-0000-0000-00004F3E0000}"/>
    <cellStyle name="Normal 3 18 8 2 13 2" xfId="27422" xr:uid="{00000000-0005-0000-0000-0000503E0000}"/>
    <cellStyle name="Normal 3 18 8 2 14" xfId="9857" xr:uid="{00000000-0005-0000-0000-0000513E0000}"/>
    <cellStyle name="Normal 3 18 8 2 14 2" xfId="27423" xr:uid="{00000000-0005-0000-0000-0000523E0000}"/>
    <cellStyle name="Normal 3 18 8 2 15" xfId="27418" xr:uid="{00000000-0005-0000-0000-0000533E0000}"/>
    <cellStyle name="Normal 3 18 8 2 2" xfId="9858" xr:uid="{00000000-0005-0000-0000-0000543E0000}"/>
    <cellStyle name="Normal 3 18 8 2 2 2" xfId="27424" xr:uid="{00000000-0005-0000-0000-0000553E0000}"/>
    <cellStyle name="Normal 3 18 8 2 3" xfId="9859" xr:uid="{00000000-0005-0000-0000-0000563E0000}"/>
    <cellStyle name="Normal 3 18 8 2 3 2" xfId="27425" xr:uid="{00000000-0005-0000-0000-0000573E0000}"/>
    <cellStyle name="Normal 3 18 8 2 4" xfId="9860" xr:uid="{00000000-0005-0000-0000-0000583E0000}"/>
    <cellStyle name="Normal 3 18 8 2 4 2" xfId="27426" xr:uid="{00000000-0005-0000-0000-0000593E0000}"/>
    <cellStyle name="Normal 3 18 8 2 5" xfId="9861" xr:uid="{00000000-0005-0000-0000-00005A3E0000}"/>
    <cellStyle name="Normal 3 18 8 2 5 2" xfId="27427" xr:uid="{00000000-0005-0000-0000-00005B3E0000}"/>
    <cellStyle name="Normal 3 18 8 2 6" xfId="9862" xr:uid="{00000000-0005-0000-0000-00005C3E0000}"/>
    <cellStyle name="Normal 3 18 8 2 6 2" xfId="27428" xr:uid="{00000000-0005-0000-0000-00005D3E0000}"/>
    <cellStyle name="Normal 3 18 8 2 7" xfId="9863" xr:uid="{00000000-0005-0000-0000-00005E3E0000}"/>
    <cellStyle name="Normal 3 18 8 2 7 2" xfId="27429" xr:uid="{00000000-0005-0000-0000-00005F3E0000}"/>
    <cellStyle name="Normal 3 18 8 2 8" xfId="9864" xr:uid="{00000000-0005-0000-0000-0000603E0000}"/>
    <cellStyle name="Normal 3 18 8 2 8 2" xfId="27430" xr:uid="{00000000-0005-0000-0000-0000613E0000}"/>
    <cellStyle name="Normal 3 18 8 2 9" xfId="9865" xr:uid="{00000000-0005-0000-0000-0000623E0000}"/>
    <cellStyle name="Normal 3 18 8 2 9 2" xfId="27431" xr:uid="{00000000-0005-0000-0000-0000633E0000}"/>
    <cellStyle name="Normal 3 18 8 3" xfId="9866" xr:uid="{00000000-0005-0000-0000-0000643E0000}"/>
    <cellStyle name="Normal 3 18 8 3 2" xfId="27432" xr:uid="{00000000-0005-0000-0000-0000653E0000}"/>
    <cellStyle name="Normal 3 18 8 4" xfId="9867" xr:uid="{00000000-0005-0000-0000-0000663E0000}"/>
    <cellStyle name="Normal 3 18 8 4 2" xfId="27433" xr:uid="{00000000-0005-0000-0000-0000673E0000}"/>
    <cellStyle name="Normal 3 18 8 5" xfId="9868" xr:uid="{00000000-0005-0000-0000-0000683E0000}"/>
    <cellStyle name="Normal 3 18 8 5 2" xfId="27434" xr:uid="{00000000-0005-0000-0000-0000693E0000}"/>
    <cellStyle name="Normal 3 18 8 6" xfId="9869" xr:uid="{00000000-0005-0000-0000-00006A3E0000}"/>
    <cellStyle name="Normal 3 18 8 6 2" xfId="27435" xr:uid="{00000000-0005-0000-0000-00006B3E0000}"/>
    <cellStyle name="Normal 3 18 8 7" xfId="9870" xr:uid="{00000000-0005-0000-0000-00006C3E0000}"/>
    <cellStyle name="Normal 3 18 8 7 2" xfId="27436" xr:uid="{00000000-0005-0000-0000-00006D3E0000}"/>
    <cellStyle name="Normal 3 18 8 8" xfId="9871" xr:uid="{00000000-0005-0000-0000-00006E3E0000}"/>
    <cellStyle name="Normal 3 18 8 8 2" xfId="27437" xr:uid="{00000000-0005-0000-0000-00006F3E0000}"/>
    <cellStyle name="Normal 3 18 8 9" xfId="9872" xr:uid="{00000000-0005-0000-0000-0000703E0000}"/>
    <cellStyle name="Normal 3 18 8 9 2" xfId="27438" xr:uid="{00000000-0005-0000-0000-0000713E0000}"/>
    <cellStyle name="Normal 3 18 9" xfId="9873" xr:uid="{00000000-0005-0000-0000-0000723E0000}"/>
    <cellStyle name="Normal 3 18 9 10" xfId="9874" xr:uid="{00000000-0005-0000-0000-0000733E0000}"/>
    <cellStyle name="Normal 3 18 9 10 2" xfId="27440" xr:uid="{00000000-0005-0000-0000-0000743E0000}"/>
    <cellStyle name="Normal 3 18 9 11" xfId="9875" xr:uid="{00000000-0005-0000-0000-0000753E0000}"/>
    <cellStyle name="Normal 3 18 9 11 2" xfId="27441" xr:uid="{00000000-0005-0000-0000-0000763E0000}"/>
    <cellStyle name="Normal 3 18 9 12" xfId="9876" xr:uid="{00000000-0005-0000-0000-0000773E0000}"/>
    <cellStyle name="Normal 3 18 9 12 2" xfId="27442" xr:uid="{00000000-0005-0000-0000-0000783E0000}"/>
    <cellStyle name="Normal 3 18 9 13" xfId="9877" xr:uid="{00000000-0005-0000-0000-0000793E0000}"/>
    <cellStyle name="Normal 3 18 9 13 2" xfId="27443" xr:uid="{00000000-0005-0000-0000-00007A3E0000}"/>
    <cellStyle name="Normal 3 18 9 14" xfId="9878" xr:uid="{00000000-0005-0000-0000-00007B3E0000}"/>
    <cellStyle name="Normal 3 18 9 14 2" xfId="27444" xr:uid="{00000000-0005-0000-0000-00007C3E0000}"/>
    <cellStyle name="Normal 3 18 9 15" xfId="27439" xr:uid="{00000000-0005-0000-0000-00007D3E0000}"/>
    <cellStyle name="Normal 3 18 9 2" xfId="9879" xr:uid="{00000000-0005-0000-0000-00007E3E0000}"/>
    <cellStyle name="Normal 3 18 9 2 2" xfId="27445" xr:uid="{00000000-0005-0000-0000-00007F3E0000}"/>
    <cellStyle name="Normal 3 18 9 3" xfId="9880" xr:uid="{00000000-0005-0000-0000-0000803E0000}"/>
    <cellStyle name="Normal 3 18 9 3 2" xfId="27446" xr:uid="{00000000-0005-0000-0000-0000813E0000}"/>
    <cellStyle name="Normal 3 18 9 4" xfId="9881" xr:uid="{00000000-0005-0000-0000-0000823E0000}"/>
    <cellStyle name="Normal 3 18 9 4 2" xfId="27447" xr:uid="{00000000-0005-0000-0000-0000833E0000}"/>
    <cellStyle name="Normal 3 18 9 5" xfId="9882" xr:uid="{00000000-0005-0000-0000-0000843E0000}"/>
    <cellStyle name="Normal 3 18 9 5 2" xfId="27448" xr:uid="{00000000-0005-0000-0000-0000853E0000}"/>
    <cellStyle name="Normal 3 18 9 6" xfId="9883" xr:uid="{00000000-0005-0000-0000-0000863E0000}"/>
    <cellStyle name="Normal 3 18 9 6 2" xfId="27449" xr:uid="{00000000-0005-0000-0000-0000873E0000}"/>
    <cellStyle name="Normal 3 18 9 7" xfId="9884" xr:uid="{00000000-0005-0000-0000-0000883E0000}"/>
    <cellStyle name="Normal 3 18 9 7 2" xfId="27450" xr:uid="{00000000-0005-0000-0000-0000893E0000}"/>
    <cellStyle name="Normal 3 18 9 8" xfId="9885" xr:uid="{00000000-0005-0000-0000-00008A3E0000}"/>
    <cellStyle name="Normal 3 18 9 8 2" xfId="27451" xr:uid="{00000000-0005-0000-0000-00008B3E0000}"/>
    <cellStyle name="Normal 3 18 9 9" xfId="9886" xr:uid="{00000000-0005-0000-0000-00008C3E0000}"/>
    <cellStyle name="Normal 3 18 9 9 2" xfId="27452" xr:uid="{00000000-0005-0000-0000-00008D3E0000}"/>
    <cellStyle name="Normal 3 19" xfId="9887" xr:uid="{00000000-0005-0000-0000-00008E3E0000}"/>
    <cellStyle name="Normal 3 19 10" xfId="9888" xr:uid="{00000000-0005-0000-0000-00008F3E0000}"/>
    <cellStyle name="Normal 3 19 10 10" xfId="9889" xr:uid="{00000000-0005-0000-0000-0000903E0000}"/>
    <cellStyle name="Normal 3 19 10 10 2" xfId="27455" xr:uid="{00000000-0005-0000-0000-0000913E0000}"/>
    <cellStyle name="Normal 3 19 10 11" xfId="9890" xr:uid="{00000000-0005-0000-0000-0000923E0000}"/>
    <cellStyle name="Normal 3 19 10 11 2" xfId="27456" xr:uid="{00000000-0005-0000-0000-0000933E0000}"/>
    <cellStyle name="Normal 3 19 10 12" xfId="9891" xr:uid="{00000000-0005-0000-0000-0000943E0000}"/>
    <cellStyle name="Normal 3 19 10 12 2" xfId="27457" xr:uid="{00000000-0005-0000-0000-0000953E0000}"/>
    <cellStyle name="Normal 3 19 10 13" xfId="9892" xr:uid="{00000000-0005-0000-0000-0000963E0000}"/>
    <cellStyle name="Normal 3 19 10 13 2" xfId="27458" xr:uid="{00000000-0005-0000-0000-0000973E0000}"/>
    <cellStyle name="Normal 3 19 10 14" xfId="9893" xr:uid="{00000000-0005-0000-0000-0000983E0000}"/>
    <cellStyle name="Normal 3 19 10 14 2" xfId="27459" xr:uid="{00000000-0005-0000-0000-0000993E0000}"/>
    <cellStyle name="Normal 3 19 10 15" xfId="27454" xr:uid="{00000000-0005-0000-0000-00009A3E0000}"/>
    <cellStyle name="Normal 3 19 10 2" xfId="9894" xr:uid="{00000000-0005-0000-0000-00009B3E0000}"/>
    <cellStyle name="Normal 3 19 10 2 2" xfId="27460" xr:uid="{00000000-0005-0000-0000-00009C3E0000}"/>
    <cellStyle name="Normal 3 19 10 3" xfId="9895" xr:uid="{00000000-0005-0000-0000-00009D3E0000}"/>
    <cellStyle name="Normal 3 19 10 3 2" xfId="27461" xr:uid="{00000000-0005-0000-0000-00009E3E0000}"/>
    <cellStyle name="Normal 3 19 10 4" xfId="9896" xr:uid="{00000000-0005-0000-0000-00009F3E0000}"/>
    <cellStyle name="Normal 3 19 10 4 2" xfId="27462" xr:uid="{00000000-0005-0000-0000-0000A03E0000}"/>
    <cellStyle name="Normal 3 19 10 5" xfId="9897" xr:uid="{00000000-0005-0000-0000-0000A13E0000}"/>
    <cellStyle name="Normal 3 19 10 5 2" xfId="27463" xr:uid="{00000000-0005-0000-0000-0000A23E0000}"/>
    <cellStyle name="Normal 3 19 10 6" xfId="9898" xr:uid="{00000000-0005-0000-0000-0000A33E0000}"/>
    <cellStyle name="Normal 3 19 10 6 2" xfId="27464" xr:uid="{00000000-0005-0000-0000-0000A43E0000}"/>
    <cellStyle name="Normal 3 19 10 7" xfId="9899" xr:uid="{00000000-0005-0000-0000-0000A53E0000}"/>
    <cellStyle name="Normal 3 19 10 7 2" xfId="27465" xr:uid="{00000000-0005-0000-0000-0000A63E0000}"/>
    <cellStyle name="Normal 3 19 10 8" xfId="9900" xr:uid="{00000000-0005-0000-0000-0000A73E0000}"/>
    <cellStyle name="Normal 3 19 10 8 2" xfId="27466" xr:uid="{00000000-0005-0000-0000-0000A83E0000}"/>
    <cellStyle name="Normal 3 19 10 9" xfId="9901" xr:uid="{00000000-0005-0000-0000-0000A93E0000}"/>
    <cellStyle name="Normal 3 19 10 9 2" xfId="27467" xr:uid="{00000000-0005-0000-0000-0000AA3E0000}"/>
    <cellStyle name="Normal 3 19 11" xfId="9902" xr:uid="{00000000-0005-0000-0000-0000AB3E0000}"/>
    <cellStyle name="Normal 3 19 11 10" xfId="9903" xr:uid="{00000000-0005-0000-0000-0000AC3E0000}"/>
    <cellStyle name="Normal 3 19 11 10 2" xfId="27469" xr:uid="{00000000-0005-0000-0000-0000AD3E0000}"/>
    <cellStyle name="Normal 3 19 11 11" xfId="9904" xr:uid="{00000000-0005-0000-0000-0000AE3E0000}"/>
    <cellStyle name="Normal 3 19 11 11 2" xfId="27470" xr:uid="{00000000-0005-0000-0000-0000AF3E0000}"/>
    <cellStyle name="Normal 3 19 11 12" xfId="9905" xr:uid="{00000000-0005-0000-0000-0000B03E0000}"/>
    <cellStyle name="Normal 3 19 11 12 2" xfId="27471" xr:uid="{00000000-0005-0000-0000-0000B13E0000}"/>
    <cellStyle name="Normal 3 19 11 13" xfId="9906" xr:uid="{00000000-0005-0000-0000-0000B23E0000}"/>
    <cellStyle name="Normal 3 19 11 13 2" xfId="27472" xr:uid="{00000000-0005-0000-0000-0000B33E0000}"/>
    <cellStyle name="Normal 3 19 11 14" xfId="9907" xr:uid="{00000000-0005-0000-0000-0000B43E0000}"/>
    <cellStyle name="Normal 3 19 11 14 2" xfId="27473" xr:uid="{00000000-0005-0000-0000-0000B53E0000}"/>
    <cellStyle name="Normal 3 19 11 15" xfId="27468" xr:uid="{00000000-0005-0000-0000-0000B63E0000}"/>
    <cellStyle name="Normal 3 19 11 2" xfId="9908" xr:uid="{00000000-0005-0000-0000-0000B73E0000}"/>
    <cellStyle name="Normal 3 19 11 2 2" xfId="27474" xr:uid="{00000000-0005-0000-0000-0000B83E0000}"/>
    <cellStyle name="Normal 3 19 11 3" xfId="9909" xr:uid="{00000000-0005-0000-0000-0000B93E0000}"/>
    <cellStyle name="Normal 3 19 11 3 2" xfId="27475" xr:uid="{00000000-0005-0000-0000-0000BA3E0000}"/>
    <cellStyle name="Normal 3 19 11 4" xfId="9910" xr:uid="{00000000-0005-0000-0000-0000BB3E0000}"/>
    <cellStyle name="Normal 3 19 11 4 2" xfId="27476" xr:uid="{00000000-0005-0000-0000-0000BC3E0000}"/>
    <cellStyle name="Normal 3 19 11 5" xfId="9911" xr:uid="{00000000-0005-0000-0000-0000BD3E0000}"/>
    <cellStyle name="Normal 3 19 11 5 2" xfId="27477" xr:uid="{00000000-0005-0000-0000-0000BE3E0000}"/>
    <cellStyle name="Normal 3 19 11 6" xfId="9912" xr:uid="{00000000-0005-0000-0000-0000BF3E0000}"/>
    <cellStyle name="Normal 3 19 11 6 2" xfId="27478" xr:uid="{00000000-0005-0000-0000-0000C03E0000}"/>
    <cellStyle name="Normal 3 19 11 7" xfId="9913" xr:uid="{00000000-0005-0000-0000-0000C13E0000}"/>
    <cellStyle name="Normal 3 19 11 7 2" xfId="27479" xr:uid="{00000000-0005-0000-0000-0000C23E0000}"/>
    <cellStyle name="Normal 3 19 11 8" xfId="9914" xr:uid="{00000000-0005-0000-0000-0000C33E0000}"/>
    <cellStyle name="Normal 3 19 11 8 2" xfId="27480" xr:uid="{00000000-0005-0000-0000-0000C43E0000}"/>
    <cellStyle name="Normal 3 19 11 9" xfId="9915" xr:uid="{00000000-0005-0000-0000-0000C53E0000}"/>
    <cellStyle name="Normal 3 19 11 9 2" xfId="27481" xr:uid="{00000000-0005-0000-0000-0000C63E0000}"/>
    <cellStyle name="Normal 3 19 12" xfId="9916" xr:uid="{00000000-0005-0000-0000-0000C73E0000}"/>
    <cellStyle name="Normal 3 19 12 10" xfId="9917" xr:uid="{00000000-0005-0000-0000-0000C83E0000}"/>
    <cellStyle name="Normal 3 19 12 10 2" xfId="27483" xr:uid="{00000000-0005-0000-0000-0000C93E0000}"/>
    <cellStyle name="Normal 3 19 12 11" xfId="9918" xr:uid="{00000000-0005-0000-0000-0000CA3E0000}"/>
    <cellStyle name="Normal 3 19 12 11 2" xfId="27484" xr:uid="{00000000-0005-0000-0000-0000CB3E0000}"/>
    <cellStyle name="Normal 3 19 12 12" xfId="9919" xr:uid="{00000000-0005-0000-0000-0000CC3E0000}"/>
    <cellStyle name="Normal 3 19 12 12 2" xfId="27485" xr:uid="{00000000-0005-0000-0000-0000CD3E0000}"/>
    <cellStyle name="Normal 3 19 12 13" xfId="9920" xr:uid="{00000000-0005-0000-0000-0000CE3E0000}"/>
    <cellStyle name="Normal 3 19 12 13 2" xfId="27486" xr:uid="{00000000-0005-0000-0000-0000CF3E0000}"/>
    <cellStyle name="Normal 3 19 12 14" xfId="9921" xr:uid="{00000000-0005-0000-0000-0000D03E0000}"/>
    <cellStyle name="Normal 3 19 12 14 2" xfId="27487" xr:uid="{00000000-0005-0000-0000-0000D13E0000}"/>
    <cellStyle name="Normal 3 19 12 15" xfId="27482" xr:uid="{00000000-0005-0000-0000-0000D23E0000}"/>
    <cellStyle name="Normal 3 19 12 2" xfId="9922" xr:uid="{00000000-0005-0000-0000-0000D33E0000}"/>
    <cellStyle name="Normal 3 19 12 2 2" xfId="27488" xr:uid="{00000000-0005-0000-0000-0000D43E0000}"/>
    <cellStyle name="Normal 3 19 12 3" xfId="9923" xr:uid="{00000000-0005-0000-0000-0000D53E0000}"/>
    <cellStyle name="Normal 3 19 12 3 2" xfId="27489" xr:uid="{00000000-0005-0000-0000-0000D63E0000}"/>
    <cellStyle name="Normal 3 19 12 4" xfId="9924" xr:uid="{00000000-0005-0000-0000-0000D73E0000}"/>
    <cellStyle name="Normal 3 19 12 4 2" xfId="27490" xr:uid="{00000000-0005-0000-0000-0000D83E0000}"/>
    <cellStyle name="Normal 3 19 12 5" xfId="9925" xr:uid="{00000000-0005-0000-0000-0000D93E0000}"/>
    <cellStyle name="Normal 3 19 12 5 2" xfId="27491" xr:uid="{00000000-0005-0000-0000-0000DA3E0000}"/>
    <cellStyle name="Normal 3 19 12 6" xfId="9926" xr:uid="{00000000-0005-0000-0000-0000DB3E0000}"/>
    <cellStyle name="Normal 3 19 12 6 2" xfId="27492" xr:uid="{00000000-0005-0000-0000-0000DC3E0000}"/>
    <cellStyle name="Normal 3 19 12 7" xfId="9927" xr:uid="{00000000-0005-0000-0000-0000DD3E0000}"/>
    <cellStyle name="Normal 3 19 12 7 2" xfId="27493" xr:uid="{00000000-0005-0000-0000-0000DE3E0000}"/>
    <cellStyle name="Normal 3 19 12 8" xfId="9928" xr:uid="{00000000-0005-0000-0000-0000DF3E0000}"/>
    <cellStyle name="Normal 3 19 12 8 2" xfId="27494" xr:uid="{00000000-0005-0000-0000-0000E03E0000}"/>
    <cellStyle name="Normal 3 19 12 9" xfId="9929" xr:uid="{00000000-0005-0000-0000-0000E13E0000}"/>
    <cellStyle name="Normal 3 19 12 9 2" xfId="27495" xr:uid="{00000000-0005-0000-0000-0000E23E0000}"/>
    <cellStyle name="Normal 3 19 13" xfId="9930" xr:uid="{00000000-0005-0000-0000-0000E33E0000}"/>
    <cellStyle name="Normal 3 19 13 10" xfId="9931" xr:uid="{00000000-0005-0000-0000-0000E43E0000}"/>
    <cellStyle name="Normal 3 19 13 10 2" xfId="27497" xr:uid="{00000000-0005-0000-0000-0000E53E0000}"/>
    <cellStyle name="Normal 3 19 13 11" xfId="9932" xr:uid="{00000000-0005-0000-0000-0000E63E0000}"/>
    <cellStyle name="Normal 3 19 13 11 2" xfId="27498" xr:uid="{00000000-0005-0000-0000-0000E73E0000}"/>
    <cellStyle name="Normal 3 19 13 12" xfId="9933" xr:uid="{00000000-0005-0000-0000-0000E83E0000}"/>
    <cellStyle name="Normal 3 19 13 12 2" xfId="27499" xr:uid="{00000000-0005-0000-0000-0000E93E0000}"/>
    <cellStyle name="Normal 3 19 13 13" xfId="9934" xr:uid="{00000000-0005-0000-0000-0000EA3E0000}"/>
    <cellStyle name="Normal 3 19 13 13 2" xfId="27500" xr:uid="{00000000-0005-0000-0000-0000EB3E0000}"/>
    <cellStyle name="Normal 3 19 13 14" xfId="9935" xr:uid="{00000000-0005-0000-0000-0000EC3E0000}"/>
    <cellStyle name="Normal 3 19 13 14 2" xfId="27501" xr:uid="{00000000-0005-0000-0000-0000ED3E0000}"/>
    <cellStyle name="Normal 3 19 13 15" xfId="27496" xr:uid="{00000000-0005-0000-0000-0000EE3E0000}"/>
    <cellStyle name="Normal 3 19 13 2" xfId="9936" xr:uid="{00000000-0005-0000-0000-0000EF3E0000}"/>
    <cellStyle name="Normal 3 19 13 2 2" xfId="27502" xr:uid="{00000000-0005-0000-0000-0000F03E0000}"/>
    <cellStyle name="Normal 3 19 13 3" xfId="9937" xr:uid="{00000000-0005-0000-0000-0000F13E0000}"/>
    <cellStyle name="Normal 3 19 13 3 2" xfId="27503" xr:uid="{00000000-0005-0000-0000-0000F23E0000}"/>
    <cellStyle name="Normal 3 19 13 4" xfId="9938" xr:uid="{00000000-0005-0000-0000-0000F33E0000}"/>
    <cellStyle name="Normal 3 19 13 4 2" xfId="27504" xr:uid="{00000000-0005-0000-0000-0000F43E0000}"/>
    <cellStyle name="Normal 3 19 13 5" xfId="9939" xr:uid="{00000000-0005-0000-0000-0000F53E0000}"/>
    <cellStyle name="Normal 3 19 13 5 2" xfId="27505" xr:uid="{00000000-0005-0000-0000-0000F63E0000}"/>
    <cellStyle name="Normal 3 19 13 6" xfId="9940" xr:uid="{00000000-0005-0000-0000-0000F73E0000}"/>
    <cellStyle name="Normal 3 19 13 6 2" xfId="27506" xr:uid="{00000000-0005-0000-0000-0000F83E0000}"/>
    <cellStyle name="Normal 3 19 13 7" xfId="9941" xr:uid="{00000000-0005-0000-0000-0000F93E0000}"/>
    <cellStyle name="Normal 3 19 13 7 2" xfId="27507" xr:uid="{00000000-0005-0000-0000-0000FA3E0000}"/>
    <cellStyle name="Normal 3 19 13 8" xfId="9942" xr:uid="{00000000-0005-0000-0000-0000FB3E0000}"/>
    <cellStyle name="Normal 3 19 13 8 2" xfId="27508" xr:uid="{00000000-0005-0000-0000-0000FC3E0000}"/>
    <cellStyle name="Normal 3 19 13 9" xfId="9943" xr:uid="{00000000-0005-0000-0000-0000FD3E0000}"/>
    <cellStyle name="Normal 3 19 13 9 2" xfId="27509" xr:uid="{00000000-0005-0000-0000-0000FE3E0000}"/>
    <cellStyle name="Normal 3 19 14" xfId="9944" xr:uid="{00000000-0005-0000-0000-0000FF3E0000}"/>
    <cellStyle name="Normal 3 19 14 10" xfId="9945" xr:uid="{00000000-0005-0000-0000-0000003F0000}"/>
    <cellStyle name="Normal 3 19 14 10 2" xfId="27511" xr:uid="{00000000-0005-0000-0000-0000013F0000}"/>
    <cellStyle name="Normal 3 19 14 11" xfId="9946" xr:uid="{00000000-0005-0000-0000-0000023F0000}"/>
    <cellStyle name="Normal 3 19 14 11 2" xfId="27512" xr:uid="{00000000-0005-0000-0000-0000033F0000}"/>
    <cellStyle name="Normal 3 19 14 12" xfId="9947" xr:uid="{00000000-0005-0000-0000-0000043F0000}"/>
    <cellStyle name="Normal 3 19 14 12 2" xfId="27513" xr:uid="{00000000-0005-0000-0000-0000053F0000}"/>
    <cellStyle name="Normal 3 19 14 13" xfId="9948" xr:uid="{00000000-0005-0000-0000-0000063F0000}"/>
    <cellStyle name="Normal 3 19 14 13 2" xfId="27514" xr:uid="{00000000-0005-0000-0000-0000073F0000}"/>
    <cellStyle name="Normal 3 19 14 14" xfId="9949" xr:uid="{00000000-0005-0000-0000-0000083F0000}"/>
    <cellStyle name="Normal 3 19 14 14 2" xfId="27515" xr:uid="{00000000-0005-0000-0000-0000093F0000}"/>
    <cellStyle name="Normal 3 19 14 15" xfId="27510" xr:uid="{00000000-0005-0000-0000-00000A3F0000}"/>
    <cellStyle name="Normal 3 19 14 2" xfId="9950" xr:uid="{00000000-0005-0000-0000-00000B3F0000}"/>
    <cellStyle name="Normal 3 19 14 2 2" xfId="27516" xr:uid="{00000000-0005-0000-0000-00000C3F0000}"/>
    <cellStyle name="Normal 3 19 14 3" xfId="9951" xr:uid="{00000000-0005-0000-0000-00000D3F0000}"/>
    <cellStyle name="Normal 3 19 14 3 2" xfId="27517" xr:uid="{00000000-0005-0000-0000-00000E3F0000}"/>
    <cellStyle name="Normal 3 19 14 4" xfId="9952" xr:uid="{00000000-0005-0000-0000-00000F3F0000}"/>
    <cellStyle name="Normal 3 19 14 4 2" xfId="27518" xr:uid="{00000000-0005-0000-0000-0000103F0000}"/>
    <cellStyle name="Normal 3 19 14 5" xfId="9953" xr:uid="{00000000-0005-0000-0000-0000113F0000}"/>
    <cellStyle name="Normal 3 19 14 5 2" xfId="27519" xr:uid="{00000000-0005-0000-0000-0000123F0000}"/>
    <cellStyle name="Normal 3 19 14 6" xfId="9954" xr:uid="{00000000-0005-0000-0000-0000133F0000}"/>
    <cellStyle name="Normal 3 19 14 6 2" xfId="27520" xr:uid="{00000000-0005-0000-0000-0000143F0000}"/>
    <cellStyle name="Normal 3 19 14 7" xfId="9955" xr:uid="{00000000-0005-0000-0000-0000153F0000}"/>
    <cellStyle name="Normal 3 19 14 7 2" xfId="27521" xr:uid="{00000000-0005-0000-0000-0000163F0000}"/>
    <cellStyle name="Normal 3 19 14 8" xfId="9956" xr:uid="{00000000-0005-0000-0000-0000173F0000}"/>
    <cellStyle name="Normal 3 19 14 8 2" xfId="27522" xr:uid="{00000000-0005-0000-0000-0000183F0000}"/>
    <cellStyle name="Normal 3 19 14 9" xfId="9957" xr:uid="{00000000-0005-0000-0000-0000193F0000}"/>
    <cellStyle name="Normal 3 19 14 9 2" xfId="27523" xr:uid="{00000000-0005-0000-0000-00001A3F0000}"/>
    <cellStyle name="Normal 3 19 15" xfId="9958" xr:uid="{00000000-0005-0000-0000-00001B3F0000}"/>
    <cellStyle name="Normal 3 19 15 2" xfId="27524" xr:uid="{00000000-0005-0000-0000-00001C3F0000}"/>
    <cellStyle name="Normal 3 19 16" xfId="9959" xr:uid="{00000000-0005-0000-0000-00001D3F0000}"/>
    <cellStyle name="Normal 3 19 16 2" xfId="27525" xr:uid="{00000000-0005-0000-0000-00001E3F0000}"/>
    <cellStyle name="Normal 3 19 17" xfId="9960" xr:uid="{00000000-0005-0000-0000-00001F3F0000}"/>
    <cellStyle name="Normal 3 19 17 2" xfId="27526" xr:uid="{00000000-0005-0000-0000-0000203F0000}"/>
    <cellStyle name="Normal 3 19 18" xfId="9961" xr:uid="{00000000-0005-0000-0000-0000213F0000}"/>
    <cellStyle name="Normal 3 19 18 2" xfId="27527" xr:uid="{00000000-0005-0000-0000-0000223F0000}"/>
    <cellStyle name="Normal 3 19 19" xfId="9962" xr:uid="{00000000-0005-0000-0000-0000233F0000}"/>
    <cellStyle name="Normal 3 19 19 2" xfId="27528" xr:uid="{00000000-0005-0000-0000-0000243F0000}"/>
    <cellStyle name="Normal 3 19 2" xfId="9963" xr:uid="{00000000-0005-0000-0000-0000253F0000}"/>
    <cellStyle name="Normal 3 19 20" xfId="9964" xr:uid="{00000000-0005-0000-0000-0000263F0000}"/>
    <cellStyle name="Normal 3 19 20 2" xfId="27529" xr:uid="{00000000-0005-0000-0000-0000273F0000}"/>
    <cellStyle name="Normal 3 19 21" xfId="9965" xr:uid="{00000000-0005-0000-0000-0000283F0000}"/>
    <cellStyle name="Normal 3 19 21 2" xfId="27530" xr:uid="{00000000-0005-0000-0000-0000293F0000}"/>
    <cellStyle name="Normal 3 19 22" xfId="9966" xr:uid="{00000000-0005-0000-0000-00002A3F0000}"/>
    <cellStyle name="Normal 3 19 22 2" xfId="27531" xr:uid="{00000000-0005-0000-0000-00002B3F0000}"/>
    <cellStyle name="Normal 3 19 23" xfId="9967" xr:uid="{00000000-0005-0000-0000-00002C3F0000}"/>
    <cellStyle name="Normal 3 19 23 2" xfId="27532" xr:uid="{00000000-0005-0000-0000-00002D3F0000}"/>
    <cellStyle name="Normal 3 19 24" xfId="9968" xr:uid="{00000000-0005-0000-0000-00002E3F0000}"/>
    <cellStyle name="Normal 3 19 24 2" xfId="27533" xr:uid="{00000000-0005-0000-0000-00002F3F0000}"/>
    <cellStyle name="Normal 3 19 25" xfId="9969" xr:uid="{00000000-0005-0000-0000-0000303F0000}"/>
    <cellStyle name="Normal 3 19 25 2" xfId="27534" xr:uid="{00000000-0005-0000-0000-0000313F0000}"/>
    <cellStyle name="Normal 3 19 26" xfId="9970" xr:uid="{00000000-0005-0000-0000-0000323F0000}"/>
    <cellStyle name="Normal 3 19 26 2" xfId="27535" xr:uid="{00000000-0005-0000-0000-0000333F0000}"/>
    <cellStyle name="Normal 3 19 27" xfId="9971" xr:uid="{00000000-0005-0000-0000-0000343F0000}"/>
    <cellStyle name="Normal 3 19 27 2" xfId="27536" xr:uid="{00000000-0005-0000-0000-0000353F0000}"/>
    <cellStyle name="Normal 3 19 28" xfId="27453" xr:uid="{00000000-0005-0000-0000-0000363F0000}"/>
    <cellStyle name="Normal 3 19 3" xfId="9972" xr:uid="{00000000-0005-0000-0000-0000373F0000}"/>
    <cellStyle name="Normal 3 19 4" xfId="9973" xr:uid="{00000000-0005-0000-0000-0000383F0000}"/>
    <cellStyle name="Normal 3 19 5" xfId="9974" xr:uid="{00000000-0005-0000-0000-0000393F0000}"/>
    <cellStyle name="Normal 3 19 6" xfId="9975" xr:uid="{00000000-0005-0000-0000-00003A3F0000}"/>
    <cellStyle name="Normal 3 19 6 10" xfId="9976" xr:uid="{00000000-0005-0000-0000-00003B3F0000}"/>
    <cellStyle name="Normal 3 19 6 10 2" xfId="27538" xr:uid="{00000000-0005-0000-0000-00003C3F0000}"/>
    <cellStyle name="Normal 3 19 6 11" xfId="9977" xr:uid="{00000000-0005-0000-0000-00003D3F0000}"/>
    <cellStyle name="Normal 3 19 6 11 2" xfId="27539" xr:uid="{00000000-0005-0000-0000-00003E3F0000}"/>
    <cellStyle name="Normal 3 19 6 12" xfId="9978" xr:uid="{00000000-0005-0000-0000-00003F3F0000}"/>
    <cellStyle name="Normal 3 19 6 12 2" xfId="27540" xr:uid="{00000000-0005-0000-0000-0000403F0000}"/>
    <cellStyle name="Normal 3 19 6 13" xfId="9979" xr:uid="{00000000-0005-0000-0000-0000413F0000}"/>
    <cellStyle name="Normal 3 19 6 13 2" xfId="27541" xr:uid="{00000000-0005-0000-0000-0000423F0000}"/>
    <cellStyle name="Normal 3 19 6 14" xfId="9980" xr:uid="{00000000-0005-0000-0000-0000433F0000}"/>
    <cellStyle name="Normal 3 19 6 14 2" xfId="27542" xr:uid="{00000000-0005-0000-0000-0000443F0000}"/>
    <cellStyle name="Normal 3 19 6 15" xfId="9981" xr:uid="{00000000-0005-0000-0000-0000453F0000}"/>
    <cellStyle name="Normal 3 19 6 15 2" xfId="27543" xr:uid="{00000000-0005-0000-0000-0000463F0000}"/>
    <cellStyle name="Normal 3 19 6 16" xfId="27537" xr:uid="{00000000-0005-0000-0000-0000473F0000}"/>
    <cellStyle name="Normal 3 19 6 2" xfId="9982" xr:uid="{00000000-0005-0000-0000-0000483F0000}"/>
    <cellStyle name="Normal 3 19 6 2 10" xfId="9983" xr:uid="{00000000-0005-0000-0000-0000493F0000}"/>
    <cellStyle name="Normal 3 19 6 2 10 2" xfId="27545" xr:uid="{00000000-0005-0000-0000-00004A3F0000}"/>
    <cellStyle name="Normal 3 19 6 2 11" xfId="9984" xr:uid="{00000000-0005-0000-0000-00004B3F0000}"/>
    <cellStyle name="Normal 3 19 6 2 11 2" xfId="27546" xr:uid="{00000000-0005-0000-0000-00004C3F0000}"/>
    <cellStyle name="Normal 3 19 6 2 12" xfId="9985" xr:uid="{00000000-0005-0000-0000-00004D3F0000}"/>
    <cellStyle name="Normal 3 19 6 2 12 2" xfId="27547" xr:uid="{00000000-0005-0000-0000-00004E3F0000}"/>
    <cellStyle name="Normal 3 19 6 2 13" xfId="9986" xr:uid="{00000000-0005-0000-0000-00004F3F0000}"/>
    <cellStyle name="Normal 3 19 6 2 13 2" xfId="27548" xr:uid="{00000000-0005-0000-0000-0000503F0000}"/>
    <cellStyle name="Normal 3 19 6 2 14" xfId="9987" xr:uid="{00000000-0005-0000-0000-0000513F0000}"/>
    <cellStyle name="Normal 3 19 6 2 14 2" xfId="27549" xr:uid="{00000000-0005-0000-0000-0000523F0000}"/>
    <cellStyle name="Normal 3 19 6 2 15" xfId="27544" xr:uid="{00000000-0005-0000-0000-0000533F0000}"/>
    <cellStyle name="Normal 3 19 6 2 2" xfId="9988" xr:uid="{00000000-0005-0000-0000-0000543F0000}"/>
    <cellStyle name="Normal 3 19 6 2 2 2" xfId="27550" xr:uid="{00000000-0005-0000-0000-0000553F0000}"/>
    <cellStyle name="Normal 3 19 6 2 3" xfId="9989" xr:uid="{00000000-0005-0000-0000-0000563F0000}"/>
    <cellStyle name="Normal 3 19 6 2 3 2" xfId="27551" xr:uid="{00000000-0005-0000-0000-0000573F0000}"/>
    <cellStyle name="Normal 3 19 6 2 4" xfId="9990" xr:uid="{00000000-0005-0000-0000-0000583F0000}"/>
    <cellStyle name="Normal 3 19 6 2 4 2" xfId="27552" xr:uid="{00000000-0005-0000-0000-0000593F0000}"/>
    <cellStyle name="Normal 3 19 6 2 5" xfId="9991" xr:uid="{00000000-0005-0000-0000-00005A3F0000}"/>
    <cellStyle name="Normal 3 19 6 2 5 2" xfId="27553" xr:uid="{00000000-0005-0000-0000-00005B3F0000}"/>
    <cellStyle name="Normal 3 19 6 2 6" xfId="9992" xr:uid="{00000000-0005-0000-0000-00005C3F0000}"/>
    <cellStyle name="Normal 3 19 6 2 6 2" xfId="27554" xr:uid="{00000000-0005-0000-0000-00005D3F0000}"/>
    <cellStyle name="Normal 3 19 6 2 7" xfId="9993" xr:uid="{00000000-0005-0000-0000-00005E3F0000}"/>
    <cellStyle name="Normal 3 19 6 2 7 2" xfId="27555" xr:uid="{00000000-0005-0000-0000-00005F3F0000}"/>
    <cellStyle name="Normal 3 19 6 2 8" xfId="9994" xr:uid="{00000000-0005-0000-0000-0000603F0000}"/>
    <cellStyle name="Normal 3 19 6 2 8 2" xfId="27556" xr:uid="{00000000-0005-0000-0000-0000613F0000}"/>
    <cellStyle name="Normal 3 19 6 2 9" xfId="9995" xr:uid="{00000000-0005-0000-0000-0000623F0000}"/>
    <cellStyle name="Normal 3 19 6 2 9 2" xfId="27557" xr:uid="{00000000-0005-0000-0000-0000633F0000}"/>
    <cellStyle name="Normal 3 19 6 3" xfId="9996" xr:uid="{00000000-0005-0000-0000-0000643F0000}"/>
    <cellStyle name="Normal 3 19 6 3 2" xfId="27558" xr:uid="{00000000-0005-0000-0000-0000653F0000}"/>
    <cellStyle name="Normal 3 19 6 4" xfId="9997" xr:uid="{00000000-0005-0000-0000-0000663F0000}"/>
    <cellStyle name="Normal 3 19 6 4 2" xfId="27559" xr:uid="{00000000-0005-0000-0000-0000673F0000}"/>
    <cellStyle name="Normal 3 19 6 5" xfId="9998" xr:uid="{00000000-0005-0000-0000-0000683F0000}"/>
    <cellStyle name="Normal 3 19 6 5 2" xfId="27560" xr:uid="{00000000-0005-0000-0000-0000693F0000}"/>
    <cellStyle name="Normal 3 19 6 6" xfId="9999" xr:uid="{00000000-0005-0000-0000-00006A3F0000}"/>
    <cellStyle name="Normal 3 19 6 6 2" xfId="27561" xr:uid="{00000000-0005-0000-0000-00006B3F0000}"/>
    <cellStyle name="Normal 3 19 6 7" xfId="10000" xr:uid="{00000000-0005-0000-0000-00006C3F0000}"/>
    <cellStyle name="Normal 3 19 6 7 2" xfId="27562" xr:uid="{00000000-0005-0000-0000-00006D3F0000}"/>
    <cellStyle name="Normal 3 19 6 8" xfId="10001" xr:uid="{00000000-0005-0000-0000-00006E3F0000}"/>
    <cellStyle name="Normal 3 19 6 8 2" xfId="27563" xr:uid="{00000000-0005-0000-0000-00006F3F0000}"/>
    <cellStyle name="Normal 3 19 6 9" xfId="10002" xr:uid="{00000000-0005-0000-0000-0000703F0000}"/>
    <cellStyle name="Normal 3 19 6 9 2" xfId="27564" xr:uid="{00000000-0005-0000-0000-0000713F0000}"/>
    <cellStyle name="Normal 3 19 7" xfId="10003" xr:uid="{00000000-0005-0000-0000-0000723F0000}"/>
    <cellStyle name="Normal 3 19 7 10" xfId="10004" xr:uid="{00000000-0005-0000-0000-0000733F0000}"/>
    <cellStyle name="Normal 3 19 7 10 2" xfId="27566" xr:uid="{00000000-0005-0000-0000-0000743F0000}"/>
    <cellStyle name="Normal 3 19 7 11" xfId="10005" xr:uid="{00000000-0005-0000-0000-0000753F0000}"/>
    <cellStyle name="Normal 3 19 7 11 2" xfId="27567" xr:uid="{00000000-0005-0000-0000-0000763F0000}"/>
    <cellStyle name="Normal 3 19 7 12" xfId="10006" xr:uid="{00000000-0005-0000-0000-0000773F0000}"/>
    <cellStyle name="Normal 3 19 7 12 2" xfId="27568" xr:uid="{00000000-0005-0000-0000-0000783F0000}"/>
    <cellStyle name="Normal 3 19 7 13" xfId="10007" xr:uid="{00000000-0005-0000-0000-0000793F0000}"/>
    <cellStyle name="Normal 3 19 7 13 2" xfId="27569" xr:uid="{00000000-0005-0000-0000-00007A3F0000}"/>
    <cellStyle name="Normal 3 19 7 14" xfId="10008" xr:uid="{00000000-0005-0000-0000-00007B3F0000}"/>
    <cellStyle name="Normal 3 19 7 14 2" xfId="27570" xr:uid="{00000000-0005-0000-0000-00007C3F0000}"/>
    <cellStyle name="Normal 3 19 7 15" xfId="10009" xr:uid="{00000000-0005-0000-0000-00007D3F0000}"/>
    <cellStyle name="Normal 3 19 7 15 2" xfId="27571" xr:uid="{00000000-0005-0000-0000-00007E3F0000}"/>
    <cellStyle name="Normal 3 19 7 16" xfId="27565" xr:uid="{00000000-0005-0000-0000-00007F3F0000}"/>
    <cellStyle name="Normal 3 19 7 2" xfId="10010" xr:uid="{00000000-0005-0000-0000-0000803F0000}"/>
    <cellStyle name="Normal 3 19 7 2 10" xfId="10011" xr:uid="{00000000-0005-0000-0000-0000813F0000}"/>
    <cellStyle name="Normal 3 19 7 2 10 2" xfId="27573" xr:uid="{00000000-0005-0000-0000-0000823F0000}"/>
    <cellStyle name="Normal 3 19 7 2 11" xfId="10012" xr:uid="{00000000-0005-0000-0000-0000833F0000}"/>
    <cellStyle name="Normal 3 19 7 2 11 2" xfId="27574" xr:uid="{00000000-0005-0000-0000-0000843F0000}"/>
    <cellStyle name="Normal 3 19 7 2 12" xfId="10013" xr:uid="{00000000-0005-0000-0000-0000853F0000}"/>
    <cellStyle name="Normal 3 19 7 2 12 2" xfId="27575" xr:uid="{00000000-0005-0000-0000-0000863F0000}"/>
    <cellStyle name="Normal 3 19 7 2 13" xfId="10014" xr:uid="{00000000-0005-0000-0000-0000873F0000}"/>
    <cellStyle name="Normal 3 19 7 2 13 2" xfId="27576" xr:uid="{00000000-0005-0000-0000-0000883F0000}"/>
    <cellStyle name="Normal 3 19 7 2 14" xfId="10015" xr:uid="{00000000-0005-0000-0000-0000893F0000}"/>
    <cellStyle name="Normal 3 19 7 2 14 2" xfId="27577" xr:uid="{00000000-0005-0000-0000-00008A3F0000}"/>
    <cellStyle name="Normal 3 19 7 2 15" xfId="27572" xr:uid="{00000000-0005-0000-0000-00008B3F0000}"/>
    <cellStyle name="Normal 3 19 7 2 2" xfId="10016" xr:uid="{00000000-0005-0000-0000-00008C3F0000}"/>
    <cellStyle name="Normal 3 19 7 2 2 2" xfId="27578" xr:uid="{00000000-0005-0000-0000-00008D3F0000}"/>
    <cellStyle name="Normal 3 19 7 2 3" xfId="10017" xr:uid="{00000000-0005-0000-0000-00008E3F0000}"/>
    <cellStyle name="Normal 3 19 7 2 3 2" xfId="27579" xr:uid="{00000000-0005-0000-0000-00008F3F0000}"/>
    <cellStyle name="Normal 3 19 7 2 4" xfId="10018" xr:uid="{00000000-0005-0000-0000-0000903F0000}"/>
    <cellStyle name="Normal 3 19 7 2 4 2" xfId="27580" xr:uid="{00000000-0005-0000-0000-0000913F0000}"/>
    <cellStyle name="Normal 3 19 7 2 5" xfId="10019" xr:uid="{00000000-0005-0000-0000-0000923F0000}"/>
    <cellStyle name="Normal 3 19 7 2 5 2" xfId="27581" xr:uid="{00000000-0005-0000-0000-0000933F0000}"/>
    <cellStyle name="Normal 3 19 7 2 6" xfId="10020" xr:uid="{00000000-0005-0000-0000-0000943F0000}"/>
    <cellStyle name="Normal 3 19 7 2 6 2" xfId="27582" xr:uid="{00000000-0005-0000-0000-0000953F0000}"/>
    <cellStyle name="Normal 3 19 7 2 7" xfId="10021" xr:uid="{00000000-0005-0000-0000-0000963F0000}"/>
    <cellStyle name="Normal 3 19 7 2 7 2" xfId="27583" xr:uid="{00000000-0005-0000-0000-0000973F0000}"/>
    <cellStyle name="Normal 3 19 7 2 8" xfId="10022" xr:uid="{00000000-0005-0000-0000-0000983F0000}"/>
    <cellStyle name="Normal 3 19 7 2 8 2" xfId="27584" xr:uid="{00000000-0005-0000-0000-0000993F0000}"/>
    <cellStyle name="Normal 3 19 7 2 9" xfId="10023" xr:uid="{00000000-0005-0000-0000-00009A3F0000}"/>
    <cellStyle name="Normal 3 19 7 2 9 2" xfId="27585" xr:uid="{00000000-0005-0000-0000-00009B3F0000}"/>
    <cellStyle name="Normal 3 19 7 3" xfId="10024" xr:uid="{00000000-0005-0000-0000-00009C3F0000}"/>
    <cellStyle name="Normal 3 19 7 3 2" xfId="27586" xr:uid="{00000000-0005-0000-0000-00009D3F0000}"/>
    <cellStyle name="Normal 3 19 7 4" xfId="10025" xr:uid="{00000000-0005-0000-0000-00009E3F0000}"/>
    <cellStyle name="Normal 3 19 7 4 2" xfId="27587" xr:uid="{00000000-0005-0000-0000-00009F3F0000}"/>
    <cellStyle name="Normal 3 19 7 5" xfId="10026" xr:uid="{00000000-0005-0000-0000-0000A03F0000}"/>
    <cellStyle name="Normal 3 19 7 5 2" xfId="27588" xr:uid="{00000000-0005-0000-0000-0000A13F0000}"/>
    <cellStyle name="Normal 3 19 7 6" xfId="10027" xr:uid="{00000000-0005-0000-0000-0000A23F0000}"/>
    <cellStyle name="Normal 3 19 7 6 2" xfId="27589" xr:uid="{00000000-0005-0000-0000-0000A33F0000}"/>
    <cellStyle name="Normal 3 19 7 7" xfId="10028" xr:uid="{00000000-0005-0000-0000-0000A43F0000}"/>
    <cellStyle name="Normal 3 19 7 7 2" xfId="27590" xr:uid="{00000000-0005-0000-0000-0000A53F0000}"/>
    <cellStyle name="Normal 3 19 7 8" xfId="10029" xr:uid="{00000000-0005-0000-0000-0000A63F0000}"/>
    <cellStyle name="Normal 3 19 7 8 2" xfId="27591" xr:uid="{00000000-0005-0000-0000-0000A73F0000}"/>
    <cellStyle name="Normal 3 19 7 9" xfId="10030" xr:uid="{00000000-0005-0000-0000-0000A83F0000}"/>
    <cellStyle name="Normal 3 19 7 9 2" xfId="27592" xr:uid="{00000000-0005-0000-0000-0000A93F0000}"/>
    <cellStyle name="Normal 3 19 8" xfId="10031" xr:uid="{00000000-0005-0000-0000-0000AA3F0000}"/>
    <cellStyle name="Normal 3 19 8 10" xfId="10032" xr:uid="{00000000-0005-0000-0000-0000AB3F0000}"/>
    <cellStyle name="Normal 3 19 8 10 2" xfId="27594" xr:uid="{00000000-0005-0000-0000-0000AC3F0000}"/>
    <cellStyle name="Normal 3 19 8 11" xfId="10033" xr:uid="{00000000-0005-0000-0000-0000AD3F0000}"/>
    <cellStyle name="Normal 3 19 8 11 2" xfId="27595" xr:uid="{00000000-0005-0000-0000-0000AE3F0000}"/>
    <cellStyle name="Normal 3 19 8 12" xfId="10034" xr:uid="{00000000-0005-0000-0000-0000AF3F0000}"/>
    <cellStyle name="Normal 3 19 8 12 2" xfId="27596" xr:uid="{00000000-0005-0000-0000-0000B03F0000}"/>
    <cellStyle name="Normal 3 19 8 13" xfId="10035" xr:uid="{00000000-0005-0000-0000-0000B13F0000}"/>
    <cellStyle name="Normal 3 19 8 13 2" xfId="27597" xr:uid="{00000000-0005-0000-0000-0000B23F0000}"/>
    <cellStyle name="Normal 3 19 8 14" xfId="10036" xr:uid="{00000000-0005-0000-0000-0000B33F0000}"/>
    <cellStyle name="Normal 3 19 8 14 2" xfId="27598" xr:uid="{00000000-0005-0000-0000-0000B43F0000}"/>
    <cellStyle name="Normal 3 19 8 15" xfId="10037" xr:uid="{00000000-0005-0000-0000-0000B53F0000}"/>
    <cellStyle name="Normal 3 19 8 15 2" xfId="27599" xr:uid="{00000000-0005-0000-0000-0000B63F0000}"/>
    <cellStyle name="Normal 3 19 8 16" xfId="27593" xr:uid="{00000000-0005-0000-0000-0000B73F0000}"/>
    <cellStyle name="Normal 3 19 8 2" xfId="10038" xr:uid="{00000000-0005-0000-0000-0000B83F0000}"/>
    <cellStyle name="Normal 3 19 8 2 10" xfId="10039" xr:uid="{00000000-0005-0000-0000-0000B93F0000}"/>
    <cellStyle name="Normal 3 19 8 2 10 2" xfId="27601" xr:uid="{00000000-0005-0000-0000-0000BA3F0000}"/>
    <cellStyle name="Normal 3 19 8 2 11" xfId="10040" xr:uid="{00000000-0005-0000-0000-0000BB3F0000}"/>
    <cellStyle name="Normal 3 19 8 2 11 2" xfId="27602" xr:uid="{00000000-0005-0000-0000-0000BC3F0000}"/>
    <cellStyle name="Normal 3 19 8 2 12" xfId="10041" xr:uid="{00000000-0005-0000-0000-0000BD3F0000}"/>
    <cellStyle name="Normal 3 19 8 2 12 2" xfId="27603" xr:uid="{00000000-0005-0000-0000-0000BE3F0000}"/>
    <cellStyle name="Normal 3 19 8 2 13" xfId="10042" xr:uid="{00000000-0005-0000-0000-0000BF3F0000}"/>
    <cellStyle name="Normal 3 19 8 2 13 2" xfId="27604" xr:uid="{00000000-0005-0000-0000-0000C03F0000}"/>
    <cellStyle name="Normal 3 19 8 2 14" xfId="10043" xr:uid="{00000000-0005-0000-0000-0000C13F0000}"/>
    <cellStyle name="Normal 3 19 8 2 14 2" xfId="27605" xr:uid="{00000000-0005-0000-0000-0000C23F0000}"/>
    <cellStyle name="Normal 3 19 8 2 15" xfId="27600" xr:uid="{00000000-0005-0000-0000-0000C33F0000}"/>
    <cellStyle name="Normal 3 19 8 2 2" xfId="10044" xr:uid="{00000000-0005-0000-0000-0000C43F0000}"/>
    <cellStyle name="Normal 3 19 8 2 2 2" xfId="27606" xr:uid="{00000000-0005-0000-0000-0000C53F0000}"/>
    <cellStyle name="Normal 3 19 8 2 3" xfId="10045" xr:uid="{00000000-0005-0000-0000-0000C63F0000}"/>
    <cellStyle name="Normal 3 19 8 2 3 2" xfId="27607" xr:uid="{00000000-0005-0000-0000-0000C73F0000}"/>
    <cellStyle name="Normal 3 19 8 2 4" xfId="10046" xr:uid="{00000000-0005-0000-0000-0000C83F0000}"/>
    <cellStyle name="Normal 3 19 8 2 4 2" xfId="27608" xr:uid="{00000000-0005-0000-0000-0000C93F0000}"/>
    <cellStyle name="Normal 3 19 8 2 5" xfId="10047" xr:uid="{00000000-0005-0000-0000-0000CA3F0000}"/>
    <cellStyle name="Normal 3 19 8 2 5 2" xfId="27609" xr:uid="{00000000-0005-0000-0000-0000CB3F0000}"/>
    <cellStyle name="Normal 3 19 8 2 6" xfId="10048" xr:uid="{00000000-0005-0000-0000-0000CC3F0000}"/>
    <cellStyle name="Normal 3 19 8 2 6 2" xfId="27610" xr:uid="{00000000-0005-0000-0000-0000CD3F0000}"/>
    <cellStyle name="Normal 3 19 8 2 7" xfId="10049" xr:uid="{00000000-0005-0000-0000-0000CE3F0000}"/>
    <cellStyle name="Normal 3 19 8 2 7 2" xfId="27611" xr:uid="{00000000-0005-0000-0000-0000CF3F0000}"/>
    <cellStyle name="Normal 3 19 8 2 8" xfId="10050" xr:uid="{00000000-0005-0000-0000-0000D03F0000}"/>
    <cellStyle name="Normal 3 19 8 2 8 2" xfId="27612" xr:uid="{00000000-0005-0000-0000-0000D13F0000}"/>
    <cellStyle name="Normal 3 19 8 2 9" xfId="10051" xr:uid="{00000000-0005-0000-0000-0000D23F0000}"/>
    <cellStyle name="Normal 3 19 8 2 9 2" xfId="27613" xr:uid="{00000000-0005-0000-0000-0000D33F0000}"/>
    <cellStyle name="Normal 3 19 8 3" xfId="10052" xr:uid="{00000000-0005-0000-0000-0000D43F0000}"/>
    <cellStyle name="Normal 3 19 8 3 2" xfId="27614" xr:uid="{00000000-0005-0000-0000-0000D53F0000}"/>
    <cellStyle name="Normal 3 19 8 4" xfId="10053" xr:uid="{00000000-0005-0000-0000-0000D63F0000}"/>
    <cellStyle name="Normal 3 19 8 4 2" xfId="27615" xr:uid="{00000000-0005-0000-0000-0000D73F0000}"/>
    <cellStyle name="Normal 3 19 8 5" xfId="10054" xr:uid="{00000000-0005-0000-0000-0000D83F0000}"/>
    <cellStyle name="Normal 3 19 8 5 2" xfId="27616" xr:uid="{00000000-0005-0000-0000-0000D93F0000}"/>
    <cellStyle name="Normal 3 19 8 6" xfId="10055" xr:uid="{00000000-0005-0000-0000-0000DA3F0000}"/>
    <cellStyle name="Normal 3 19 8 6 2" xfId="27617" xr:uid="{00000000-0005-0000-0000-0000DB3F0000}"/>
    <cellStyle name="Normal 3 19 8 7" xfId="10056" xr:uid="{00000000-0005-0000-0000-0000DC3F0000}"/>
    <cellStyle name="Normal 3 19 8 7 2" xfId="27618" xr:uid="{00000000-0005-0000-0000-0000DD3F0000}"/>
    <cellStyle name="Normal 3 19 8 8" xfId="10057" xr:uid="{00000000-0005-0000-0000-0000DE3F0000}"/>
    <cellStyle name="Normal 3 19 8 8 2" xfId="27619" xr:uid="{00000000-0005-0000-0000-0000DF3F0000}"/>
    <cellStyle name="Normal 3 19 8 9" xfId="10058" xr:uid="{00000000-0005-0000-0000-0000E03F0000}"/>
    <cellStyle name="Normal 3 19 8 9 2" xfId="27620" xr:uid="{00000000-0005-0000-0000-0000E13F0000}"/>
    <cellStyle name="Normal 3 19 9" xfId="10059" xr:uid="{00000000-0005-0000-0000-0000E23F0000}"/>
    <cellStyle name="Normal 3 19 9 10" xfId="10060" xr:uid="{00000000-0005-0000-0000-0000E33F0000}"/>
    <cellStyle name="Normal 3 19 9 10 2" xfId="27622" xr:uid="{00000000-0005-0000-0000-0000E43F0000}"/>
    <cellStyle name="Normal 3 19 9 11" xfId="10061" xr:uid="{00000000-0005-0000-0000-0000E53F0000}"/>
    <cellStyle name="Normal 3 19 9 11 2" xfId="27623" xr:uid="{00000000-0005-0000-0000-0000E63F0000}"/>
    <cellStyle name="Normal 3 19 9 12" xfId="10062" xr:uid="{00000000-0005-0000-0000-0000E73F0000}"/>
    <cellStyle name="Normal 3 19 9 12 2" xfId="27624" xr:uid="{00000000-0005-0000-0000-0000E83F0000}"/>
    <cellStyle name="Normal 3 19 9 13" xfId="10063" xr:uid="{00000000-0005-0000-0000-0000E93F0000}"/>
    <cellStyle name="Normal 3 19 9 13 2" xfId="27625" xr:uid="{00000000-0005-0000-0000-0000EA3F0000}"/>
    <cellStyle name="Normal 3 19 9 14" xfId="10064" xr:uid="{00000000-0005-0000-0000-0000EB3F0000}"/>
    <cellStyle name="Normal 3 19 9 14 2" xfId="27626" xr:uid="{00000000-0005-0000-0000-0000EC3F0000}"/>
    <cellStyle name="Normal 3 19 9 15" xfId="27621" xr:uid="{00000000-0005-0000-0000-0000ED3F0000}"/>
    <cellStyle name="Normal 3 19 9 2" xfId="10065" xr:uid="{00000000-0005-0000-0000-0000EE3F0000}"/>
    <cellStyle name="Normal 3 19 9 2 2" xfId="27627" xr:uid="{00000000-0005-0000-0000-0000EF3F0000}"/>
    <cellStyle name="Normal 3 19 9 3" xfId="10066" xr:uid="{00000000-0005-0000-0000-0000F03F0000}"/>
    <cellStyle name="Normal 3 19 9 3 2" xfId="27628" xr:uid="{00000000-0005-0000-0000-0000F13F0000}"/>
    <cellStyle name="Normal 3 19 9 4" xfId="10067" xr:uid="{00000000-0005-0000-0000-0000F23F0000}"/>
    <cellStyle name="Normal 3 19 9 4 2" xfId="27629" xr:uid="{00000000-0005-0000-0000-0000F33F0000}"/>
    <cellStyle name="Normal 3 19 9 5" xfId="10068" xr:uid="{00000000-0005-0000-0000-0000F43F0000}"/>
    <cellStyle name="Normal 3 19 9 5 2" xfId="27630" xr:uid="{00000000-0005-0000-0000-0000F53F0000}"/>
    <cellStyle name="Normal 3 19 9 6" xfId="10069" xr:uid="{00000000-0005-0000-0000-0000F63F0000}"/>
    <cellStyle name="Normal 3 19 9 6 2" xfId="27631" xr:uid="{00000000-0005-0000-0000-0000F73F0000}"/>
    <cellStyle name="Normal 3 19 9 7" xfId="10070" xr:uid="{00000000-0005-0000-0000-0000F83F0000}"/>
    <cellStyle name="Normal 3 19 9 7 2" xfId="27632" xr:uid="{00000000-0005-0000-0000-0000F93F0000}"/>
    <cellStyle name="Normal 3 19 9 8" xfId="10071" xr:uid="{00000000-0005-0000-0000-0000FA3F0000}"/>
    <cellStyle name="Normal 3 19 9 8 2" xfId="27633" xr:uid="{00000000-0005-0000-0000-0000FB3F0000}"/>
    <cellStyle name="Normal 3 19 9 9" xfId="10072" xr:uid="{00000000-0005-0000-0000-0000FC3F0000}"/>
    <cellStyle name="Normal 3 19 9 9 2" xfId="27634" xr:uid="{00000000-0005-0000-0000-0000FD3F0000}"/>
    <cellStyle name="Normal 3 2" xfId="53" xr:uid="{00000000-0005-0000-0000-0000FE3F0000}"/>
    <cellStyle name="Normal 3 2 10" xfId="177" xr:uid="{00000000-0005-0000-0000-0000FF3F0000}"/>
    <cellStyle name="Normal 3 2 10 2" xfId="502" xr:uid="{00000000-0005-0000-0000-000000400000}"/>
    <cellStyle name="Normal 3 2 11" xfId="10073" xr:uid="{00000000-0005-0000-0000-000001400000}"/>
    <cellStyle name="Normal 3 2 12" xfId="10074" xr:uid="{00000000-0005-0000-0000-000002400000}"/>
    <cellStyle name="Normal 3 2 13" xfId="10075" xr:uid="{00000000-0005-0000-0000-000003400000}"/>
    <cellStyle name="Normal 3 2 14" xfId="10076" xr:uid="{00000000-0005-0000-0000-000004400000}"/>
    <cellStyle name="Normal 3 2 15" xfId="10077" xr:uid="{00000000-0005-0000-0000-000005400000}"/>
    <cellStyle name="Normal 3 2 16" xfId="10078" xr:uid="{00000000-0005-0000-0000-000006400000}"/>
    <cellStyle name="Normal 3 2 17" xfId="10079" xr:uid="{00000000-0005-0000-0000-000007400000}"/>
    <cellStyle name="Normal 3 2 18" xfId="10080" xr:uid="{00000000-0005-0000-0000-000008400000}"/>
    <cellStyle name="Normal 3 2 19" xfId="10081" xr:uid="{00000000-0005-0000-0000-000009400000}"/>
    <cellStyle name="Normal 3 2 2" xfId="54" xr:uid="{00000000-0005-0000-0000-00000A400000}"/>
    <cellStyle name="Normal 3 2 2 2" xfId="37668" xr:uid="{00000000-0005-0000-0000-00000B400000}"/>
    <cellStyle name="Normal 3 2 2 3" xfId="27635" xr:uid="{00000000-0005-0000-0000-00000C400000}"/>
    <cellStyle name="Normal 3 2 20" xfId="10082" xr:uid="{00000000-0005-0000-0000-00000D400000}"/>
    <cellStyle name="Normal 3 2 21" xfId="10083" xr:uid="{00000000-0005-0000-0000-00000E400000}"/>
    <cellStyle name="Normal 3 2 22" xfId="10084" xr:uid="{00000000-0005-0000-0000-00000F400000}"/>
    <cellStyle name="Normal 3 2 23" xfId="10085" xr:uid="{00000000-0005-0000-0000-000010400000}"/>
    <cellStyle name="Normal 3 2 24" xfId="10086" xr:uid="{00000000-0005-0000-0000-000011400000}"/>
    <cellStyle name="Normal 3 2 25" xfId="10087" xr:uid="{00000000-0005-0000-0000-000012400000}"/>
    <cellStyle name="Normal 3 2 25 10" xfId="10088" xr:uid="{00000000-0005-0000-0000-000013400000}"/>
    <cellStyle name="Normal 3 2 25 10 2" xfId="27637" xr:uid="{00000000-0005-0000-0000-000014400000}"/>
    <cellStyle name="Normal 3 2 25 11" xfId="10089" xr:uid="{00000000-0005-0000-0000-000015400000}"/>
    <cellStyle name="Normal 3 2 25 11 2" xfId="27638" xr:uid="{00000000-0005-0000-0000-000016400000}"/>
    <cellStyle name="Normal 3 2 25 12" xfId="10090" xr:uid="{00000000-0005-0000-0000-000017400000}"/>
    <cellStyle name="Normal 3 2 25 12 2" xfId="27639" xr:uid="{00000000-0005-0000-0000-000018400000}"/>
    <cellStyle name="Normal 3 2 25 13" xfId="10091" xr:uid="{00000000-0005-0000-0000-000019400000}"/>
    <cellStyle name="Normal 3 2 25 13 2" xfId="27640" xr:uid="{00000000-0005-0000-0000-00001A400000}"/>
    <cellStyle name="Normal 3 2 25 14" xfId="10092" xr:uid="{00000000-0005-0000-0000-00001B400000}"/>
    <cellStyle name="Normal 3 2 25 14 2" xfId="27641" xr:uid="{00000000-0005-0000-0000-00001C400000}"/>
    <cellStyle name="Normal 3 2 25 15" xfId="10093" xr:uid="{00000000-0005-0000-0000-00001D400000}"/>
    <cellStyle name="Normal 3 2 25 15 2" xfId="27642" xr:uid="{00000000-0005-0000-0000-00001E400000}"/>
    <cellStyle name="Normal 3 2 25 16" xfId="27636" xr:uid="{00000000-0005-0000-0000-00001F400000}"/>
    <cellStyle name="Normal 3 2 25 2" xfId="10094" xr:uid="{00000000-0005-0000-0000-000020400000}"/>
    <cellStyle name="Normal 3 2 25 2 10" xfId="10095" xr:uid="{00000000-0005-0000-0000-000021400000}"/>
    <cellStyle name="Normal 3 2 25 2 10 2" xfId="27644" xr:uid="{00000000-0005-0000-0000-000022400000}"/>
    <cellStyle name="Normal 3 2 25 2 11" xfId="10096" xr:uid="{00000000-0005-0000-0000-000023400000}"/>
    <cellStyle name="Normal 3 2 25 2 11 2" xfId="27645" xr:uid="{00000000-0005-0000-0000-000024400000}"/>
    <cellStyle name="Normal 3 2 25 2 12" xfId="10097" xr:uid="{00000000-0005-0000-0000-000025400000}"/>
    <cellStyle name="Normal 3 2 25 2 12 2" xfId="27646" xr:uid="{00000000-0005-0000-0000-000026400000}"/>
    <cellStyle name="Normal 3 2 25 2 13" xfId="10098" xr:uid="{00000000-0005-0000-0000-000027400000}"/>
    <cellStyle name="Normal 3 2 25 2 13 2" xfId="27647" xr:uid="{00000000-0005-0000-0000-000028400000}"/>
    <cellStyle name="Normal 3 2 25 2 14" xfId="10099" xr:uid="{00000000-0005-0000-0000-000029400000}"/>
    <cellStyle name="Normal 3 2 25 2 14 2" xfId="27648" xr:uid="{00000000-0005-0000-0000-00002A400000}"/>
    <cellStyle name="Normal 3 2 25 2 15" xfId="27643" xr:uid="{00000000-0005-0000-0000-00002B400000}"/>
    <cellStyle name="Normal 3 2 25 2 2" xfId="10100" xr:uid="{00000000-0005-0000-0000-00002C400000}"/>
    <cellStyle name="Normal 3 2 25 2 2 2" xfId="27649" xr:uid="{00000000-0005-0000-0000-00002D400000}"/>
    <cellStyle name="Normal 3 2 25 2 3" xfId="10101" xr:uid="{00000000-0005-0000-0000-00002E400000}"/>
    <cellStyle name="Normal 3 2 25 2 3 2" xfId="27650" xr:uid="{00000000-0005-0000-0000-00002F400000}"/>
    <cellStyle name="Normal 3 2 25 2 4" xfId="10102" xr:uid="{00000000-0005-0000-0000-000030400000}"/>
    <cellStyle name="Normal 3 2 25 2 4 2" xfId="27651" xr:uid="{00000000-0005-0000-0000-000031400000}"/>
    <cellStyle name="Normal 3 2 25 2 5" xfId="10103" xr:uid="{00000000-0005-0000-0000-000032400000}"/>
    <cellStyle name="Normal 3 2 25 2 5 2" xfId="27652" xr:uid="{00000000-0005-0000-0000-000033400000}"/>
    <cellStyle name="Normal 3 2 25 2 6" xfId="10104" xr:uid="{00000000-0005-0000-0000-000034400000}"/>
    <cellStyle name="Normal 3 2 25 2 6 2" xfId="27653" xr:uid="{00000000-0005-0000-0000-000035400000}"/>
    <cellStyle name="Normal 3 2 25 2 7" xfId="10105" xr:uid="{00000000-0005-0000-0000-000036400000}"/>
    <cellStyle name="Normal 3 2 25 2 7 2" xfId="27654" xr:uid="{00000000-0005-0000-0000-000037400000}"/>
    <cellStyle name="Normal 3 2 25 2 8" xfId="10106" xr:uid="{00000000-0005-0000-0000-000038400000}"/>
    <cellStyle name="Normal 3 2 25 2 8 2" xfId="27655" xr:uid="{00000000-0005-0000-0000-000039400000}"/>
    <cellStyle name="Normal 3 2 25 2 9" xfId="10107" xr:uid="{00000000-0005-0000-0000-00003A400000}"/>
    <cellStyle name="Normal 3 2 25 2 9 2" xfId="27656" xr:uid="{00000000-0005-0000-0000-00003B400000}"/>
    <cellStyle name="Normal 3 2 25 3" xfId="10108" xr:uid="{00000000-0005-0000-0000-00003C400000}"/>
    <cellStyle name="Normal 3 2 25 3 2" xfId="27657" xr:uid="{00000000-0005-0000-0000-00003D400000}"/>
    <cellStyle name="Normal 3 2 25 4" xfId="10109" xr:uid="{00000000-0005-0000-0000-00003E400000}"/>
    <cellStyle name="Normal 3 2 25 4 2" xfId="27658" xr:uid="{00000000-0005-0000-0000-00003F400000}"/>
    <cellStyle name="Normal 3 2 25 5" xfId="10110" xr:uid="{00000000-0005-0000-0000-000040400000}"/>
    <cellStyle name="Normal 3 2 25 5 2" xfId="27659" xr:uid="{00000000-0005-0000-0000-000041400000}"/>
    <cellStyle name="Normal 3 2 25 6" xfId="10111" xr:uid="{00000000-0005-0000-0000-000042400000}"/>
    <cellStyle name="Normal 3 2 25 6 2" xfId="27660" xr:uid="{00000000-0005-0000-0000-000043400000}"/>
    <cellStyle name="Normal 3 2 25 7" xfId="10112" xr:uid="{00000000-0005-0000-0000-000044400000}"/>
    <cellStyle name="Normal 3 2 25 7 2" xfId="27661" xr:uid="{00000000-0005-0000-0000-000045400000}"/>
    <cellStyle name="Normal 3 2 25 8" xfId="10113" xr:uid="{00000000-0005-0000-0000-000046400000}"/>
    <cellStyle name="Normal 3 2 25 8 2" xfId="27662" xr:uid="{00000000-0005-0000-0000-000047400000}"/>
    <cellStyle name="Normal 3 2 25 9" xfId="10114" xr:uid="{00000000-0005-0000-0000-000048400000}"/>
    <cellStyle name="Normal 3 2 25 9 2" xfId="27663" xr:uid="{00000000-0005-0000-0000-000049400000}"/>
    <cellStyle name="Normal 3 2 26" xfId="10115" xr:uid="{00000000-0005-0000-0000-00004A400000}"/>
    <cellStyle name="Normal 3 2 26 10" xfId="10116" xr:uid="{00000000-0005-0000-0000-00004B400000}"/>
    <cellStyle name="Normal 3 2 26 10 2" xfId="27665" xr:uid="{00000000-0005-0000-0000-00004C400000}"/>
    <cellStyle name="Normal 3 2 26 11" xfId="10117" xr:uid="{00000000-0005-0000-0000-00004D400000}"/>
    <cellStyle name="Normal 3 2 26 11 2" xfId="27666" xr:uid="{00000000-0005-0000-0000-00004E400000}"/>
    <cellStyle name="Normal 3 2 26 12" xfId="10118" xr:uid="{00000000-0005-0000-0000-00004F400000}"/>
    <cellStyle name="Normal 3 2 26 12 2" xfId="27667" xr:uid="{00000000-0005-0000-0000-000050400000}"/>
    <cellStyle name="Normal 3 2 26 13" xfId="10119" xr:uid="{00000000-0005-0000-0000-000051400000}"/>
    <cellStyle name="Normal 3 2 26 13 2" xfId="27668" xr:uid="{00000000-0005-0000-0000-000052400000}"/>
    <cellStyle name="Normal 3 2 26 14" xfId="10120" xr:uid="{00000000-0005-0000-0000-000053400000}"/>
    <cellStyle name="Normal 3 2 26 14 2" xfId="27669" xr:uid="{00000000-0005-0000-0000-000054400000}"/>
    <cellStyle name="Normal 3 2 26 15" xfId="10121" xr:uid="{00000000-0005-0000-0000-000055400000}"/>
    <cellStyle name="Normal 3 2 26 15 2" xfId="27670" xr:uid="{00000000-0005-0000-0000-000056400000}"/>
    <cellStyle name="Normal 3 2 26 16" xfId="27664" xr:uid="{00000000-0005-0000-0000-000057400000}"/>
    <cellStyle name="Normal 3 2 26 2" xfId="10122" xr:uid="{00000000-0005-0000-0000-000058400000}"/>
    <cellStyle name="Normal 3 2 26 2 10" xfId="10123" xr:uid="{00000000-0005-0000-0000-000059400000}"/>
    <cellStyle name="Normal 3 2 26 2 10 2" xfId="27672" xr:uid="{00000000-0005-0000-0000-00005A400000}"/>
    <cellStyle name="Normal 3 2 26 2 11" xfId="10124" xr:uid="{00000000-0005-0000-0000-00005B400000}"/>
    <cellStyle name="Normal 3 2 26 2 11 2" xfId="27673" xr:uid="{00000000-0005-0000-0000-00005C400000}"/>
    <cellStyle name="Normal 3 2 26 2 12" xfId="10125" xr:uid="{00000000-0005-0000-0000-00005D400000}"/>
    <cellStyle name="Normal 3 2 26 2 12 2" xfId="27674" xr:uid="{00000000-0005-0000-0000-00005E400000}"/>
    <cellStyle name="Normal 3 2 26 2 13" xfId="10126" xr:uid="{00000000-0005-0000-0000-00005F400000}"/>
    <cellStyle name="Normal 3 2 26 2 13 2" xfId="27675" xr:uid="{00000000-0005-0000-0000-000060400000}"/>
    <cellStyle name="Normal 3 2 26 2 14" xfId="10127" xr:uid="{00000000-0005-0000-0000-000061400000}"/>
    <cellStyle name="Normal 3 2 26 2 14 2" xfId="27676" xr:uid="{00000000-0005-0000-0000-000062400000}"/>
    <cellStyle name="Normal 3 2 26 2 15" xfId="27671" xr:uid="{00000000-0005-0000-0000-000063400000}"/>
    <cellStyle name="Normal 3 2 26 2 2" xfId="10128" xr:uid="{00000000-0005-0000-0000-000064400000}"/>
    <cellStyle name="Normal 3 2 26 2 2 2" xfId="27677" xr:uid="{00000000-0005-0000-0000-000065400000}"/>
    <cellStyle name="Normal 3 2 26 2 3" xfId="10129" xr:uid="{00000000-0005-0000-0000-000066400000}"/>
    <cellStyle name="Normal 3 2 26 2 3 2" xfId="27678" xr:uid="{00000000-0005-0000-0000-000067400000}"/>
    <cellStyle name="Normal 3 2 26 2 4" xfId="10130" xr:uid="{00000000-0005-0000-0000-000068400000}"/>
    <cellStyle name="Normal 3 2 26 2 4 2" xfId="27679" xr:uid="{00000000-0005-0000-0000-000069400000}"/>
    <cellStyle name="Normal 3 2 26 2 5" xfId="10131" xr:uid="{00000000-0005-0000-0000-00006A400000}"/>
    <cellStyle name="Normal 3 2 26 2 5 2" xfId="27680" xr:uid="{00000000-0005-0000-0000-00006B400000}"/>
    <cellStyle name="Normal 3 2 26 2 6" xfId="10132" xr:uid="{00000000-0005-0000-0000-00006C400000}"/>
    <cellStyle name="Normal 3 2 26 2 6 2" xfId="27681" xr:uid="{00000000-0005-0000-0000-00006D400000}"/>
    <cellStyle name="Normal 3 2 26 2 7" xfId="10133" xr:uid="{00000000-0005-0000-0000-00006E400000}"/>
    <cellStyle name="Normal 3 2 26 2 7 2" xfId="27682" xr:uid="{00000000-0005-0000-0000-00006F400000}"/>
    <cellStyle name="Normal 3 2 26 2 8" xfId="10134" xr:uid="{00000000-0005-0000-0000-000070400000}"/>
    <cellStyle name="Normal 3 2 26 2 8 2" xfId="27683" xr:uid="{00000000-0005-0000-0000-000071400000}"/>
    <cellStyle name="Normal 3 2 26 2 9" xfId="10135" xr:uid="{00000000-0005-0000-0000-000072400000}"/>
    <cellStyle name="Normal 3 2 26 2 9 2" xfId="27684" xr:uid="{00000000-0005-0000-0000-000073400000}"/>
    <cellStyle name="Normal 3 2 26 3" xfId="10136" xr:uid="{00000000-0005-0000-0000-000074400000}"/>
    <cellStyle name="Normal 3 2 26 3 2" xfId="27685" xr:uid="{00000000-0005-0000-0000-000075400000}"/>
    <cellStyle name="Normal 3 2 26 4" xfId="10137" xr:uid="{00000000-0005-0000-0000-000076400000}"/>
    <cellStyle name="Normal 3 2 26 4 2" xfId="27686" xr:uid="{00000000-0005-0000-0000-000077400000}"/>
    <cellStyle name="Normal 3 2 26 5" xfId="10138" xr:uid="{00000000-0005-0000-0000-000078400000}"/>
    <cellStyle name="Normal 3 2 26 5 2" xfId="27687" xr:uid="{00000000-0005-0000-0000-000079400000}"/>
    <cellStyle name="Normal 3 2 26 6" xfId="10139" xr:uid="{00000000-0005-0000-0000-00007A400000}"/>
    <cellStyle name="Normal 3 2 26 6 2" xfId="27688" xr:uid="{00000000-0005-0000-0000-00007B400000}"/>
    <cellStyle name="Normal 3 2 26 7" xfId="10140" xr:uid="{00000000-0005-0000-0000-00007C400000}"/>
    <cellStyle name="Normal 3 2 26 7 2" xfId="27689" xr:uid="{00000000-0005-0000-0000-00007D400000}"/>
    <cellStyle name="Normal 3 2 26 8" xfId="10141" xr:uid="{00000000-0005-0000-0000-00007E400000}"/>
    <cellStyle name="Normal 3 2 26 8 2" xfId="27690" xr:uid="{00000000-0005-0000-0000-00007F400000}"/>
    <cellStyle name="Normal 3 2 26 9" xfId="10142" xr:uid="{00000000-0005-0000-0000-000080400000}"/>
    <cellStyle name="Normal 3 2 26 9 2" xfId="27691" xr:uid="{00000000-0005-0000-0000-000081400000}"/>
    <cellStyle name="Normal 3 2 27" xfId="10143" xr:uid="{00000000-0005-0000-0000-000082400000}"/>
    <cellStyle name="Normal 3 2 27 10" xfId="10144" xr:uid="{00000000-0005-0000-0000-000083400000}"/>
    <cellStyle name="Normal 3 2 27 10 2" xfId="27693" xr:uid="{00000000-0005-0000-0000-000084400000}"/>
    <cellStyle name="Normal 3 2 27 11" xfId="10145" xr:uid="{00000000-0005-0000-0000-000085400000}"/>
    <cellStyle name="Normal 3 2 27 11 2" xfId="27694" xr:uid="{00000000-0005-0000-0000-000086400000}"/>
    <cellStyle name="Normal 3 2 27 12" xfId="10146" xr:uid="{00000000-0005-0000-0000-000087400000}"/>
    <cellStyle name="Normal 3 2 27 12 2" xfId="27695" xr:uid="{00000000-0005-0000-0000-000088400000}"/>
    <cellStyle name="Normal 3 2 27 13" xfId="10147" xr:uid="{00000000-0005-0000-0000-000089400000}"/>
    <cellStyle name="Normal 3 2 27 13 2" xfId="27696" xr:uid="{00000000-0005-0000-0000-00008A400000}"/>
    <cellStyle name="Normal 3 2 27 14" xfId="10148" xr:uid="{00000000-0005-0000-0000-00008B400000}"/>
    <cellStyle name="Normal 3 2 27 14 2" xfId="27697" xr:uid="{00000000-0005-0000-0000-00008C400000}"/>
    <cellStyle name="Normal 3 2 27 15" xfId="10149" xr:uid="{00000000-0005-0000-0000-00008D400000}"/>
    <cellStyle name="Normal 3 2 27 15 2" xfId="27698" xr:uid="{00000000-0005-0000-0000-00008E400000}"/>
    <cellStyle name="Normal 3 2 27 16" xfId="27692" xr:uid="{00000000-0005-0000-0000-00008F400000}"/>
    <cellStyle name="Normal 3 2 27 2" xfId="10150" xr:uid="{00000000-0005-0000-0000-000090400000}"/>
    <cellStyle name="Normal 3 2 27 2 10" xfId="10151" xr:uid="{00000000-0005-0000-0000-000091400000}"/>
    <cellStyle name="Normal 3 2 27 2 10 2" xfId="27700" xr:uid="{00000000-0005-0000-0000-000092400000}"/>
    <cellStyle name="Normal 3 2 27 2 11" xfId="10152" xr:uid="{00000000-0005-0000-0000-000093400000}"/>
    <cellStyle name="Normal 3 2 27 2 11 2" xfId="27701" xr:uid="{00000000-0005-0000-0000-000094400000}"/>
    <cellStyle name="Normal 3 2 27 2 12" xfId="10153" xr:uid="{00000000-0005-0000-0000-000095400000}"/>
    <cellStyle name="Normal 3 2 27 2 12 2" xfId="27702" xr:uid="{00000000-0005-0000-0000-000096400000}"/>
    <cellStyle name="Normal 3 2 27 2 13" xfId="10154" xr:uid="{00000000-0005-0000-0000-000097400000}"/>
    <cellStyle name="Normal 3 2 27 2 13 2" xfId="27703" xr:uid="{00000000-0005-0000-0000-000098400000}"/>
    <cellStyle name="Normal 3 2 27 2 14" xfId="10155" xr:uid="{00000000-0005-0000-0000-000099400000}"/>
    <cellStyle name="Normal 3 2 27 2 14 2" xfId="27704" xr:uid="{00000000-0005-0000-0000-00009A400000}"/>
    <cellStyle name="Normal 3 2 27 2 15" xfId="27699" xr:uid="{00000000-0005-0000-0000-00009B400000}"/>
    <cellStyle name="Normal 3 2 27 2 2" xfId="10156" xr:uid="{00000000-0005-0000-0000-00009C400000}"/>
    <cellStyle name="Normal 3 2 27 2 2 2" xfId="27705" xr:uid="{00000000-0005-0000-0000-00009D400000}"/>
    <cellStyle name="Normal 3 2 27 2 3" xfId="10157" xr:uid="{00000000-0005-0000-0000-00009E400000}"/>
    <cellStyle name="Normal 3 2 27 2 3 2" xfId="27706" xr:uid="{00000000-0005-0000-0000-00009F400000}"/>
    <cellStyle name="Normal 3 2 27 2 4" xfId="10158" xr:uid="{00000000-0005-0000-0000-0000A0400000}"/>
    <cellStyle name="Normal 3 2 27 2 4 2" xfId="27707" xr:uid="{00000000-0005-0000-0000-0000A1400000}"/>
    <cellStyle name="Normal 3 2 27 2 5" xfId="10159" xr:uid="{00000000-0005-0000-0000-0000A2400000}"/>
    <cellStyle name="Normal 3 2 27 2 5 2" xfId="27708" xr:uid="{00000000-0005-0000-0000-0000A3400000}"/>
    <cellStyle name="Normal 3 2 27 2 6" xfId="10160" xr:uid="{00000000-0005-0000-0000-0000A4400000}"/>
    <cellStyle name="Normal 3 2 27 2 6 2" xfId="27709" xr:uid="{00000000-0005-0000-0000-0000A5400000}"/>
    <cellStyle name="Normal 3 2 27 2 7" xfId="10161" xr:uid="{00000000-0005-0000-0000-0000A6400000}"/>
    <cellStyle name="Normal 3 2 27 2 7 2" xfId="27710" xr:uid="{00000000-0005-0000-0000-0000A7400000}"/>
    <cellStyle name="Normal 3 2 27 2 8" xfId="10162" xr:uid="{00000000-0005-0000-0000-0000A8400000}"/>
    <cellStyle name="Normal 3 2 27 2 8 2" xfId="27711" xr:uid="{00000000-0005-0000-0000-0000A9400000}"/>
    <cellStyle name="Normal 3 2 27 2 9" xfId="10163" xr:uid="{00000000-0005-0000-0000-0000AA400000}"/>
    <cellStyle name="Normal 3 2 27 2 9 2" xfId="27712" xr:uid="{00000000-0005-0000-0000-0000AB400000}"/>
    <cellStyle name="Normal 3 2 27 3" xfId="10164" xr:uid="{00000000-0005-0000-0000-0000AC400000}"/>
    <cellStyle name="Normal 3 2 27 3 2" xfId="27713" xr:uid="{00000000-0005-0000-0000-0000AD400000}"/>
    <cellStyle name="Normal 3 2 27 4" xfId="10165" xr:uid="{00000000-0005-0000-0000-0000AE400000}"/>
    <cellStyle name="Normal 3 2 27 4 2" xfId="27714" xr:uid="{00000000-0005-0000-0000-0000AF400000}"/>
    <cellStyle name="Normal 3 2 27 5" xfId="10166" xr:uid="{00000000-0005-0000-0000-0000B0400000}"/>
    <cellStyle name="Normal 3 2 27 5 2" xfId="27715" xr:uid="{00000000-0005-0000-0000-0000B1400000}"/>
    <cellStyle name="Normal 3 2 27 6" xfId="10167" xr:uid="{00000000-0005-0000-0000-0000B2400000}"/>
    <cellStyle name="Normal 3 2 27 6 2" xfId="27716" xr:uid="{00000000-0005-0000-0000-0000B3400000}"/>
    <cellStyle name="Normal 3 2 27 7" xfId="10168" xr:uid="{00000000-0005-0000-0000-0000B4400000}"/>
    <cellStyle name="Normal 3 2 27 7 2" xfId="27717" xr:uid="{00000000-0005-0000-0000-0000B5400000}"/>
    <cellStyle name="Normal 3 2 27 8" xfId="10169" xr:uid="{00000000-0005-0000-0000-0000B6400000}"/>
    <cellStyle name="Normal 3 2 27 8 2" xfId="27718" xr:uid="{00000000-0005-0000-0000-0000B7400000}"/>
    <cellStyle name="Normal 3 2 27 9" xfId="10170" xr:uid="{00000000-0005-0000-0000-0000B8400000}"/>
    <cellStyle name="Normal 3 2 27 9 2" xfId="27719" xr:uid="{00000000-0005-0000-0000-0000B9400000}"/>
    <cellStyle name="Normal 3 2 28" xfId="10171" xr:uid="{00000000-0005-0000-0000-0000BA400000}"/>
    <cellStyle name="Normal 3 2 28 10" xfId="10172" xr:uid="{00000000-0005-0000-0000-0000BB400000}"/>
    <cellStyle name="Normal 3 2 28 10 2" xfId="27721" xr:uid="{00000000-0005-0000-0000-0000BC400000}"/>
    <cellStyle name="Normal 3 2 28 11" xfId="10173" xr:uid="{00000000-0005-0000-0000-0000BD400000}"/>
    <cellStyle name="Normal 3 2 28 11 2" xfId="27722" xr:uid="{00000000-0005-0000-0000-0000BE400000}"/>
    <cellStyle name="Normal 3 2 28 12" xfId="10174" xr:uid="{00000000-0005-0000-0000-0000BF400000}"/>
    <cellStyle name="Normal 3 2 28 12 2" xfId="27723" xr:uid="{00000000-0005-0000-0000-0000C0400000}"/>
    <cellStyle name="Normal 3 2 28 13" xfId="10175" xr:uid="{00000000-0005-0000-0000-0000C1400000}"/>
    <cellStyle name="Normal 3 2 28 13 2" xfId="27724" xr:uid="{00000000-0005-0000-0000-0000C2400000}"/>
    <cellStyle name="Normal 3 2 28 14" xfId="10176" xr:uid="{00000000-0005-0000-0000-0000C3400000}"/>
    <cellStyle name="Normal 3 2 28 14 2" xfId="27725" xr:uid="{00000000-0005-0000-0000-0000C4400000}"/>
    <cellStyle name="Normal 3 2 28 15" xfId="27720" xr:uid="{00000000-0005-0000-0000-0000C5400000}"/>
    <cellStyle name="Normal 3 2 28 2" xfId="10177" xr:uid="{00000000-0005-0000-0000-0000C6400000}"/>
    <cellStyle name="Normal 3 2 28 2 2" xfId="27726" xr:uid="{00000000-0005-0000-0000-0000C7400000}"/>
    <cellStyle name="Normal 3 2 28 3" xfId="10178" xr:uid="{00000000-0005-0000-0000-0000C8400000}"/>
    <cellStyle name="Normal 3 2 28 3 2" xfId="27727" xr:uid="{00000000-0005-0000-0000-0000C9400000}"/>
    <cellStyle name="Normal 3 2 28 4" xfId="10179" xr:uid="{00000000-0005-0000-0000-0000CA400000}"/>
    <cellStyle name="Normal 3 2 28 4 2" xfId="27728" xr:uid="{00000000-0005-0000-0000-0000CB400000}"/>
    <cellStyle name="Normal 3 2 28 5" xfId="10180" xr:uid="{00000000-0005-0000-0000-0000CC400000}"/>
    <cellStyle name="Normal 3 2 28 5 2" xfId="27729" xr:uid="{00000000-0005-0000-0000-0000CD400000}"/>
    <cellStyle name="Normal 3 2 28 6" xfId="10181" xr:uid="{00000000-0005-0000-0000-0000CE400000}"/>
    <cellStyle name="Normal 3 2 28 6 2" xfId="27730" xr:uid="{00000000-0005-0000-0000-0000CF400000}"/>
    <cellStyle name="Normal 3 2 28 7" xfId="10182" xr:uid="{00000000-0005-0000-0000-0000D0400000}"/>
    <cellStyle name="Normal 3 2 28 7 2" xfId="27731" xr:uid="{00000000-0005-0000-0000-0000D1400000}"/>
    <cellStyle name="Normal 3 2 28 8" xfId="10183" xr:uid="{00000000-0005-0000-0000-0000D2400000}"/>
    <cellStyle name="Normal 3 2 28 8 2" xfId="27732" xr:uid="{00000000-0005-0000-0000-0000D3400000}"/>
    <cellStyle name="Normal 3 2 28 9" xfId="10184" xr:uid="{00000000-0005-0000-0000-0000D4400000}"/>
    <cellStyle name="Normal 3 2 28 9 2" xfId="27733" xr:uid="{00000000-0005-0000-0000-0000D5400000}"/>
    <cellStyle name="Normal 3 2 29" xfId="10185" xr:uid="{00000000-0005-0000-0000-0000D6400000}"/>
    <cellStyle name="Normal 3 2 29 10" xfId="10186" xr:uid="{00000000-0005-0000-0000-0000D7400000}"/>
    <cellStyle name="Normal 3 2 29 10 2" xfId="27735" xr:uid="{00000000-0005-0000-0000-0000D8400000}"/>
    <cellStyle name="Normal 3 2 29 11" xfId="10187" xr:uid="{00000000-0005-0000-0000-0000D9400000}"/>
    <cellStyle name="Normal 3 2 29 11 2" xfId="27736" xr:uid="{00000000-0005-0000-0000-0000DA400000}"/>
    <cellStyle name="Normal 3 2 29 12" xfId="10188" xr:uid="{00000000-0005-0000-0000-0000DB400000}"/>
    <cellStyle name="Normal 3 2 29 12 2" xfId="27737" xr:uid="{00000000-0005-0000-0000-0000DC400000}"/>
    <cellStyle name="Normal 3 2 29 13" xfId="10189" xr:uid="{00000000-0005-0000-0000-0000DD400000}"/>
    <cellStyle name="Normal 3 2 29 13 2" xfId="27738" xr:uid="{00000000-0005-0000-0000-0000DE400000}"/>
    <cellStyle name="Normal 3 2 29 14" xfId="10190" xr:uid="{00000000-0005-0000-0000-0000DF400000}"/>
    <cellStyle name="Normal 3 2 29 14 2" xfId="27739" xr:uid="{00000000-0005-0000-0000-0000E0400000}"/>
    <cellStyle name="Normal 3 2 29 15" xfId="27734" xr:uid="{00000000-0005-0000-0000-0000E1400000}"/>
    <cellStyle name="Normal 3 2 29 2" xfId="10191" xr:uid="{00000000-0005-0000-0000-0000E2400000}"/>
    <cellStyle name="Normal 3 2 29 2 2" xfId="27740" xr:uid="{00000000-0005-0000-0000-0000E3400000}"/>
    <cellStyle name="Normal 3 2 29 3" xfId="10192" xr:uid="{00000000-0005-0000-0000-0000E4400000}"/>
    <cellStyle name="Normal 3 2 29 3 2" xfId="27741" xr:uid="{00000000-0005-0000-0000-0000E5400000}"/>
    <cellStyle name="Normal 3 2 29 4" xfId="10193" xr:uid="{00000000-0005-0000-0000-0000E6400000}"/>
    <cellStyle name="Normal 3 2 29 4 2" xfId="27742" xr:uid="{00000000-0005-0000-0000-0000E7400000}"/>
    <cellStyle name="Normal 3 2 29 5" xfId="10194" xr:uid="{00000000-0005-0000-0000-0000E8400000}"/>
    <cellStyle name="Normal 3 2 29 5 2" xfId="27743" xr:uid="{00000000-0005-0000-0000-0000E9400000}"/>
    <cellStyle name="Normal 3 2 29 6" xfId="10195" xr:uid="{00000000-0005-0000-0000-0000EA400000}"/>
    <cellStyle name="Normal 3 2 29 6 2" xfId="27744" xr:uid="{00000000-0005-0000-0000-0000EB400000}"/>
    <cellStyle name="Normal 3 2 29 7" xfId="10196" xr:uid="{00000000-0005-0000-0000-0000EC400000}"/>
    <cellStyle name="Normal 3 2 29 7 2" xfId="27745" xr:uid="{00000000-0005-0000-0000-0000ED400000}"/>
    <cellStyle name="Normal 3 2 29 8" xfId="10197" xr:uid="{00000000-0005-0000-0000-0000EE400000}"/>
    <cellStyle name="Normal 3 2 29 8 2" xfId="27746" xr:uid="{00000000-0005-0000-0000-0000EF400000}"/>
    <cellStyle name="Normal 3 2 29 9" xfId="10198" xr:uid="{00000000-0005-0000-0000-0000F0400000}"/>
    <cellStyle name="Normal 3 2 29 9 2" xfId="27747" xr:uid="{00000000-0005-0000-0000-0000F1400000}"/>
    <cellStyle name="Normal 3 2 3" xfId="55" xr:uid="{00000000-0005-0000-0000-0000F2400000}"/>
    <cellStyle name="Normal 3 2 3 10" xfId="10199" xr:uid="{00000000-0005-0000-0000-0000F3400000}"/>
    <cellStyle name="Normal 3 2 3 10 2" xfId="27749" xr:uid="{00000000-0005-0000-0000-0000F4400000}"/>
    <cellStyle name="Normal 3 2 3 11" xfId="10200" xr:uid="{00000000-0005-0000-0000-0000F5400000}"/>
    <cellStyle name="Normal 3 2 3 11 2" xfId="27750" xr:uid="{00000000-0005-0000-0000-0000F6400000}"/>
    <cellStyle name="Normal 3 2 3 12" xfId="10201" xr:uid="{00000000-0005-0000-0000-0000F7400000}"/>
    <cellStyle name="Normal 3 2 3 12 2" xfId="27751" xr:uid="{00000000-0005-0000-0000-0000F8400000}"/>
    <cellStyle name="Normal 3 2 3 13" xfId="10202" xr:uid="{00000000-0005-0000-0000-0000F9400000}"/>
    <cellStyle name="Normal 3 2 3 13 2" xfId="27752" xr:uid="{00000000-0005-0000-0000-0000FA400000}"/>
    <cellStyle name="Normal 3 2 3 14" xfId="10203" xr:uid="{00000000-0005-0000-0000-0000FB400000}"/>
    <cellStyle name="Normal 3 2 3 14 2" xfId="27753" xr:uid="{00000000-0005-0000-0000-0000FC400000}"/>
    <cellStyle name="Normal 3 2 3 15" xfId="10204" xr:uid="{00000000-0005-0000-0000-0000FD400000}"/>
    <cellStyle name="Normal 3 2 3 15 2" xfId="27754" xr:uid="{00000000-0005-0000-0000-0000FE400000}"/>
    <cellStyle name="Normal 3 2 3 16" xfId="10205" xr:uid="{00000000-0005-0000-0000-0000FF400000}"/>
    <cellStyle name="Normal 3 2 3 16 2" xfId="27755" xr:uid="{00000000-0005-0000-0000-000000410000}"/>
    <cellStyle name="Normal 3 2 3 17" xfId="10206" xr:uid="{00000000-0005-0000-0000-000001410000}"/>
    <cellStyle name="Normal 3 2 3 17 2" xfId="27756" xr:uid="{00000000-0005-0000-0000-000002410000}"/>
    <cellStyle name="Normal 3 2 3 18" xfId="37669" xr:uid="{00000000-0005-0000-0000-000003410000}"/>
    <cellStyle name="Normal 3 2 3 19" xfId="27748" xr:uid="{00000000-0005-0000-0000-000004410000}"/>
    <cellStyle name="Normal 3 2 3 2" xfId="10207" xr:uid="{00000000-0005-0000-0000-000005410000}"/>
    <cellStyle name="Normal 3 2 3 3" xfId="10208" xr:uid="{00000000-0005-0000-0000-000006410000}"/>
    <cellStyle name="Normal 3 2 3 4" xfId="10209" xr:uid="{00000000-0005-0000-0000-000007410000}"/>
    <cellStyle name="Normal 3 2 3 5" xfId="10210" xr:uid="{00000000-0005-0000-0000-000008410000}"/>
    <cellStyle name="Normal 3 2 3 5 2" xfId="27757" xr:uid="{00000000-0005-0000-0000-000009410000}"/>
    <cellStyle name="Normal 3 2 3 6" xfId="10211" xr:uid="{00000000-0005-0000-0000-00000A410000}"/>
    <cellStyle name="Normal 3 2 3 6 2" xfId="27758" xr:uid="{00000000-0005-0000-0000-00000B410000}"/>
    <cellStyle name="Normal 3 2 3 7" xfId="10212" xr:uid="{00000000-0005-0000-0000-00000C410000}"/>
    <cellStyle name="Normal 3 2 3 7 2" xfId="27759" xr:uid="{00000000-0005-0000-0000-00000D410000}"/>
    <cellStyle name="Normal 3 2 3 8" xfId="10213" xr:uid="{00000000-0005-0000-0000-00000E410000}"/>
    <cellStyle name="Normal 3 2 3 8 2" xfId="27760" xr:uid="{00000000-0005-0000-0000-00000F410000}"/>
    <cellStyle name="Normal 3 2 3 9" xfId="10214" xr:uid="{00000000-0005-0000-0000-000010410000}"/>
    <cellStyle name="Normal 3 2 3 9 2" xfId="27761" xr:uid="{00000000-0005-0000-0000-000011410000}"/>
    <cellStyle name="Normal 3 2 30" xfId="10215" xr:uid="{00000000-0005-0000-0000-000012410000}"/>
    <cellStyle name="Normal 3 2 30 10" xfId="10216" xr:uid="{00000000-0005-0000-0000-000013410000}"/>
    <cellStyle name="Normal 3 2 30 10 2" xfId="27763" xr:uid="{00000000-0005-0000-0000-000014410000}"/>
    <cellStyle name="Normal 3 2 30 11" xfId="10217" xr:uid="{00000000-0005-0000-0000-000015410000}"/>
    <cellStyle name="Normal 3 2 30 11 2" xfId="27764" xr:uid="{00000000-0005-0000-0000-000016410000}"/>
    <cellStyle name="Normal 3 2 30 12" xfId="10218" xr:uid="{00000000-0005-0000-0000-000017410000}"/>
    <cellStyle name="Normal 3 2 30 12 2" xfId="27765" xr:uid="{00000000-0005-0000-0000-000018410000}"/>
    <cellStyle name="Normal 3 2 30 13" xfId="10219" xr:uid="{00000000-0005-0000-0000-000019410000}"/>
    <cellStyle name="Normal 3 2 30 13 2" xfId="27766" xr:uid="{00000000-0005-0000-0000-00001A410000}"/>
    <cellStyle name="Normal 3 2 30 14" xfId="10220" xr:uid="{00000000-0005-0000-0000-00001B410000}"/>
    <cellStyle name="Normal 3 2 30 14 2" xfId="27767" xr:uid="{00000000-0005-0000-0000-00001C410000}"/>
    <cellStyle name="Normal 3 2 30 15" xfId="27762" xr:uid="{00000000-0005-0000-0000-00001D410000}"/>
    <cellStyle name="Normal 3 2 30 2" xfId="10221" xr:uid="{00000000-0005-0000-0000-00001E410000}"/>
    <cellStyle name="Normal 3 2 30 2 2" xfId="27768" xr:uid="{00000000-0005-0000-0000-00001F410000}"/>
    <cellStyle name="Normal 3 2 30 3" xfId="10222" xr:uid="{00000000-0005-0000-0000-000020410000}"/>
    <cellStyle name="Normal 3 2 30 3 2" xfId="27769" xr:uid="{00000000-0005-0000-0000-000021410000}"/>
    <cellStyle name="Normal 3 2 30 4" xfId="10223" xr:uid="{00000000-0005-0000-0000-000022410000}"/>
    <cellStyle name="Normal 3 2 30 4 2" xfId="27770" xr:uid="{00000000-0005-0000-0000-000023410000}"/>
    <cellStyle name="Normal 3 2 30 5" xfId="10224" xr:uid="{00000000-0005-0000-0000-000024410000}"/>
    <cellStyle name="Normal 3 2 30 5 2" xfId="27771" xr:uid="{00000000-0005-0000-0000-000025410000}"/>
    <cellStyle name="Normal 3 2 30 6" xfId="10225" xr:uid="{00000000-0005-0000-0000-000026410000}"/>
    <cellStyle name="Normal 3 2 30 6 2" xfId="27772" xr:uid="{00000000-0005-0000-0000-000027410000}"/>
    <cellStyle name="Normal 3 2 30 7" xfId="10226" xr:uid="{00000000-0005-0000-0000-000028410000}"/>
    <cellStyle name="Normal 3 2 30 7 2" xfId="27773" xr:uid="{00000000-0005-0000-0000-000029410000}"/>
    <cellStyle name="Normal 3 2 30 8" xfId="10227" xr:uid="{00000000-0005-0000-0000-00002A410000}"/>
    <cellStyle name="Normal 3 2 30 8 2" xfId="27774" xr:uid="{00000000-0005-0000-0000-00002B410000}"/>
    <cellStyle name="Normal 3 2 30 9" xfId="10228" xr:uid="{00000000-0005-0000-0000-00002C410000}"/>
    <cellStyle name="Normal 3 2 30 9 2" xfId="27775" xr:uid="{00000000-0005-0000-0000-00002D410000}"/>
    <cellStyle name="Normal 3 2 31" xfId="10229" xr:uid="{00000000-0005-0000-0000-00002E410000}"/>
    <cellStyle name="Normal 3 2 31 10" xfId="10230" xr:uid="{00000000-0005-0000-0000-00002F410000}"/>
    <cellStyle name="Normal 3 2 31 10 2" xfId="27777" xr:uid="{00000000-0005-0000-0000-000030410000}"/>
    <cellStyle name="Normal 3 2 31 11" xfId="10231" xr:uid="{00000000-0005-0000-0000-000031410000}"/>
    <cellStyle name="Normal 3 2 31 11 2" xfId="27778" xr:uid="{00000000-0005-0000-0000-000032410000}"/>
    <cellStyle name="Normal 3 2 31 12" xfId="10232" xr:uid="{00000000-0005-0000-0000-000033410000}"/>
    <cellStyle name="Normal 3 2 31 12 2" xfId="27779" xr:uid="{00000000-0005-0000-0000-000034410000}"/>
    <cellStyle name="Normal 3 2 31 13" xfId="10233" xr:uid="{00000000-0005-0000-0000-000035410000}"/>
    <cellStyle name="Normal 3 2 31 13 2" xfId="27780" xr:uid="{00000000-0005-0000-0000-000036410000}"/>
    <cellStyle name="Normal 3 2 31 14" xfId="10234" xr:uid="{00000000-0005-0000-0000-000037410000}"/>
    <cellStyle name="Normal 3 2 31 14 2" xfId="27781" xr:uid="{00000000-0005-0000-0000-000038410000}"/>
    <cellStyle name="Normal 3 2 31 15" xfId="27776" xr:uid="{00000000-0005-0000-0000-000039410000}"/>
    <cellStyle name="Normal 3 2 31 2" xfId="10235" xr:uid="{00000000-0005-0000-0000-00003A410000}"/>
    <cellStyle name="Normal 3 2 31 2 2" xfId="27782" xr:uid="{00000000-0005-0000-0000-00003B410000}"/>
    <cellStyle name="Normal 3 2 31 3" xfId="10236" xr:uid="{00000000-0005-0000-0000-00003C410000}"/>
    <cellStyle name="Normal 3 2 31 3 2" xfId="27783" xr:uid="{00000000-0005-0000-0000-00003D410000}"/>
    <cellStyle name="Normal 3 2 31 4" xfId="10237" xr:uid="{00000000-0005-0000-0000-00003E410000}"/>
    <cellStyle name="Normal 3 2 31 4 2" xfId="27784" xr:uid="{00000000-0005-0000-0000-00003F410000}"/>
    <cellStyle name="Normal 3 2 31 5" xfId="10238" xr:uid="{00000000-0005-0000-0000-000040410000}"/>
    <cellStyle name="Normal 3 2 31 5 2" xfId="27785" xr:uid="{00000000-0005-0000-0000-000041410000}"/>
    <cellStyle name="Normal 3 2 31 6" xfId="10239" xr:uid="{00000000-0005-0000-0000-000042410000}"/>
    <cellStyle name="Normal 3 2 31 6 2" xfId="27786" xr:uid="{00000000-0005-0000-0000-000043410000}"/>
    <cellStyle name="Normal 3 2 31 7" xfId="10240" xr:uid="{00000000-0005-0000-0000-000044410000}"/>
    <cellStyle name="Normal 3 2 31 7 2" xfId="27787" xr:uid="{00000000-0005-0000-0000-000045410000}"/>
    <cellStyle name="Normal 3 2 31 8" xfId="10241" xr:uid="{00000000-0005-0000-0000-000046410000}"/>
    <cellStyle name="Normal 3 2 31 8 2" xfId="27788" xr:uid="{00000000-0005-0000-0000-000047410000}"/>
    <cellStyle name="Normal 3 2 31 9" xfId="10242" xr:uid="{00000000-0005-0000-0000-000048410000}"/>
    <cellStyle name="Normal 3 2 31 9 2" xfId="27789" xr:uid="{00000000-0005-0000-0000-000049410000}"/>
    <cellStyle name="Normal 3 2 32" xfId="10243" xr:uid="{00000000-0005-0000-0000-00004A410000}"/>
    <cellStyle name="Normal 3 2 32 10" xfId="10244" xr:uid="{00000000-0005-0000-0000-00004B410000}"/>
    <cellStyle name="Normal 3 2 32 10 2" xfId="27791" xr:uid="{00000000-0005-0000-0000-00004C410000}"/>
    <cellStyle name="Normal 3 2 32 11" xfId="10245" xr:uid="{00000000-0005-0000-0000-00004D410000}"/>
    <cellStyle name="Normal 3 2 32 11 2" xfId="27792" xr:uid="{00000000-0005-0000-0000-00004E410000}"/>
    <cellStyle name="Normal 3 2 32 12" xfId="10246" xr:uid="{00000000-0005-0000-0000-00004F410000}"/>
    <cellStyle name="Normal 3 2 32 12 2" xfId="27793" xr:uid="{00000000-0005-0000-0000-000050410000}"/>
    <cellStyle name="Normal 3 2 32 13" xfId="10247" xr:uid="{00000000-0005-0000-0000-000051410000}"/>
    <cellStyle name="Normal 3 2 32 13 2" xfId="27794" xr:uid="{00000000-0005-0000-0000-000052410000}"/>
    <cellStyle name="Normal 3 2 32 14" xfId="10248" xr:uid="{00000000-0005-0000-0000-000053410000}"/>
    <cellStyle name="Normal 3 2 32 14 2" xfId="27795" xr:uid="{00000000-0005-0000-0000-000054410000}"/>
    <cellStyle name="Normal 3 2 32 15" xfId="27790" xr:uid="{00000000-0005-0000-0000-000055410000}"/>
    <cellStyle name="Normal 3 2 32 2" xfId="10249" xr:uid="{00000000-0005-0000-0000-000056410000}"/>
    <cellStyle name="Normal 3 2 32 2 2" xfId="27796" xr:uid="{00000000-0005-0000-0000-000057410000}"/>
    <cellStyle name="Normal 3 2 32 3" xfId="10250" xr:uid="{00000000-0005-0000-0000-000058410000}"/>
    <cellStyle name="Normal 3 2 32 3 2" xfId="27797" xr:uid="{00000000-0005-0000-0000-000059410000}"/>
    <cellStyle name="Normal 3 2 32 4" xfId="10251" xr:uid="{00000000-0005-0000-0000-00005A410000}"/>
    <cellStyle name="Normal 3 2 32 4 2" xfId="27798" xr:uid="{00000000-0005-0000-0000-00005B410000}"/>
    <cellStyle name="Normal 3 2 32 5" xfId="10252" xr:uid="{00000000-0005-0000-0000-00005C410000}"/>
    <cellStyle name="Normal 3 2 32 5 2" xfId="27799" xr:uid="{00000000-0005-0000-0000-00005D410000}"/>
    <cellStyle name="Normal 3 2 32 6" xfId="10253" xr:uid="{00000000-0005-0000-0000-00005E410000}"/>
    <cellStyle name="Normal 3 2 32 6 2" xfId="27800" xr:uid="{00000000-0005-0000-0000-00005F410000}"/>
    <cellStyle name="Normal 3 2 32 7" xfId="10254" xr:uid="{00000000-0005-0000-0000-000060410000}"/>
    <cellStyle name="Normal 3 2 32 7 2" xfId="27801" xr:uid="{00000000-0005-0000-0000-000061410000}"/>
    <cellStyle name="Normal 3 2 32 8" xfId="10255" xr:uid="{00000000-0005-0000-0000-000062410000}"/>
    <cellStyle name="Normal 3 2 32 8 2" xfId="27802" xr:uid="{00000000-0005-0000-0000-000063410000}"/>
    <cellStyle name="Normal 3 2 32 9" xfId="10256" xr:uid="{00000000-0005-0000-0000-000064410000}"/>
    <cellStyle name="Normal 3 2 32 9 2" xfId="27803" xr:uid="{00000000-0005-0000-0000-000065410000}"/>
    <cellStyle name="Normal 3 2 33" xfId="10257" xr:uid="{00000000-0005-0000-0000-000066410000}"/>
    <cellStyle name="Normal 3 2 33 10" xfId="10258" xr:uid="{00000000-0005-0000-0000-000067410000}"/>
    <cellStyle name="Normal 3 2 33 10 2" xfId="27805" xr:uid="{00000000-0005-0000-0000-000068410000}"/>
    <cellStyle name="Normal 3 2 33 11" xfId="10259" xr:uid="{00000000-0005-0000-0000-000069410000}"/>
    <cellStyle name="Normal 3 2 33 11 2" xfId="27806" xr:uid="{00000000-0005-0000-0000-00006A410000}"/>
    <cellStyle name="Normal 3 2 33 12" xfId="10260" xr:uid="{00000000-0005-0000-0000-00006B410000}"/>
    <cellStyle name="Normal 3 2 33 12 2" xfId="27807" xr:uid="{00000000-0005-0000-0000-00006C410000}"/>
    <cellStyle name="Normal 3 2 33 13" xfId="10261" xr:uid="{00000000-0005-0000-0000-00006D410000}"/>
    <cellStyle name="Normal 3 2 33 13 2" xfId="27808" xr:uid="{00000000-0005-0000-0000-00006E410000}"/>
    <cellStyle name="Normal 3 2 33 14" xfId="10262" xr:uid="{00000000-0005-0000-0000-00006F410000}"/>
    <cellStyle name="Normal 3 2 33 14 2" xfId="27809" xr:uid="{00000000-0005-0000-0000-000070410000}"/>
    <cellStyle name="Normal 3 2 33 15" xfId="27804" xr:uid="{00000000-0005-0000-0000-000071410000}"/>
    <cellStyle name="Normal 3 2 33 2" xfId="10263" xr:uid="{00000000-0005-0000-0000-000072410000}"/>
    <cellStyle name="Normal 3 2 33 2 2" xfId="27810" xr:uid="{00000000-0005-0000-0000-000073410000}"/>
    <cellStyle name="Normal 3 2 33 3" xfId="10264" xr:uid="{00000000-0005-0000-0000-000074410000}"/>
    <cellStyle name="Normal 3 2 33 3 2" xfId="27811" xr:uid="{00000000-0005-0000-0000-000075410000}"/>
    <cellStyle name="Normal 3 2 33 4" xfId="10265" xr:uid="{00000000-0005-0000-0000-000076410000}"/>
    <cellStyle name="Normal 3 2 33 4 2" xfId="27812" xr:uid="{00000000-0005-0000-0000-000077410000}"/>
    <cellStyle name="Normal 3 2 33 5" xfId="10266" xr:uid="{00000000-0005-0000-0000-000078410000}"/>
    <cellStyle name="Normal 3 2 33 5 2" xfId="27813" xr:uid="{00000000-0005-0000-0000-000079410000}"/>
    <cellStyle name="Normal 3 2 33 6" xfId="10267" xr:uid="{00000000-0005-0000-0000-00007A410000}"/>
    <cellStyle name="Normal 3 2 33 6 2" xfId="27814" xr:uid="{00000000-0005-0000-0000-00007B410000}"/>
    <cellStyle name="Normal 3 2 33 7" xfId="10268" xr:uid="{00000000-0005-0000-0000-00007C410000}"/>
    <cellStyle name="Normal 3 2 33 7 2" xfId="27815" xr:uid="{00000000-0005-0000-0000-00007D410000}"/>
    <cellStyle name="Normal 3 2 33 8" xfId="10269" xr:uid="{00000000-0005-0000-0000-00007E410000}"/>
    <cellStyle name="Normal 3 2 33 8 2" xfId="27816" xr:uid="{00000000-0005-0000-0000-00007F410000}"/>
    <cellStyle name="Normal 3 2 33 9" xfId="10270" xr:uid="{00000000-0005-0000-0000-000080410000}"/>
    <cellStyle name="Normal 3 2 33 9 2" xfId="27817" xr:uid="{00000000-0005-0000-0000-000081410000}"/>
    <cellStyle name="Normal 3 2 34" xfId="10271" xr:uid="{00000000-0005-0000-0000-000082410000}"/>
    <cellStyle name="Normal 3 2 35" xfId="10272" xr:uid="{00000000-0005-0000-0000-000083410000}"/>
    <cellStyle name="Normal 3 2 36" xfId="10273" xr:uid="{00000000-0005-0000-0000-000084410000}"/>
    <cellStyle name="Normal 3 2 36 10" xfId="10274" xr:uid="{00000000-0005-0000-0000-000085410000}"/>
    <cellStyle name="Normal 3 2 36 10 2" xfId="27819" xr:uid="{00000000-0005-0000-0000-000086410000}"/>
    <cellStyle name="Normal 3 2 36 11" xfId="10275" xr:uid="{00000000-0005-0000-0000-000087410000}"/>
    <cellStyle name="Normal 3 2 36 11 2" xfId="27820" xr:uid="{00000000-0005-0000-0000-000088410000}"/>
    <cellStyle name="Normal 3 2 36 12" xfId="10276" xr:uid="{00000000-0005-0000-0000-000089410000}"/>
    <cellStyle name="Normal 3 2 36 12 2" xfId="27821" xr:uid="{00000000-0005-0000-0000-00008A410000}"/>
    <cellStyle name="Normal 3 2 36 13" xfId="10277" xr:uid="{00000000-0005-0000-0000-00008B410000}"/>
    <cellStyle name="Normal 3 2 36 13 2" xfId="27822" xr:uid="{00000000-0005-0000-0000-00008C410000}"/>
    <cellStyle name="Normal 3 2 36 14" xfId="10278" xr:uid="{00000000-0005-0000-0000-00008D410000}"/>
    <cellStyle name="Normal 3 2 36 14 2" xfId="27823" xr:uid="{00000000-0005-0000-0000-00008E410000}"/>
    <cellStyle name="Normal 3 2 36 15" xfId="27818" xr:uid="{00000000-0005-0000-0000-00008F410000}"/>
    <cellStyle name="Normal 3 2 36 2" xfId="10279" xr:uid="{00000000-0005-0000-0000-000090410000}"/>
    <cellStyle name="Normal 3 2 36 2 2" xfId="27824" xr:uid="{00000000-0005-0000-0000-000091410000}"/>
    <cellStyle name="Normal 3 2 36 3" xfId="10280" xr:uid="{00000000-0005-0000-0000-000092410000}"/>
    <cellStyle name="Normal 3 2 36 3 2" xfId="27825" xr:uid="{00000000-0005-0000-0000-000093410000}"/>
    <cellStyle name="Normal 3 2 36 4" xfId="10281" xr:uid="{00000000-0005-0000-0000-000094410000}"/>
    <cellStyle name="Normal 3 2 36 4 2" xfId="27826" xr:uid="{00000000-0005-0000-0000-000095410000}"/>
    <cellStyle name="Normal 3 2 36 5" xfId="10282" xr:uid="{00000000-0005-0000-0000-000096410000}"/>
    <cellStyle name="Normal 3 2 36 5 2" xfId="27827" xr:uid="{00000000-0005-0000-0000-000097410000}"/>
    <cellStyle name="Normal 3 2 36 6" xfId="10283" xr:uid="{00000000-0005-0000-0000-000098410000}"/>
    <cellStyle name="Normal 3 2 36 6 2" xfId="27828" xr:uid="{00000000-0005-0000-0000-000099410000}"/>
    <cellStyle name="Normal 3 2 36 7" xfId="10284" xr:uid="{00000000-0005-0000-0000-00009A410000}"/>
    <cellStyle name="Normal 3 2 36 7 2" xfId="27829" xr:uid="{00000000-0005-0000-0000-00009B410000}"/>
    <cellStyle name="Normal 3 2 36 8" xfId="10285" xr:uid="{00000000-0005-0000-0000-00009C410000}"/>
    <cellStyle name="Normal 3 2 36 8 2" xfId="27830" xr:uid="{00000000-0005-0000-0000-00009D410000}"/>
    <cellStyle name="Normal 3 2 36 9" xfId="10286" xr:uid="{00000000-0005-0000-0000-00009E410000}"/>
    <cellStyle name="Normal 3 2 36 9 2" xfId="27831" xr:uid="{00000000-0005-0000-0000-00009F410000}"/>
    <cellStyle name="Normal 3 2 37" xfId="10287" xr:uid="{00000000-0005-0000-0000-0000A0410000}"/>
    <cellStyle name="Normal 3 2 37 10" xfId="10288" xr:uid="{00000000-0005-0000-0000-0000A1410000}"/>
    <cellStyle name="Normal 3 2 37 10 2" xfId="27833" xr:uid="{00000000-0005-0000-0000-0000A2410000}"/>
    <cellStyle name="Normal 3 2 37 11" xfId="10289" xr:uid="{00000000-0005-0000-0000-0000A3410000}"/>
    <cellStyle name="Normal 3 2 37 11 2" xfId="27834" xr:uid="{00000000-0005-0000-0000-0000A4410000}"/>
    <cellStyle name="Normal 3 2 37 12" xfId="10290" xr:uid="{00000000-0005-0000-0000-0000A5410000}"/>
    <cellStyle name="Normal 3 2 37 12 2" xfId="27835" xr:uid="{00000000-0005-0000-0000-0000A6410000}"/>
    <cellStyle name="Normal 3 2 37 13" xfId="10291" xr:uid="{00000000-0005-0000-0000-0000A7410000}"/>
    <cellStyle name="Normal 3 2 37 13 2" xfId="27836" xr:uid="{00000000-0005-0000-0000-0000A8410000}"/>
    <cellStyle name="Normal 3 2 37 14" xfId="10292" xr:uid="{00000000-0005-0000-0000-0000A9410000}"/>
    <cellStyle name="Normal 3 2 37 14 2" xfId="27837" xr:uid="{00000000-0005-0000-0000-0000AA410000}"/>
    <cellStyle name="Normal 3 2 37 15" xfId="27832" xr:uid="{00000000-0005-0000-0000-0000AB410000}"/>
    <cellStyle name="Normal 3 2 37 2" xfId="10293" xr:uid="{00000000-0005-0000-0000-0000AC410000}"/>
    <cellStyle name="Normal 3 2 37 2 2" xfId="27838" xr:uid="{00000000-0005-0000-0000-0000AD410000}"/>
    <cellStyle name="Normal 3 2 37 3" xfId="10294" xr:uid="{00000000-0005-0000-0000-0000AE410000}"/>
    <cellStyle name="Normal 3 2 37 3 2" xfId="27839" xr:uid="{00000000-0005-0000-0000-0000AF410000}"/>
    <cellStyle name="Normal 3 2 37 4" xfId="10295" xr:uid="{00000000-0005-0000-0000-0000B0410000}"/>
    <cellStyle name="Normal 3 2 37 4 2" xfId="27840" xr:uid="{00000000-0005-0000-0000-0000B1410000}"/>
    <cellStyle name="Normal 3 2 37 5" xfId="10296" xr:uid="{00000000-0005-0000-0000-0000B2410000}"/>
    <cellStyle name="Normal 3 2 37 5 2" xfId="27841" xr:uid="{00000000-0005-0000-0000-0000B3410000}"/>
    <cellStyle name="Normal 3 2 37 6" xfId="10297" xr:uid="{00000000-0005-0000-0000-0000B4410000}"/>
    <cellStyle name="Normal 3 2 37 6 2" xfId="27842" xr:uid="{00000000-0005-0000-0000-0000B5410000}"/>
    <cellStyle name="Normal 3 2 37 7" xfId="10298" xr:uid="{00000000-0005-0000-0000-0000B6410000}"/>
    <cellStyle name="Normal 3 2 37 7 2" xfId="27843" xr:uid="{00000000-0005-0000-0000-0000B7410000}"/>
    <cellStyle name="Normal 3 2 37 8" xfId="10299" xr:uid="{00000000-0005-0000-0000-0000B8410000}"/>
    <cellStyle name="Normal 3 2 37 8 2" xfId="27844" xr:uid="{00000000-0005-0000-0000-0000B9410000}"/>
    <cellStyle name="Normal 3 2 37 9" xfId="10300" xr:uid="{00000000-0005-0000-0000-0000BA410000}"/>
    <cellStyle name="Normal 3 2 37 9 2" xfId="27845" xr:uid="{00000000-0005-0000-0000-0000BB410000}"/>
    <cellStyle name="Normal 3 2 38" xfId="37667" xr:uid="{00000000-0005-0000-0000-0000BC410000}"/>
    <cellStyle name="Normal 3 2 4" xfId="56" xr:uid="{00000000-0005-0000-0000-0000BD410000}"/>
    <cellStyle name="Normal 3 2 4 2" xfId="37670" xr:uid="{00000000-0005-0000-0000-0000BE410000}"/>
    <cellStyle name="Normal 3 2 4 3" xfId="27846" xr:uid="{00000000-0005-0000-0000-0000BF410000}"/>
    <cellStyle name="Normal 3 2 5" xfId="57" xr:uid="{00000000-0005-0000-0000-0000C0410000}"/>
    <cellStyle name="Normal 3 2 5 2" xfId="37671" xr:uid="{00000000-0005-0000-0000-0000C1410000}"/>
    <cellStyle name="Normal 3 2 5 3" xfId="27847" xr:uid="{00000000-0005-0000-0000-0000C2410000}"/>
    <cellStyle name="Normal 3 2 6" xfId="58" xr:uid="{00000000-0005-0000-0000-0000C3410000}"/>
    <cellStyle name="Normal 3 2 6 2" xfId="37672" xr:uid="{00000000-0005-0000-0000-0000C4410000}"/>
    <cellStyle name="Normal 3 2 6 3" xfId="27848" xr:uid="{00000000-0005-0000-0000-0000C5410000}"/>
    <cellStyle name="Normal 3 2 7" xfId="59" xr:uid="{00000000-0005-0000-0000-0000C6410000}"/>
    <cellStyle name="Normal 3 2 7 2" xfId="37673" xr:uid="{00000000-0005-0000-0000-0000C7410000}"/>
    <cellStyle name="Normal 3 2 7 3" xfId="27849" xr:uid="{00000000-0005-0000-0000-0000C8410000}"/>
    <cellStyle name="Normal 3 2 8" xfId="60" xr:uid="{00000000-0005-0000-0000-0000C9410000}"/>
    <cellStyle name="Normal 3 2 8 2" xfId="37674" xr:uid="{00000000-0005-0000-0000-0000CA410000}"/>
    <cellStyle name="Normal 3 2 8 3" xfId="27850" xr:uid="{00000000-0005-0000-0000-0000CB410000}"/>
    <cellStyle name="Normal 3 2 9" xfId="61" xr:uid="{00000000-0005-0000-0000-0000CC410000}"/>
    <cellStyle name="Normal 3 2 9 2" xfId="37675" xr:uid="{00000000-0005-0000-0000-0000CD410000}"/>
    <cellStyle name="Normal 3 2 9 3" xfId="27851" xr:uid="{00000000-0005-0000-0000-0000CE410000}"/>
    <cellStyle name="Normal 3 20" xfId="10301" xr:uid="{00000000-0005-0000-0000-0000CF410000}"/>
    <cellStyle name="Normal 3 20 10" xfId="10302" xr:uid="{00000000-0005-0000-0000-0000D0410000}"/>
    <cellStyle name="Normal 3 20 10 10" xfId="10303" xr:uid="{00000000-0005-0000-0000-0000D1410000}"/>
    <cellStyle name="Normal 3 20 10 10 2" xfId="27854" xr:uid="{00000000-0005-0000-0000-0000D2410000}"/>
    <cellStyle name="Normal 3 20 10 11" xfId="10304" xr:uid="{00000000-0005-0000-0000-0000D3410000}"/>
    <cellStyle name="Normal 3 20 10 11 2" xfId="27855" xr:uid="{00000000-0005-0000-0000-0000D4410000}"/>
    <cellStyle name="Normal 3 20 10 12" xfId="10305" xr:uid="{00000000-0005-0000-0000-0000D5410000}"/>
    <cellStyle name="Normal 3 20 10 12 2" xfId="27856" xr:uid="{00000000-0005-0000-0000-0000D6410000}"/>
    <cellStyle name="Normal 3 20 10 13" xfId="10306" xr:uid="{00000000-0005-0000-0000-0000D7410000}"/>
    <cellStyle name="Normal 3 20 10 13 2" xfId="27857" xr:uid="{00000000-0005-0000-0000-0000D8410000}"/>
    <cellStyle name="Normal 3 20 10 14" xfId="10307" xr:uid="{00000000-0005-0000-0000-0000D9410000}"/>
    <cellStyle name="Normal 3 20 10 14 2" xfId="27858" xr:uid="{00000000-0005-0000-0000-0000DA410000}"/>
    <cellStyle name="Normal 3 20 10 15" xfId="27853" xr:uid="{00000000-0005-0000-0000-0000DB410000}"/>
    <cellStyle name="Normal 3 20 10 2" xfId="10308" xr:uid="{00000000-0005-0000-0000-0000DC410000}"/>
    <cellStyle name="Normal 3 20 10 2 2" xfId="27859" xr:uid="{00000000-0005-0000-0000-0000DD410000}"/>
    <cellStyle name="Normal 3 20 10 3" xfId="10309" xr:uid="{00000000-0005-0000-0000-0000DE410000}"/>
    <cellStyle name="Normal 3 20 10 3 2" xfId="27860" xr:uid="{00000000-0005-0000-0000-0000DF410000}"/>
    <cellStyle name="Normal 3 20 10 4" xfId="10310" xr:uid="{00000000-0005-0000-0000-0000E0410000}"/>
    <cellStyle name="Normal 3 20 10 4 2" xfId="27861" xr:uid="{00000000-0005-0000-0000-0000E1410000}"/>
    <cellStyle name="Normal 3 20 10 5" xfId="10311" xr:uid="{00000000-0005-0000-0000-0000E2410000}"/>
    <cellStyle name="Normal 3 20 10 5 2" xfId="27862" xr:uid="{00000000-0005-0000-0000-0000E3410000}"/>
    <cellStyle name="Normal 3 20 10 6" xfId="10312" xr:uid="{00000000-0005-0000-0000-0000E4410000}"/>
    <cellStyle name="Normal 3 20 10 6 2" xfId="27863" xr:uid="{00000000-0005-0000-0000-0000E5410000}"/>
    <cellStyle name="Normal 3 20 10 7" xfId="10313" xr:uid="{00000000-0005-0000-0000-0000E6410000}"/>
    <cellStyle name="Normal 3 20 10 7 2" xfId="27864" xr:uid="{00000000-0005-0000-0000-0000E7410000}"/>
    <cellStyle name="Normal 3 20 10 8" xfId="10314" xr:uid="{00000000-0005-0000-0000-0000E8410000}"/>
    <cellStyle name="Normal 3 20 10 8 2" xfId="27865" xr:uid="{00000000-0005-0000-0000-0000E9410000}"/>
    <cellStyle name="Normal 3 20 10 9" xfId="10315" xr:uid="{00000000-0005-0000-0000-0000EA410000}"/>
    <cellStyle name="Normal 3 20 10 9 2" xfId="27866" xr:uid="{00000000-0005-0000-0000-0000EB410000}"/>
    <cellStyle name="Normal 3 20 11" xfId="10316" xr:uid="{00000000-0005-0000-0000-0000EC410000}"/>
    <cellStyle name="Normal 3 20 11 10" xfId="10317" xr:uid="{00000000-0005-0000-0000-0000ED410000}"/>
    <cellStyle name="Normal 3 20 11 10 2" xfId="27868" xr:uid="{00000000-0005-0000-0000-0000EE410000}"/>
    <cellStyle name="Normal 3 20 11 11" xfId="10318" xr:uid="{00000000-0005-0000-0000-0000EF410000}"/>
    <cellStyle name="Normal 3 20 11 11 2" xfId="27869" xr:uid="{00000000-0005-0000-0000-0000F0410000}"/>
    <cellStyle name="Normal 3 20 11 12" xfId="10319" xr:uid="{00000000-0005-0000-0000-0000F1410000}"/>
    <cellStyle name="Normal 3 20 11 12 2" xfId="27870" xr:uid="{00000000-0005-0000-0000-0000F2410000}"/>
    <cellStyle name="Normal 3 20 11 13" xfId="10320" xr:uid="{00000000-0005-0000-0000-0000F3410000}"/>
    <cellStyle name="Normal 3 20 11 13 2" xfId="27871" xr:uid="{00000000-0005-0000-0000-0000F4410000}"/>
    <cellStyle name="Normal 3 20 11 14" xfId="10321" xr:uid="{00000000-0005-0000-0000-0000F5410000}"/>
    <cellStyle name="Normal 3 20 11 14 2" xfId="27872" xr:uid="{00000000-0005-0000-0000-0000F6410000}"/>
    <cellStyle name="Normal 3 20 11 15" xfId="27867" xr:uid="{00000000-0005-0000-0000-0000F7410000}"/>
    <cellStyle name="Normal 3 20 11 2" xfId="10322" xr:uid="{00000000-0005-0000-0000-0000F8410000}"/>
    <cellStyle name="Normal 3 20 11 2 2" xfId="27873" xr:uid="{00000000-0005-0000-0000-0000F9410000}"/>
    <cellStyle name="Normal 3 20 11 3" xfId="10323" xr:uid="{00000000-0005-0000-0000-0000FA410000}"/>
    <cellStyle name="Normal 3 20 11 3 2" xfId="27874" xr:uid="{00000000-0005-0000-0000-0000FB410000}"/>
    <cellStyle name="Normal 3 20 11 4" xfId="10324" xr:uid="{00000000-0005-0000-0000-0000FC410000}"/>
    <cellStyle name="Normal 3 20 11 4 2" xfId="27875" xr:uid="{00000000-0005-0000-0000-0000FD410000}"/>
    <cellStyle name="Normal 3 20 11 5" xfId="10325" xr:uid="{00000000-0005-0000-0000-0000FE410000}"/>
    <cellStyle name="Normal 3 20 11 5 2" xfId="27876" xr:uid="{00000000-0005-0000-0000-0000FF410000}"/>
    <cellStyle name="Normal 3 20 11 6" xfId="10326" xr:uid="{00000000-0005-0000-0000-000000420000}"/>
    <cellStyle name="Normal 3 20 11 6 2" xfId="27877" xr:uid="{00000000-0005-0000-0000-000001420000}"/>
    <cellStyle name="Normal 3 20 11 7" xfId="10327" xr:uid="{00000000-0005-0000-0000-000002420000}"/>
    <cellStyle name="Normal 3 20 11 7 2" xfId="27878" xr:uid="{00000000-0005-0000-0000-000003420000}"/>
    <cellStyle name="Normal 3 20 11 8" xfId="10328" xr:uid="{00000000-0005-0000-0000-000004420000}"/>
    <cellStyle name="Normal 3 20 11 8 2" xfId="27879" xr:uid="{00000000-0005-0000-0000-000005420000}"/>
    <cellStyle name="Normal 3 20 11 9" xfId="10329" xr:uid="{00000000-0005-0000-0000-000006420000}"/>
    <cellStyle name="Normal 3 20 11 9 2" xfId="27880" xr:uid="{00000000-0005-0000-0000-000007420000}"/>
    <cellStyle name="Normal 3 20 12" xfId="10330" xr:uid="{00000000-0005-0000-0000-000008420000}"/>
    <cellStyle name="Normal 3 20 12 10" xfId="10331" xr:uid="{00000000-0005-0000-0000-000009420000}"/>
    <cellStyle name="Normal 3 20 12 10 2" xfId="27882" xr:uid="{00000000-0005-0000-0000-00000A420000}"/>
    <cellStyle name="Normal 3 20 12 11" xfId="10332" xr:uid="{00000000-0005-0000-0000-00000B420000}"/>
    <cellStyle name="Normal 3 20 12 11 2" xfId="27883" xr:uid="{00000000-0005-0000-0000-00000C420000}"/>
    <cellStyle name="Normal 3 20 12 12" xfId="10333" xr:uid="{00000000-0005-0000-0000-00000D420000}"/>
    <cellStyle name="Normal 3 20 12 12 2" xfId="27884" xr:uid="{00000000-0005-0000-0000-00000E420000}"/>
    <cellStyle name="Normal 3 20 12 13" xfId="10334" xr:uid="{00000000-0005-0000-0000-00000F420000}"/>
    <cellStyle name="Normal 3 20 12 13 2" xfId="27885" xr:uid="{00000000-0005-0000-0000-000010420000}"/>
    <cellStyle name="Normal 3 20 12 14" xfId="10335" xr:uid="{00000000-0005-0000-0000-000011420000}"/>
    <cellStyle name="Normal 3 20 12 14 2" xfId="27886" xr:uid="{00000000-0005-0000-0000-000012420000}"/>
    <cellStyle name="Normal 3 20 12 15" xfId="27881" xr:uid="{00000000-0005-0000-0000-000013420000}"/>
    <cellStyle name="Normal 3 20 12 2" xfId="10336" xr:uid="{00000000-0005-0000-0000-000014420000}"/>
    <cellStyle name="Normal 3 20 12 2 2" xfId="27887" xr:uid="{00000000-0005-0000-0000-000015420000}"/>
    <cellStyle name="Normal 3 20 12 3" xfId="10337" xr:uid="{00000000-0005-0000-0000-000016420000}"/>
    <cellStyle name="Normal 3 20 12 3 2" xfId="27888" xr:uid="{00000000-0005-0000-0000-000017420000}"/>
    <cellStyle name="Normal 3 20 12 4" xfId="10338" xr:uid="{00000000-0005-0000-0000-000018420000}"/>
    <cellStyle name="Normal 3 20 12 4 2" xfId="27889" xr:uid="{00000000-0005-0000-0000-000019420000}"/>
    <cellStyle name="Normal 3 20 12 5" xfId="10339" xr:uid="{00000000-0005-0000-0000-00001A420000}"/>
    <cellStyle name="Normal 3 20 12 5 2" xfId="27890" xr:uid="{00000000-0005-0000-0000-00001B420000}"/>
    <cellStyle name="Normal 3 20 12 6" xfId="10340" xr:uid="{00000000-0005-0000-0000-00001C420000}"/>
    <cellStyle name="Normal 3 20 12 6 2" xfId="27891" xr:uid="{00000000-0005-0000-0000-00001D420000}"/>
    <cellStyle name="Normal 3 20 12 7" xfId="10341" xr:uid="{00000000-0005-0000-0000-00001E420000}"/>
    <cellStyle name="Normal 3 20 12 7 2" xfId="27892" xr:uid="{00000000-0005-0000-0000-00001F420000}"/>
    <cellStyle name="Normal 3 20 12 8" xfId="10342" xr:uid="{00000000-0005-0000-0000-000020420000}"/>
    <cellStyle name="Normal 3 20 12 8 2" xfId="27893" xr:uid="{00000000-0005-0000-0000-000021420000}"/>
    <cellStyle name="Normal 3 20 12 9" xfId="10343" xr:uid="{00000000-0005-0000-0000-000022420000}"/>
    <cellStyle name="Normal 3 20 12 9 2" xfId="27894" xr:uid="{00000000-0005-0000-0000-000023420000}"/>
    <cellStyle name="Normal 3 20 13" xfId="10344" xr:uid="{00000000-0005-0000-0000-000024420000}"/>
    <cellStyle name="Normal 3 20 13 10" xfId="10345" xr:uid="{00000000-0005-0000-0000-000025420000}"/>
    <cellStyle name="Normal 3 20 13 10 2" xfId="27896" xr:uid="{00000000-0005-0000-0000-000026420000}"/>
    <cellStyle name="Normal 3 20 13 11" xfId="10346" xr:uid="{00000000-0005-0000-0000-000027420000}"/>
    <cellStyle name="Normal 3 20 13 11 2" xfId="27897" xr:uid="{00000000-0005-0000-0000-000028420000}"/>
    <cellStyle name="Normal 3 20 13 12" xfId="10347" xr:uid="{00000000-0005-0000-0000-000029420000}"/>
    <cellStyle name="Normal 3 20 13 12 2" xfId="27898" xr:uid="{00000000-0005-0000-0000-00002A420000}"/>
    <cellStyle name="Normal 3 20 13 13" xfId="10348" xr:uid="{00000000-0005-0000-0000-00002B420000}"/>
    <cellStyle name="Normal 3 20 13 13 2" xfId="27899" xr:uid="{00000000-0005-0000-0000-00002C420000}"/>
    <cellStyle name="Normal 3 20 13 14" xfId="10349" xr:uid="{00000000-0005-0000-0000-00002D420000}"/>
    <cellStyle name="Normal 3 20 13 14 2" xfId="27900" xr:uid="{00000000-0005-0000-0000-00002E420000}"/>
    <cellStyle name="Normal 3 20 13 15" xfId="27895" xr:uid="{00000000-0005-0000-0000-00002F420000}"/>
    <cellStyle name="Normal 3 20 13 2" xfId="10350" xr:uid="{00000000-0005-0000-0000-000030420000}"/>
    <cellStyle name="Normal 3 20 13 2 2" xfId="27901" xr:uid="{00000000-0005-0000-0000-000031420000}"/>
    <cellStyle name="Normal 3 20 13 3" xfId="10351" xr:uid="{00000000-0005-0000-0000-000032420000}"/>
    <cellStyle name="Normal 3 20 13 3 2" xfId="27902" xr:uid="{00000000-0005-0000-0000-000033420000}"/>
    <cellStyle name="Normal 3 20 13 4" xfId="10352" xr:uid="{00000000-0005-0000-0000-000034420000}"/>
    <cellStyle name="Normal 3 20 13 4 2" xfId="27903" xr:uid="{00000000-0005-0000-0000-000035420000}"/>
    <cellStyle name="Normal 3 20 13 5" xfId="10353" xr:uid="{00000000-0005-0000-0000-000036420000}"/>
    <cellStyle name="Normal 3 20 13 5 2" xfId="27904" xr:uid="{00000000-0005-0000-0000-000037420000}"/>
    <cellStyle name="Normal 3 20 13 6" xfId="10354" xr:uid="{00000000-0005-0000-0000-000038420000}"/>
    <cellStyle name="Normal 3 20 13 6 2" xfId="27905" xr:uid="{00000000-0005-0000-0000-000039420000}"/>
    <cellStyle name="Normal 3 20 13 7" xfId="10355" xr:uid="{00000000-0005-0000-0000-00003A420000}"/>
    <cellStyle name="Normal 3 20 13 7 2" xfId="27906" xr:uid="{00000000-0005-0000-0000-00003B420000}"/>
    <cellStyle name="Normal 3 20 13 8" xfId="10356" xr:uid="{00000000-0005-0000-0000-00003C420000}"/>
    <cellStyle name="Normal 3 20 13 8 2" xfId="27907" xr:uid="{00000000-0005-0000-0000-00003D420000}"/>
    <cellStyle name="Normal 3 20 13 9" xfId="10357" xr:uid="{00000000-0005-0000-0000-00003E420000}"/>
    <cellStyle name="Normal 3 20 13 9 2" xfId="27908" xr:uid="{00000000-0005-0000-0000-00003F420000}"/>
    <cellStyle name="Normal 3 20 14" xfId="10358" xr:uid="{00000000-0005-0000-0000-000040420000}"/>
    <cellStyle name="Normal 3 20 14 10" xfId="10359" xr:uid="{00000000-0005-0000-0000-000041420000}"/>
    <cellStyle name="Normal 3 20 14 10 2" xfId="27910" xr:uid="{00000000-0005-0000-0000-000042420000}"/>
    <cellStyle name="Normal 3 20 14 11" xfId="10360" xr:uid="{00000000-0005-0000-0000-000043420000}"/>
    <cellStyle name="Normal 3 20 14 11 2" xfId="27911" xr:uid="{00000000-0005-0000-0000-000044420000}"/>
    <cellStyle name="Normal 3 20 14 12" xfId="10361" xr:uid="{00000000-0005-0000-0000-000045420000}"/>
    <cellStyle name="Normal 3 20 14 12 2" xfId="27912" xr:uid="{00000000-0005-0000-0000-000046420000}"/>
    <cellStyle name="Normal 3 20 14 13" xfId="10362" xr:uid="{00000000-0005-0000-0000-000047420000}"/>
    <cellStyle name="Normal 3 20 14 13 2" xfId="27913" xr:uid="{00000000-0005-0000-0000-000048420000}"/>
    <cellStyle name="Normal 3 20 14 14" xfId="10363" xr:uid="{00000000-0005-0000-0000-000049420000}"/>
    <cellStyle name="Normal 3 20 14 14 2" xfId="27914" xr:uid="{00000000-0005-0000-0000-00004A420000}"/>
    <cellStyle name="Normal 3 20 14 15" xfId="27909" xr:uid="{00000000-0005-0000-0000-00004B420000}"/>
    <cellStyle name="Normal 3 20 14 2" xfId="10364" xr:uid="{00000000-0005-0000-0000-00004C420000}"/>
    <cellStyle name="Normal 3 20 14 2 2" xfId="27915" xr:uid="{00000000-0005-0000-0000-00004D420000}"/>
    <cellStyle name="Normal 3 20 14 3" xfId="10365" xr:uid="{00000000-0005-0000-0000-00004E420000}"/>
    <cellStyle name="Normal 3 20 14 3 2" xfId="27916" xr:uid="{00000000-0005-0000-0000-00004F420000}"/>
    <cellStyle name="Normal 3 20 14 4" xfId="10366" xr:uid="{00000000-0005-0000-0000-000050420000}"/>
    <cellStyle name="Normal 3 20 14 4 2" xfId="27917" xr:uid="{00000000-0005-0000-0000-000051420000}"/>
    <cellStyle name="Normal 3 20 14 5" xfId="10367" xr:uid="{00000000-0005-0000-0000-000052420000}"/>
    <cellStyle name="Normal 3 20 14 5 2" xfId="27918" xr:uid="{00000000-0005-0000-0000-000053420000}"/>
    <cellStyle name="Normal 3 20 14 6" xfId="10368" xr:uid="{00000000-0005-0000-0000-000054420000}"/>
    <cellStyle name="Normal 3 20 14 6 2" xfId="27919" xr:uid="{00000000-0005-0000-0000-000055420000}"/>
    <cellStyle name="Normal 3 20 14 7" xfId="10369" xr:uid="{00000000-0005-0000-0000-000056420000}"/>
    <cellStyle name="Normal 3 20 14 7 2" xfId="27920" xr:uid="{00000000-0005-0000-0000-000057420000}"/>
    <cellStyle name="Normal 3 20 14 8" xfId="10370" xr:uid="{00000000-0005-0000-0000-000058420000}"/>
    <cellStyle name="Normal 3 20 14 8 2" xfId="27921" xr:uid="{00000000-0005-0000-0000-000059420000}"/>
    <cellStyle name="Normal 3 20 14 9" xfId="10371" xr:uid="{00000000-0005-0000-0000-00005A420000}"/>
    <cellStyle name="Normal 3 20 14 9 2" xfId="27922" xr:uid="{00000000-0005-0000-0000-00005B420000}"/>
    <cellStyle name="Normal 3 20 15" xfId="10372" xr:uid="{00000000-0005-0000-0000-00005C420000}"/>
    <cellStyle name="Normal 3 20 15 2" xfId="27923" xr:uid="{00000000-0005-0000-0000-00005D420000}"/>
    <cellStyle name="Normal 3 20 16" xfId="10373" xr:uid="{00000000-0005-0000-0000-00005E420000}"/>
    <cellStyle name="Normal 3 20 16 2" xfId="27924" xr:uid="{00000000-0005-0000-0000-00005F420000}"/>
    <cellStyle name="Normal 3 20 17" xfId="10374" xr:uid="{00000000-0005-0000-0000-000060420000}"/>
    <cellStyle name="Normal 3 20 17 2" xfId="27925" xr:uid="{00000000-0005-0000-0000-000061420000}"/>
    <cellStyle name="Normal 3 20 18" xfId="10375" xr:uid="{00000000-0005-0000-0000-000062420000}"/>
    <cellStyle name="Normal 3 20 18 2" xfId="27926" xr:uid="{00000000-0005-0000-0000-000063420000}"/>
    <cellStyle name="Normal 3 20 19" xfId="10376" xr:uid="{00000000-0005-0000-0000-000064420000}"/>
    <cellStyle name="Normal 3 20 19 2" xfId="27927" xr:uid="{00000000-0005-0000-0000-000065420000}"/>
    <cellStyle name="Normal 3 20 2" xfId="10377" xr:uid="{00000000-0005-0000-0000-000066420000}"/>
    <cellStyle name="Normal 3 20 20" xfId="10378" xr:uid="{00000000-0005-0000-0000-000067420000}"/>
    <cellStyle name="Normal 3 20 20 2" xfId="27928" xr:uid="{00000000-0005-0000-0000-000068420000}"/>
    <cellStyle name="Normal 3 20 21" xfId="10379" xr:uid="{00000000-0005-0000-0000-000069420000}"/>
    <cellStyle name="Normal 3 20 21 2" xfId="27929" xr:uid="{00000000-0005-0000-0000-00006A420000}"/>
    <cellStyle name="Normal 3 20 22" xfId="10380" xr:uid="{00000000-0005-0000-0000-00006B420000}"/>
    <cellStyle name="Normal 3 20 22 2" xfId="27930" xr:uid="{00000000-0005-0000-0000-00006C420000}"/>
    <cellStyle name="Normal 3 20 23" xfId="10381" xr:uid="{00000000-0005-0000-0000-00006D420000}"/>
    <cellStyle name="Normal 3 20 23 2" xfId="27931" xr:uid="{00000000-0005-0000-0000-00006E420000}"/>
    <cellStyle name="Normal 3 20 24" xfId="10382" xr:uid="{00000000-0005-0000-0000-00006F420000}"/>
    <cellStyle name="Normal 3 20 24 2" xfId="27932" xr:uid="{00000000-0005-0000-0000-000070420000}"/>
    <cellStyle name="Normal 3 20 25" xfId="10383" xr:uid="{00000000-0005-0000-0000-000071420000}"/>
    <cellStyle name="Normal 3 20 25 2" xfId="27933" xr:uid="{00000000-0005-0000-0000-000072420000}"/>
    <cellStyle name="Normal 3 20 26" xfId="10384" xr:uid="{00000000-0005-0000-0000-000073420000}"/>
    <cellStyle name="Normal 3 20 26 2" xfId="27934" xr:uid="{00000000-0005-0000-0000-000074420000}"/>
    <cellStyle name="Normal 3 20 27" xfId="10385" xr:uid="{00000000-0005-0000-0000-000075420000}"/>
    <cellStyle name="Normal 3 20 27 2" xfId="27935" xr:uid="{00000000-0005-0000-0000-000076420000}"/>
    <cellStyle name="Normal 3 20 28" xfId="27852" xr:uid="{00000000-0005-0000-0000-000077420000}"/>
    <cellStyle name="Normal 3 20 3" xfId="10386" xr:uid="{00000000-0005-0000-0000-000078420000}"/>
    <cellStyle name="Normal 3 20 4" xfId="10387" xr:uid="{00000000-0005-0000-0000-000079420000}"/>
    <cellStyle name="Normal 3 20 5" xfId="10388" xr:uid="{00000000-0005-0000-0000-00007A420000}"/>
    <cellStyle name="Normal 3 20 6" xfId="10389" xr:uid="{00000000-0005-0000-0000-00007B420000}"/>
    <cellStyle name="Normal 3 20 6 10" xfId="10390" xr:uid="{00000000-0005-0000-0000-00007C420000}"/>
    <cellStyle name="Normal 3 20 6 10 2" xfId="27937" xr:uid="{00000000-0005-0000-0000-00007D420000}"/>
    <cellStyle name="Normal 3 20 6 11" xfId="10391" xr:uid="{00000000-0005-0000-0000-00007E420000}"/>
    <cellStyle name="Normal 3 20 6 11 2" xfId="27938" xr:uid="{00000000-0005-0000-0000-00007F420000}"/>
    <cellStyle name="Normal 3 20 6 12" xfId="10392" xr:uid="{00000000-0005-0000-0000-000080420000}"/>
    <cellStyle name="Normal 3 20 6 12 2" xfId="27939" xr:uid="{00000000-0005-0000-0000-000081420000}"/>
    <cellStyle name="Normal 3 20 6 13" xfId="10393" xr:uid="{00000000-0005-0000-0000-000082420000}"/>
    <cellStyle name="Normal 3 20 6 13 2" xfId="27940" xr:uid="{00000000-0005-0000-0000-000083420000}"/>
    <cellStyle name="Normal 3 20 6 14" xfId="10394" xr:uid="{00000000-0005-0000-0000-000084420000}"/>
    <cellStyle name="Normal 3 20 6 14 2" xfId="27941" xr:uid="{00000000-0005-0000-0000-000085420000}"/>
    <cellStyle name="Normal 3 20 6 15" xfId="10395" xr:uid="{00000000-0005-0000-0000-000086420000}"/>
    <cellStyle name="Normal 3 20 6 15 2" xfId="27942" xr:uid="{00000000-0005-0000-0000-000087420000}"/>
    <cellStyle name="Normal 3 20 6 16" xfId="27936" xr:uid="{00000000-0005-0000-0000-000088420000}"/>
    <cellStyle name="Normal 3 20 6 2" xfId="10396" xr:uid="{00000000-0005-0000-0000-000089420000}"/>
    <cellStyle name="Normal 3 20 6 2 10" xfId="10397" xr:uid="{00000000-0005-0000-0000-00008A420000}"/>
    <cellStyle name="Normal 3 20 6 2 10 2" xfId="27944" xr:uid="{00000000-0005-0000-0000-00008B420000}"/>
    <cellStyle name="Normal 3 20 6 2 11" xfId="10398" xr:uid="{00000000-0005-0000-0000-00008C420000}"/>
    <cellStyle name="Normal 3 20 6 2 11 2" xfId="27945" xr:uid="{00000000-0005-0000-0000-00008D420000}"/>
    <cellStyle name="Normal 3 20 6 2 12" xfId="10399" xr:uid="{00000000-0005-0000-0000-00008E420000}"/>
    <cellStyle name="Normal 3 20 6 2 12 2" xfId="27946" xr:uid="{00000000-0005-0000-0000-00008F420000}"/>
    <cellStyle name="Normal 3 20 6 2 13" xfId="10400" xr:uid="{00000000-0005-0000-0000-000090420000}"/>
    <cellStyle name="Normal 3 20 6 2 13 2" xfId="27947" xr:uid="{00000000-0005-0000-0000-000091420000}"/>
    <cellStyle name="Normal 3 20 6 2 14" xfId="10401" xr:uid="{00000000-0005-0000-0000-000092420000}"/>
    <cellStyle name="Normal 3 20 6 2 14 2" xfId="27948" xr:uid="{00000000-0005-0000-0000-000093420000}"/>
    <cellStyle name="Normal 3 20 6 2 15" xfId="27943" xr:uid="{00000000-0005-0000-0000-000094420000}"/>
    <cellStyle name="Normal 3 20 6 2 2" xfId="10402" xr:uid="{00000000-0005-0000-0000-000095420000}"/>
    <cellStyle name="Normal 3 20 6 2 2 2" xfId="27949" xr:uid="{00000000-0005-0000-0000-000096420000}"/>
    <cellStyle name="Normal 3 20 6 2 3" xfId="10403" xr:uid="{00000000-0005-0000-0000-000097420000}"/>
    <cellStyle name="Normal 3 20 6 2 3 2" xfId="27950" xr:uid="{00000000-0005-0000-0000-000098420000}"/>
    <cellStyle name="Normal 3 20 6 2 4" xfId="10404" xr:uid="{00000000-0005-0000-0000-000099420000}"/>
    <cellStyle name="Normal 3 20 6 2 4 2" xfId="27951" xr:uid="{00000000-0005-0000-0000-00009A420000}"/>
    <cellStyle name="Normal 3 20 6 2 5" xfId="10405" xr:uid="{00000000-0005-0000-0000-00009B420000}"/>
    <cellStyle name="Normal 3 20 6 2 5 2" xfId="27952" xr:uid="{00000000-0005-0000-0000-00009C420000}"/>
    <cellStyle name="Normal 3 20 6 2 6" xfId="10406" xr:uid="{00000000-0005-0000-0000-00009D420000}"/>
    <cellStyle name="Normal 3 20 6 2 6 2" xfId="27953" xr:uid="{00000000-0005-0000-0000-00009E420000}"/>
    <cellStyle name="Normal 3 20 6 2 7" xfId="10407" xr:uid="{00000000-0005-0000-0000-00009F420000}"/>
    <cellStyle name="Normal 3 20 6 2 7 2" xfId="27954" xr:uid="{00000000-0005-0000-0000-0000A0420000}"/>
    <cellStyle name="Normal 3 20 6 2 8" xfId="10408" xr:uid="{00000000-0005-0000-0000-0000A1420000}"/>
    <cellStyle name="Normal 3 20 6 2 8 2" xfId="27955" xr:uid="{00000000-0005-0000-0000-0000A2420000}"/>
    <cellStyle name="Normal 3 20 6 2 9" xfId="10409" xr:uid="{00000000-0005-0000-0000-0000A3420000}"/>
    <cellStyle name="Normal 3 20 6 2 9 2" xfId="27956" xr:uid="{00000000-0005-0000-0000-0000A4420000}"/>
    <cellStyle name="Normal 3 20 6 3" xfId="10410" xr:uid="{00000000-0005-0000-0000-0000A5420000}"/>
    <cellStyle name="Normal 3 20 6 3 2" xfId="27957" xr:uid="{00000000-0005-0000-0000-0000A6420000}"/>
    <cellStyle name="Normal 3 20 6 4" xfId="10411" xr:uid="{00000000-0005-0000-0000-0000A7420000}"/>
    <cellStyle name="Normal 3 20 6 4 2" xfId="27958" xr:uid="{00000000-0005-0000-0000-0000A8420000}"/>
    <cellStyle name="Normal 3 20 6 5" xfId="10412" xr:uid="{00000000-0005-0000-0000-0000A9420000}"/>
    <cellStyle name="Normal 3 20 6 5 2" xfId="27959" xr:uid="{00000000-0005-0000-0000-0000AA420000}"/>
    <cellStyle name="Normal 3 20 6 6" xfId="10413" xr:uid="{00000000-0005-0000-0000-0000AB420000}"/>
    <cellStyle name="Normal 3 20 6 6 2" xfId="27960" xr:uid="{00000000-0005-0000-0000-0000AC420000}"/>
    <cellStyle name="Normal 3 20 6 7" xfId="10414" xr:uid="{00000000-0005-0000-0000-0000AD420000}"/>
    <cellStyle name="Normal 3 20 6 7 2" xfId="27961" xr:uid="{00000000-0005-0000-0000-0000AE420000}"/>
    <cellStyle name="Normal 3 20 6 8" xfId="10415" xr:uid="{00000000-0005-0000-0000-0000AF420000}"/>
    <cellStyle name="Normal 3 20 6 8 2" xfId="27962" xr:uid="{00000000-0005-0000-0000-0000B0420000}"/>
    <cellStyle name="Normal 3 20 6 9" xfId="10416" xr:uid="{00000000-0005-0000-0000-0000B1420000}"/>
    <cellStyle name="Normal 3 20 6 9 2" xfId="27963" xr:uid="{00000000-0005-0000-0000-0000B2420000}"/>
    <cellStyle name="Normal 3 20 7" xfId="10417" xr:uid="{00000000-0005-0000-0000-0000B3420000}"/>
    <cellStyle name="Normal 3 20 7 10" xfId="10418" xr:uid="{00000000-0005-0000-0000-0000B4420000}"/>
    <cellStyle name="Normal 3 20 7 10 2" xfId="27965" xr:uid="{00000000-0005-0000-0000-0000B5420000}"/>
    <cellStyle name="Normal 3 20 7 11" xfId="10419" xr:uid="{00000000-0005-0000-0000-0000B6420000}"/>
    <cellStyle name="Normal 3 20 7 11 2" xfId="27966" xr:uid="{00000000-0005-0000-0000-0000B7420000}"/>
    <cellStyle name="Normal 3 20 7 12" xfId="10420" xr:uid="{00000000-0005-0000-0000-0000B8420000}"/>
    <cellStyle name="Normal 3 20 7 12 2" xfId="27967" xr:uid="{00000000-0005-0000-0000-0000B9420000}"/>
    <cellStyle name="Normal 3 20 7 13" xfId="10421" xr:uid="{00000000-0005-0000-0000-0000BA420000}"/>
    <cellStyle name="Normal 3 20 7 13 2" xfId="27968" xr:uid="{00000000-0005-0000-0000-0000BB420000}"/>
    <cellStyle name="Normal 3 20 7 14" xfId="10422" xr:uid="{00000000-0005-0000-0000-0000BC420000}"/>
    <cellStyle name="Normal 3 20 7 14 2" xfId="27969" xr:uid="{00000000-0005-0000-0000-0000BD420000}"/>
    <cellStyle name="Normal 3 20 7 15" xfId="10423" xr:uid="{00000000-0005-0000-0000-0000BE420000}"/>
    <cellStyle name="Normal 3 20 7 15 2" xfId="27970" xr:uid="{00000000-0005-0000-0000-0000BF420000}"/>
    <cellStyle name="Normal 3 20 7 16" xfId="27964" xr:uid="{00000000-0005-0000-0000-0000C0420000}"/>
    <cellStyle name="Normal 3 20 7 2" xfId="10424" xr:uid="{00000000-0005-0000-0000-0000C1420000}"/>
    <cellStyle name="Normal 3 20 7 2 10" xfId="10425" xr:uid="{00000000-0005-0000-0000-0000C2420000}"/>
    <cellStyle name="Normal 3 20 7 2 10 2" xfId="27972" xr:uid="{00000000-0005-0000-0000-0000C3420000}"/>
    <cellStyle name="Normal 3 20 7 2 11" xfId="10426" xr:uid="{00000000-0005-0000-0000-0000C4420000}"/>
    <cellStyle name="Normal 3 20 7 2 11 2" xfId="27973" xr:uid="{00000000-0005-0000-0000-0000C5420000}"/>
    <cellStyle name="Normal 3 20 7 2 12" xfId="10427" xr:uid="{00000000-0005-0000-0000-0000C6420000}"/>
    <cellStyle name="Normal 3 20 7 2 12 2" xfId="27974" xr:uid="{00000000-0005-0000-0000-0000C7420000}"/>
    <cellStyle name="Normal 3 20 7 2 13" xfId="10428" xr:uid="{00000000-0005-0000-0000-0000C8420000}"/>
    <cellStyle name="Normal 3 20 7 2 13 2" xfId="27975" xr:uid="{00000000-0005-0000-0000-0000C9420000}"/>
    <cellStyle name="Normal 3 20 7 2 14" xfId="10429" xr:uid="{00000000-0005-0000-0000-0000CA420000}"/>
    <cellStyle name="Normal 3 20 7 2 14 2" xfId="27976" xr:uid="{00000000-0005-0000-0000-0000CB420000}"/>
    <cellStyle name="Normal 3 20 7 2 15" xfId="27971" xr:uid="{00000000-0005-0000-0000-0000CC420000}"/>
    <cellStyle name="Normal 3 20 7 2 2" xfId="10430" xr:uid="{00000000-0005-0000-0000-0000CD420000}"/>
    <cellStyle name="Normal 3 20 7 2 2 2" xfId="27977" xr:uid="{00000000-0005-0000-0000-0000CE420000}"/>
    <cellStyle name="Normal 3 20 7 2 3" xfId="10431" xr:uid="{00000000-0005-0000-0000-0000CF420000}"/>
    <cellStyle name="Normal 3 20 7 2 3 2" xfId="27978" xr:uid="{00000000-0005-0000-0000-0000D0420000}"/>
    <cellStyle name="Normal 3 20 7 2 4" xfId="10432" xr:uid="{00000000-0005-0000-0000-0000D1420000}"/>
    <cellStyle name="Normal 3 20 7 2 4 2" xfId="27979" xr:uid="{00000000-0005-0000-0000-0000D2420000}"/>
    <cellStyle name="Normal 3 20 7 2 5" xfId="10433" xr:uid="{00000000-0005-0000-0000-0000D3420000}"/>
    <cellStyle name="Normal 3 20 7 2 5 2" xfId="27980" xr:uid="{00000000-0005-0000-0000-0000D4420000}"/>
    <cellStyle name="Normal 3 20 7 2 6" xfId="10434" xr:uid="{00000000-0005-0000-0000-0000D5420000}"/>
    <cellStyle name="Normal 3 20 7 2 6 2" xfId="27981" xr:uid="{00000000-0005-0000-0000-0000D6420000}"/>
    <cellStyle name="Normal 3 20 7 2 7" xfId="10435" xr:uid="{00000000-0005-0000-0000-0000D7420000}"/>
    <cellStyle name="Normal 3 20 7 2 7 2" xfId="27982" xr:uid="{00000000-0005-0000-0000-0000D8420000}"/>
    <cellStyle name="Normal 3 20 7 2 8" xfId="10436" xr:uid="{00000000-0005-0000-0000-0000D9420000}"/>
    <cellStyle name="Normal 3 20 7 2 8 2" xfId="27983" xr:uid="{00000000-0005-0000-0000-0000DA420000}"/>
    <cellStyle name="Normal 3 20 7 2 9" xfId="10437" xr:uid="{00000000-0005-0000-0000-0000DB420000}"/>
    <cellStyle name="Normal 3 20 7 2 9 2" xfId="27984" xr:uid="{00000000-0005-0000-0000-0000DC420000}"/>
    <cellStyle name="Normal 3 20 7 3" xfId="10438" xr:uid="{00000000-0005-0000-0000-0000DD420000}"/>
    <cellStyle name="Normal 3 20 7 3 2" xfId="27985" xr:uid="{00000000-0005-0000-0000-0000DE420000}"/>
    <cellStyle name="Normal 3 20 7 4" xfId="10439" xr:uid="{00000000-0005-0000-0000-0000DF420000}"/>
    <cellStyle name="Normal 3 20 7 4 2" xfId="27986" xr:uid="{00000000-0005-0000-0000-0000E0420000}"/>
    <cellStyle name="Normal 3 20 7 5" xfId="10440" xr:uid="{00000000-0005-0000-0000-0000E1420000}"/>
    <cellStyle name="Normal 3 20 7 5 2" xfId="27987" xr:uid="{00000000-0005-0000-0000-0000E2420000}"/>
    <cellStyle name="Normal 3 20 7 6" xfId="10441" xr:uid="{00000000-0005-0000-0000-0000E3420000}"/>
    <cellStyle name="Normal 3 20 7 6 2" xfId="27988" xr:uid="{00000000-0005-0000-0000-0000E4420000}"/>
    <cellStyle name="Normal 3 20 7 7" xfId="10442" xr:uid="{00000000-0005-0000-0000-0000E5420000}"/>
    <cellStyle name="Normal 3 20 7 7 2" xfId="27989" xr:uid="{00000000-0005-0000-0000-0000E6420000}"/>
    <cellStyle name="Normal 3 20 7 8" xfId="10443" xr:uid="{00000000-0005-0000-0000-0000E7420000}"/>
    <cellStyle name="Normal 3 20 7 8 2" xfId="27990" xr:uid="{00000000-0005-0000-0000-0000E8420000}"/>
    <cellStyle name="Normal 3 20 7 9" xfId="10444" xr:uid="{00000000-0005-0000-0000-0000E9420000}"/>
    <cellStyle name="Normal 3 20 7 9 2" xfId="27991" xr:uid="{00000000-0005-0000-0000-0000EA420000}"/>
    <cellStyle name="Normal 3 20 8" xfId="10445" xr:uid="{00000000-0005-0000-0000-0000EB420000}"/>
    <cellStyle name="Normal 3 20 8 10" xfId="10446" xr:uid="{00000000-0005-0000-0000-0000EC420000}"/>
    <cellStyle name="Normal 3 20 8 10 2" xfId="27993" xr:uid="{00000000-0005-0000-0000-0000ED420000}"/>
    <cellStyle name="Normal 3 20 8 11" xfId="10447" xr:uid="{00000000-0005-0000-0000-0000EE420000}"/>
    <cellStyle name="Normal 3 20 8 11 2" xfId="27994" xr:uid="{00000000-0005-0000-0000-0000EF420000}"/>
    <cellStyle name="Normal 3 20 8 12" xfId="10448" xr:uid="{00000000-0005-0000-0000-0000F0420000}"/>
    <cellStyle name="Normal 3 20 8 12 2" xfId="27995" xr:uid="{00000000-0005-0000-0000-0000F1420000}"/>
    <cellStyle name="Normal 3 20 8 13" xfId="10449" xr:uid="{00000000-0005-0000-0000-0000F2420000}"/>
    <cellStyle name="Normal 3 20 8 13 2" xfId="27996" xr:uid="{00000000-0005-0000-0000-0000F3420000}"/>
    <cellStyle name="Normal 3 20 8 14" xfId="10450" xr:uid="{00000000-0005-0000-0000-0000F4420000}"/>
    <cellStyle name="Normal 3 20 8 14 2" xfId="27997" xr:uid="{00000000-0005-0000-0000-0000F5420000}"/>
    <cellStyle name="Normal 3 20 8 15" xfId="10451" xr:uid="{00000000-0005-0000-0000-0000F6420000}"/>
    <cellStyle name="Normal 3 20 8 15 2" xfId="27998" xr:uid="{00000000-0005-0000-0000-0000F7420000}"/>
    <cellStyle name="Normal 3 20 8 16" xfId="27992" xr:uid="{00000000-0005-0000-0000-0000F8420000}"/>
    <cellStyle name="Normal 3 20 8 2" xfId="10452" xr:uid="{00000000-0005-0000-0000-0000F9420000}"/>
    <cellStyle name="Normal 3 20 8 2 10" xfId="10453" xr:uid="{00000000-0005-0000-0000-0000FA420000}"/>
    <cellStyle name="Normal 3 20 8 2 10 2" xfId="28000" xr:uid="{00000000-0005-0000-0000-0000FB420000}"/>
    <cellStyle name="Normal 3 20 8 2 11" xfId="10454" xr:uid="{00000000-0005-0000-0000-0000FC420000}"/>
    <cellStyle name="Normal 3 20 8 2 11 2" xfId="28001" xr:uid="{00000000-0005-0000-0000-0000FD420000}"/>
    <cellStyle name="Normal 3 20 8 2 12" xfId="10455" xr:uid="{00000000-0005-0000-0000-0000FE420000}"/>
    <cellStyle name="Normal 3 20 8 2 12 2" xfId="28002" xr:uid="{00000000-0005-0000-0000-0000FF420000}"/>
    <cellStyle name="Normal 3 20 8 2 13" xfId="10456" xr:uid="{00000000-0005-0000-0000-000000430000}"/>
    <cellStyle name="Normal 3 20 8 2 13 2" xfId="28003" xr:uid="{00000000-0005-0000-0000-000001430000}"/>
    <cellStyle name="Normal 3 20 8 2 14" xfId="10457" xr:uid="{00000000-0005-0000-0000-000002430000}"/>
    <cellStyle name="Normal 3 20 8 2 14 2" xfId="28004" xr:uid="{00000000-0005-0000-0000-000003430000}"/>
    <cellStyle name="Normal 3 20 8 2 15" xfId="27999" xr:uid="{00000000-0005-0000-0000-000004430000}"/>
    <cellStyle name="Normal 3 20 8 2 2" xfId="10458" xr:uid="{00000000-0005-0000-0000-000005430000}"/>
    <cellStyle name="Normal 3 20 8 2 2 2" xfId="28005" xr:uid="{00000000-0005-0000-0000-000006430000}"/>
    <cellStyle name="Normal 3 20 8 2 3" xfId="10459" xr:uid="{00000000-0005-0000-0000-000007430000}"/>
    <cellStyle name="Normal 3 20 8 2 3 2" xfId="28006" xr:uid="{00000000-0005-0000-0000-000008430000}"/>
    <cellStyle name="Normal 3 20 8 2 4" xfId="10460" xr:uid="{00000000-0005-0000-0000-000009430000}"/>
    <cellStyle name="Normal 3 20 8 2 4 2" xfId="28007" xr:uid="{00000000-0005-0000-0000-00000A430000}"/>
    <cellStyle name="Normal 3 20 8 2 5" xfId="10461" xr:uid="{00000000-0005-0000-0000-00000B430000}"/>
    <cellStyle name="Normal 3 20 8 2 5 2" xfId="28008" xr:uid="{00000000-0005-0000-0000-00000C430000}"/>
    <cellStyle name="Normal 3 20 8 2 6" xfId="10462" xr:uid="{00000000-0005-0000-0000-00000D430000}"/>
    <cellStyle name="Normal 3 20 8 2 6 2" xfId="28009" xr:uid="{00000000-0005-0000-0000-00000E430000}"/>
    <cellStyle name="Normal 3 20 8 2 7" xfId="10463" xr:uid="{00000000-0005-0000-0000-00000F430000}"/>
    <cellStyle name="Normal 3 20 8 2 7 2" xfId="28010" xr:uid="{00000000-0005-0000-0000-000010430000}"/>
    <cellStyle name="Normal 3 20 8 2 8" xfId="10464" xr:uid="{00000000-0005-0000-0000-000011430000}"/>
    <cellStyle name="Normal 3 20 8 2 8 2" xfId="28011" xr:uid="{00000000-0005-0000-0000-000012430000}"/>
    <cellStyle name="Normal 3 20 8 2 9" xfId="10465" xr:uid="{00000000-0005-0000-0000-000013430000}"/>
    <cellStyle name="Normal 3 20 8 2 9 2" xfId="28012" xr:uid="{00000000-0005-0000-0000-000014430000}"/>
    <cellStyle name="Normal 3 20 8 3" xfId="10466" xr:uid="{00000000-0005-0000-0000-000015430000}"/>
    <cellStyle name="Normal 3 20 8 3 2" xfId="28013" xr:uid="{00000000-0005-0000-0000-000016430000}"/>
    <cellStyle name="Normal 3 20 8 4" xfId="10467" xr:uid="{00000000-0005-0000-0000-000017430000}"/>
    <cellStyle name="Normal 3 20 8 4 2" xfId="28014" xr:uid="{00000000-0005-0000-0000-000018430000}"/>
    <cellStyle name="Normal 3 20 8 5" xfId="10468" xr:uid="{00000000-0005-0000-0000-000019430000}"/>
    <cellStyle name="Normal 3 20 8 5 2" xfId="28015" xr:uid="{00000000-0005-0000-0000-00001A430000}"/>
    <cellStyle name="Normal 3 20 8 6" xfId="10469" xr:uid="{00000000-0005-0000-0000-00001B430000}"/>
    <cellStyle name="Normal 3 20 8 6 2" xfId="28016" xr:uid="{00000000-0005-0000-0000-00001C430000}"/>
    <cellStyle name="Normal 3 20 8 7" xfId="10470" xr:uid="{00000000-0005-0000-0000-00001D430000}"/>
    <cellStyle name="Normal 3 20 8 7 2" xfId="28017" xr:uid="{00000000-0005-0000-0000-00001E430000}"/>
    <cellStyle name="Normal 3 20 8 8" xfId="10471" xr:uid="{00000000-0005-0000-0000-00001F430000}"/>
    <cellStyle name="Normal 3 20 8 8 2" xfId="28018" xr:uid="{00000000-0005-0000-0000-000020430000}"/>
    <cellStyle name="Normal 3 20 8 9" xfId="10472" xr:uid="{00000000-0005-0000-0000-000021430000}"/>
    <cellStyle name="Normal 3 20 8 9 2" xfId="28019" xr:uid="{00000000-0005-0000-0000-000022430000}"/>
    <cellStyle name="Normal 3 20 9" xfId="10473" xr:uid="{00000000-0005-0000-0000-000023430000}"/>
    <cellStyle name="Normal 3 20 9 10" xfId="10474" xr:uid="{00000000-0005-0000-0000-000024430000}"/>
    <cellStyle name="Normal 3 20 9 10 2" xfId="28021" xr:uid="{00000000-0005-0000-0000-000025430000}"/>
    <cellStyle name="Normal 3 20 9 11" xfId="10475" xr:uid="{00000000-0005-0000-0000-000026430000}"/>
    <cellStyle name="Normal 3 20 9 11 2" xfId="28022" xr:uid="{00000000-0005-0000-0000-000027430000}"/>
    <cellStyle name="Normal 3 20 9 12" xfId="10476" xr:uid="{00000000-0005-0000-0000-000028430000}"/>
    <cellStyle name="Normal 3 20 9 12 2" xfId="28023" xr:uid="{00000000-0005-0000-0000-000029430000}"/>
    <cellStyle name="Normal 3 20 9 13" xfId="10477" xr:uid="{00000000-0005-0000-0000-00002A430000}"/>
    <cellStyle name="Normal 3 20 9 13 2" xfId="28024" xr:uid="{00000000-0005-0000-0000-00002B430000}"/>
    <cellStyle name="Normal 3 20 9 14" xfId="10478" xr:uid="{00000000-0005-0000-0000-00002C430000}"/>
    <cellStyle name="Normal 3 20 9 14 2" xfId="28025" xr:uid="{00000000-0005-0000-0000-00002D430000}"/>
    <cellStyle name="Normal 3 20 9 15" xfId="28020" xr:uid="{00000000-0005-0000-0000-00002E430000}"/>
    <cellStyle name="Normal 3 20 9 2" xfId="10479" xr:uid="{00000000-0005-0000-0000-00002F430000}"/>
    <cellStyle name="Normal 3 20 9 2 2" xfId="28026" xr:uid="{00000000-0005-0000-0000-000030430000}"/>
    <cellStyle name="Normal 3 20 9 3" xfId="10480" xr:uid="{00000000-0005-0000-0000-000031430000}"/>
    <cellStyle name="Normal 3 20 9 3 2" xfId="28027" xr:uid="{00000000-0005-0000-0000-000032430000}"/>
    <cellStyle name="Normal 3 20 9 4" xfId="10481" xr:uid="{00000000-0005-0000-0000-000033430000}"/>
    <cellStyle name="Normal 3 20 9 4 2" xfId="28028" xr:uid="{00000000-0005-0000-0000-000034430000}"/>
    <cellStyle name="Normal 3 20 9 5" xfId="10482" xr:uid="{00000000-0005-0000-0000-000035430000}"/>
    <cellStyle name="Normal 3 20 9 5 2" xfId="28029" xr:uid="{00000000-0005-0000-0000-000036430000}"/>
    <cellStyle name="Normal 3 20 9 6" xfId="10483" xr:uid="{00000000-0005-0000-0000-000037430000}"/>
    <cellStyle name="Normal 3 20 9 6 2" xfId="28030" xr:uid="{00000000-0005-0000-0000-000038430000}"/>
    <cellStyle name="Normal 3 20 9 7" xfId="10484" xr:uid="{00000000-0005-0000-0000-000039430000}"/>
    <cellStyle name="Normal 3 20 9 7 2" xfId="28031" xr:uid="{00000000-0005-0000-0000-00003A430000}"/>
    <cellStyle name="Normal 3 20 9 8" xfId="10485" xr:uid="{00000000-0005-0000-0000-00003B430000}"/>
    <cellStyle name="Normal 3 20 9 8 2" xfId="28032" xr:uid="{00000000-0005-0000-0000-00003C430000}"/>
    <cellStyle name="Normal 3 20 9 9" xfId="10486" xr:uid="{00000000-0005-0000-0000-00003D430000}"/>
    <cellStyle name="Normal 3 20 9 9 2" xfId="28033" xr:uid="{00000000-0005-0000-0000-00003E430000}"/>
    <cellStyle name="Normal 3 21" xfId="10487" xr:uid="{00000000-0005-0000-0000-00003F430000}"/>
    <cellStyle name="Normal 3 21 10" xfId="10488" xr:uid="{00000000-0005-0000-0000-000040430000}"/>
    <cellStyle name="Normal 3 21 10 10" xfId="10489" xr:uid="{00000000-0005-0000-0000-000041430000}"/>
    <cellStyle name="Normal 3 21 10 10 2" xfId="28036" xr:uid="{00000000-0005-0000-0000-000042430000}"/>
    <cellStyle name="Normal 3 21 10 11" xfId="10490" xr:uid="{00000000-0005-0000-0000-000043430000}"/>
    <cellStyle name="Normal 3 21 10 11 2" xfId="28037" xr:uid="{00000000-0005-0000-0000-000044430000}"/>
    <cellStyle name="Normal 3 21 10 12" xfId="10491" xr:uid="{00000000-0005-0000-0000-000045430000}"/>
    <cellStyle name="Normal 3 21 10 12 2" xfId="28038" xr:uid="{00000000-0005-0000-0000-000046430000}"/>
    <cellStyle name="Normal 3 21 10 13" xfId="10492" xr:uid="{00000000-0005-0000-0000-000047430000}"/>
    <cellStyle name="Normal 3 21 10 13 2" xfId="28039" xr:uid="{00000000-0005-0000-0000-000048430000}"/>
    <cellStyle name="Normal 3 21 10 14" xfId="10493" xr:uid="{00000000-0005-0000-0000-000049430000}"/>
    <cellStyle name="Normal 3 21 10 14 2" xfId="28040" xr:uid="{00000000-0005-0000-0000-00004A430000}"/>
    <cellStyle name="Normal 3 21 10 15" xfId="28035" xr:uid="{00000000-0005-0000-0000-00004B430000}"/>
    <cellStyle name="Normal 3 21 10 2" xfId="10494" xr:uid="{00000000-0005-0000-0000-00004C430000}"/>
    <cellStyle name="Normal 3 21 10 2 2" xfId="28041" xr:uid="{00000000-0005-0000-0000-00004D430000}"/>
    <cellStyle name="Normal 3 21 10 3" xfId="10495" xr:uid="{00000000-0005-0000-0000-00004E430000}"/>
    <cellStyle name="Normal 3 21 10 3 2" xfId="28042" xr:uid="{00000000-0005-0000-0000-00004F430000}"/>
    <cellStyle name="Normal 3 21 10 4" xfId="10496" xr:uid="{00000000-0005-0000-0000-000050430000}"/>
    <cellStyle name="Normal 3 21 10 4 2" xfId="28043" xr:uid="{00000000-0005-0000-0000-000051430000}"/>
    <cellStyle name="Normal 3 21 10 5" xfId="10497" xr:uid="{00000000-0005-0000-0000-000052430000}"/>
    <cellStyle name="Normal 3 21 10 5 2" xfId="28044" xr:uid="{00000000-0005-0000-0000-000053430000}"/>
    <cellStyle name="Normal 3 21 10 6" xfId="10498" xr:uid="{00000000-0005-0000-0000-000054430000}"/>
    <cellStyle name="Normal 3 21 10 6 2" xfId="28045" xr:uid="{00000000-0005-0000-0000-000055430000}"/>
    <cellStyle name="Normal 3 21 10 7" xfId="10499" xr:uid="{00000000-0005-0000-0000-000056430000}"/>
    <cellStyle name="Normal 3 21 10 7 2" xfId="28046" xr:uid="{00000000-0005-0000-0000-000057430000}"/>
    <cellStyle name="Normal 3 21 10 8" xfId="10500" xr:uid="{00000000-0005-0000-0000-000058430000}"/>
    <cellStyle name="Normal 3 21 10 8 2" xfId="28047" xr:uid="{00000000-0005-0000-0000-000059430000}"/>
    <cellStyle name="Normal 3 21 10 9" xfId="10501" xr:uid="{00000000-0005-0000-0000-00005A430000}"/>
    <cellStyle name="Normal 3 21 10 9 2" xfId="28048" xr:uid="{00000000-0005-0000-0000-00005B430000}"/>
    <cellStyle name="Normal 3 21 11" xfId="10502" xr:uid="{00000000-0005-0000-0000-00005C430000}"/>
    <cellStyle name="Normal 3 21 11 10" xfId="10503" xr:uid="{00000000-0005-0000-0000-00005D430000}"/>
    <cellStyle name="Normal 3 21 11 10 2" xfId="28050" xr:uid="{00000000-0005-0000-0000-00005E430000}"/>
    <cellStyle name="Normal 3 21 11 11" xfId="10504" xr:uid="{00000000-0005-0000-0000-00005F430000}"/>
    <cellStyle name="Normal 3 21 11 11 2" xfId="28051" xr:uid="{00000000-0005-0000-0000-000060430000}"/>
    <cellStyle name="Normal 3 21 11 12" xfId="10505" xr:uid="{00000000-0005-0000-0000-000061430000}"/>
    <cellStyle name="Normal 3 21 11 12 2" xfId="28052" xr:uid="{00000000-0005-0000-0000-000062430000}"/>
    <cellStyle name="Normal 3 21 11 13" xfId="10506" xr:uid="{00000000-0005-0000-0000-000063430000}"/>
    <cellStyle name="Normal 3 21 11 13 2" xfId="28053" xr:uid="{00000000-0005-0000-0000-000064430000}"/>
    <cellStyle name="Normal 3 21 11 14" xfId="10507" xr:uid="{00000000-0005-0000-0000-000065430000}"/>
    <cellStyle name="Normal 3 21 11 14 2" xfId="28054" xr:uid="{00000000-0005-0000-0000-000066430000}"/>
    <cellStyle name="Normal 3 21 11 15" xfId="28049" xr:uid="{00000000-0005-0000-0000-000067430000}"/>
    <cellStyle name="Normal 3 21 11 2" xfId="10508" xr:uid="{00000000-0005-0000-0000-000068430000}"/>
    <cellStyle name="Normal 3 21 11 2 2" xfId="28055" xr:uid="{00000000-0005-0000-0000-000069430000}"/>
    <cellStyle name="Normal 3 21 11 3" xfId="10509" xr:uid="{00000000-0005-0000-0000-00006A430000}"/>
    <cellStyle name="Normal 3 21 11 3 2" xfId="28056" xr:uid="{00000000-0005-0000-0000-00006B430000}"/>
    <cellStyle name="Normal 3 21 11 4" xfId="10510" xr:uid="{00000000-0005-0000-0000-00006C430000}"/>
    <cellStyle name="Normal 3 21 11 4 2" xfId="28057" xr:uid="{00000000-0005-0000-0000-00006D430000}"/>
    <cellStyle name="Normal 3 21 11 5" xfId="10511" xr:uid="{00000000-0005-0000-0000-00006E430000}"/>
    <cellStyle name="Normal 3 21 11 5 2" xfId="28058" xr:uid="{00000000-0005-0000-0000-00006F430000}"/>
    <cellStyle name="Normal 3 21 11 6" xfId="10512" xr:uid="{00000000-0005-0000-0000-000070430000}"/>
    <cellStyle name="Normal 3 21 11 6 2" xfId="28059" xr:uid="{00000000-0005-0000-0000-000071430000}"/>
    <cellStyle name="Normal 3 21 11 7" xfId="10513" xr:uid="{00000000-0005-0000-0000-000072430000}"/>
    <cellStyle name="Normal 3 21 11 7 2" xfId="28060" xr:uid="{00000000-0005-0000-0000-000073430000}"/>
    <cellStyle name="Normal 3 21 11 8" xfId="10514" xr:uid="{00000000-0005-0000-0000-000074430000}"/>
    <cellStyle name="Normal 3 21 11 8 2" xfId="28061" xr:uid="{00000000-0005-0000-0000-000075430000}"/>
    <cellStyle name="Normal 3 21 11 9" xfId="10515" xr:uid="{00000000-0005-0000-0000-000076430000}"/>
    <cellStyle name="Normal 3 21 11 9 2" xfId="28062" xr:uid="{00000000-0005-0000-0000-000077430000}"/>
    <cellStyle name="Normal 3 21 12" xfId="10516" xr:uid="{00000000-0005-0000-0000-000078430000}"/>
    <cellStyle name="Normal 3 21 12 10" xfId="10517" xr:uid="{00000000-0005-0000-0000-000079430000}"/>
    <cellStyle name="Normal 3 21 12 10 2" xfId="28064" xr:uid="{00000000-0005-0000-0000-00007A430000}"/>
    <cellStyle name="Normal 3 21 12 11" xfId="10518" xr:uid="{00000000-0005-0000-0000-00007B430000}"/>
    <cellStyle name="Normal 3 21 12 11 2" xfId="28065" xr:uid="{00000000-0005-0000-0000-00007C430000}"/>
    <cellStyle name="Normal 3 21 12 12" xfId="10519" xr:uid="{00000000-0005-0000-0000-00007D430000}"/>
    <cellStyle name="Normal 3 21 12 12 2" xfId="28066" xr:uid="{00000000-0005-0000-0000-00007E430000}"/>
    <cellStyle name="Normal 3 21 12 13" xfId="10520" xr:uid="{00000000-0005-0000-0000-00007F430000}"/>
    <cellStyle name="Normal 3 21 12 13 2" xfId="28067" xr:uid="{00000000-0005-0000-0000-000080430000}"/>
    <cellStyle name="Normal 3 21 12 14" xfId="10521" xr:uid="{00000000-0005-0000-0000-000081430000}"/>
    <cellStyle name="Normal 3 21 12 14 2" xfId="28068" xr:uid="{00000000-0005-0000-0000-000082430000}"/>
    <cellStyle name="Normal 3 21 12 15" xfId="28063" xr:uid="{00000000-0005-0000-0000-000083430000}"/>
    <cellStyle name="Normal 3 21 12 2" xfId="10522" xr:uid="{00000000-0005-0000-0000-000084430000}"/>
    <cellStyle name="Normal 3 21 12 2 2" xfId="28069" xr:uid="{00000000-0005-0000-0000-000085430000}"/>
    <cellStyle name="Normal 3 21 12 3" xfId="10523" xr:uid="{00000000-0005-0000-0000-000086430000}"/>
    <cellStyle name="Normal 3 21 12 3 2" xfId="28070" xr:uid="{00000000-0005-0000-0000-000087430000}"/>
    <cellStyle name="Normal 3 21 12 4" xfId="10524" xr:uid="{00000000-0005-0000-0000-000088430000}"/>
    <cellStyle name="Normal 3 21 12 4 2" xfId="28071" xr:uid="{00000000-0005-0000-0000-000089430000}"/>
    <cellStyle name="Normal 3 21 12 5" xfId="10525" xr:uid="{00000000-0005-0000-0000-00008A430000}"/>
    <cellStyle name="Normal 3 21 12 5 2" xfId="28072" xr:uid="{00000000-0005-0000-0000-00008B430000}"/>
    <cellStyle name="Normal 3 21 12 6" xfId="10526" xr:uid="{00000000-0005-0000-0000-00008C430000}"/>
    <cellStyle name="Normal 3 21 12 6 2" xfId="28073" xr:uid="{00000000-0005-0000-0000-00008D430000}"/>
    <cellStyle name="Normal 3 21 12 7" xfId="10527" xr:uid="{00000000-0005-0000-0000-00008E430000}"/>
    <cellStyle name="Normal 3 21 12 7 2" xfId="28074" xr:uid="{00000000-0005-0000-0000-00008F430000}"/>
    <cellStyle name="Normal 3 21 12 8" xfId="10528" xr:uid="{00000000-0005-0000-0000-000090430000}"/>
    <cellStyle name="Normal 3 21 12 8 2" xfId="28075" xr:uid="{00000000-0005-0000-0000-000091430000}"/>
    <cellStyle name="Normal 3 21 12 9" xfId="10529" xr:uid="{00000000-0005-0000-0000-000092430000}"/>
    <cellStyle name="Normal 3 21 12 9 2" xfId="28076" xr:uid="{00000000-0005-0000-0000-000093430000}"/>
    <cellStyle name="Normal 3 21 13" xfId="10530" xr:uid="{00000000-0005-0000-0000-000094430000}"/>
    <cellStyle name="Normal 3 21 13 10" xfId="10531" xr:uid="{00000000-0005-0000-0000-000095430000}"/>
    <cellStyle name="Normal 3 21 13 10 2" xfId="28078" xr:uid="{00000000-0005-0000-0000-000096430000}"/>
    <cellStyle name="Normal 3 21 13 11" xfId="10532" xr:uid="{00000000-0005-0000-0000-000097430000}"/>
    <cellStyle name="Normal 3 21 13 11 2" xfId="28079" xr:uid="{00000000-0005-0000-0000-000098430000}"/>
    <cellStyle name="Normal 3 21 13 12" xfId="10533" xr:uid="{00000000-0005-0000-0000-000099430000}"/>
    <cellStyle name="Normal 3 21 13 12 2" xfId="28080" xr:uid="{00000000-0005-0000-0000-00009A430000}"/>
    <cellStyle name="Normal 3 21 13 13" xfId="10534" xr:uid="{00000000-0005-0000-0000-00009B430000}"/>
    <cellStyle name="Normal 3 21 13 13 2" xfId="28081" xr:uid="{00000000-0005-0000-0000-00009C430000}"/>
    <cellStyle name="Normal 3 21 13 14" xfId="10535" xr:uid="{00000000-0005-0000-0000-00009D430000}"/>
    <cellStyle name="Normal 3 21 13 14 2" xfId="28082" xr:uid="{00000000-0005-0000-0000-00009E430000}"/>
    <cellStyle name="Normal 3 21 13 15" xfId="28077" xr:uid="{00000000-0005-0000-0000-00009F430000}"/>
    <cellStyle name="Normal 3 21 13 2" xfId="10536" xr:uid="{00000000-0005-0000-0000-0000A0430000}"/>
    <cellStyle name="Normal 3 21 13 2 2" xfId="28083" xr:uid="{00000000-0005-0000-0000-0000A1430000}"/>
    <cellStyle name="Normal 3 21 13 3" xfId="10537" xr:uid="{00000000-0005-0000-0000-0000A2430000}"/>
    <cellStyle name="Normal 3 21 13 3 2" xfId="28084" xr:uid="{00000000-0005-0000-0000-0000A3430000}"/>
    <cellStyle name="Normal 3 21 13 4" xfId="10538" xr:uid="{00000000-0005-0000-0000-0000A4430000}"/>
    <cellStyle name="Normal 3 21 13 4 2" xfId="28085" xr:uid="{00000000-0005-0000-0000-0000A5430000}"/>
    <cellStyle name="Normal 3 21 13 5" xfId="10539" xr:uid="{00000000-0005-0000-0000-0000A6430000}"/>
    <cellStyle name="Normal 3 21 13 5 2" xfId="28086" xr:uid="{00000000-0005-0000-0000-0000A7430000}"/>
    <cellStyle name="Normal 3 21 13 6" xfId="10540" xr:uid="{00000000-0005-0000-0000-0000A8430000}"/>
    <cellStyle name="Normal 3 21 13 6 2" xfId="28087" xr:uid="{00000000-0005-0000-0000-0000A9430000}"/>
    <cellStyle name="Normal 3 21 13 7" xfId="10541" xr:uid="{00000000-0005-0000-0000-0000AA430000}"/>
    <cellStyle name="Normal 3 21 13 7 2" xfId="28088" xr:uid="{00000000-0005-0000-0000-0000AB430000}"/>
    <cellStyle name="Normal 3 21 13 8" xfId="10542" xr:uid="{00000000-0005-0000-0000-0000AC430000}"/>
    <cellStyle name="Normal 3 21 13 8 2" xfId="28089" xr:uid="{00000000-0005-0000-0000-0000AD430000}"/>
    <cellStyle name="Normal 3 21 13 9" xfId="10543" xr:uid="{00000000-0005-0000-0000-0000AE430000}"/>
    <cellStyle name="Normal 3 21 13 9 2" xfId="28090" xr:uid="{00000000-0005-0000-0000-0000AF430000}"/>
    <cellStyle name="Normal 3 21 14" xfId="10544" xr:uid="{00000000-0005-0000-0000-0000B0430000}"/>
    <cellStyle name="Normal 3 21 14 10" xfId="10545" xr:uid="{00000000-0005-0000-0000-0000B1430000}"/>
    <cellStyle name="Normal 3 21 14 10 2" xfId="28092" xr:uid="{00000000-0005-0000-0000-0000B2430000}"/>
    <cellStyle name="Normal 3 21 14 11" xfId="10546" xr:uid="{00000000-0005-0000-0000-0000B3430000}"/>
    <cellStyle name="Normal 3 21 14 11 2" xfId="28093" xr:uid="{00000000-0005-0000-0000-0000B4430000}"/>
    <cellStyle name="Normal 3 21 14 12" xfId="10547" xr:uid="{00000000-0005-0000-0000-0000B5430000}"/>
    <cellStyle name="Normal 3 21 14 12 2" xfId="28094" xr:uid="{00000000-0005-0000-0000-0000B6430000}"/>
    <cellStyle name="Normal 3 21 14 13" xfId="10548" xr:uid="{00000000-0005-0000-0000-0000B7430000}"/>
    <cellStyle name="Normal 3 21 14 13 2" xfId="28095" xr:uid="{00000000-0005-0000-0000-0000B8430000}"/>
    <cellStyle name="Normal 3 21 14 14" xfId="10549" xr:uid="{00000000-0005-0000-0000-0000B9430000}"/>
    <cellStyle name="Normal 3 21 14 14 2" xfId="28096" xr:uid="{00000000-0005-0000-0000-0000BA430000}"/>
    <cellStyle name="Normal 3 21 14 15" xfId="28091" xr:uid="{00000000-0005-0000-0000-0000BB430000}"/>
    <cellStyle name="Normal 3 21 14 2" xfId="10550" xr:uid="{00000000-0005-0000-0000-0000BC430000}"/>
    <cellStyle name="Normal 3 21 14 2 2" xfId="28097" xr:uid="{00000000-0005-0000-0000-0000BD430000}"/>
    <cellStyle name="Normal 3 21 14 3" xfId="10551" xr:uid="{00000000-0005-0000-0000-0000BE430000}"/>
    <cellStyle name="Normal 3 21 14 3 2" xfId="28098" xr:uid="{00000000-0005-0000-0000-0000BF430000}"/>
    <cellStyle name="Normal 3 21 14 4" xfId="10552" xr:uid="{00000000-0005-0000-0000-0000C0430000}"/>
    <cellStyle name="Normal 3 21 14 4 2" xfId="28099" xr:uid="{00000000-0005-0000-0000-0000C1430000}"/>
    <cellStyle name="Normal 3 21 14 5" xfId="10553" xr:uid="{00000000-0005-0000-0000-0000C2430000}"/>
    <cellStyle name="Normal 3 21 14 5 2" xfId="28100" xr:uid="{00000000-0005-0000-0000-0000C3430000}"/>
    <cellStyle name="Normal 3 21 14 6" xfId="10554" xr:uid="{00000000-0005-0000-0000-0000C4430000}"/>
    <cellStyle name="Normal 3 21 14 6 2" xfId="28101" xr:uid="{00000000-0005-0000-0000-0000C5430000}"/>
    <cellStyle name="Normal 3 21 14 7" xfId="10555" xr:uid="{00000000-0005-0000-0000-0000C6430000}"/>
    <cellStyle name="Normal 3 21 14 7 2" xfId="28102" xr:uid="{00000000-0005-0000-0000-0000C7430000}"/>
    <cellStyle name="Normal 3 21 14 8" xfId="10556" xr:uid="{00000000-0005-0000-0000-0000C8430000}"/>
    <cellStyle name="Normal 3 21 14 8 2" xfId="28103" xr:uid="{00000000-0005-0000-0000-0000C9430000}"/>
    <cellStyle name="Normal 3 21 14 9" xfId="10557" xr:uid="{00000000-0005-0000-0000-0000CA430000}"/>
    <cellStyle name="Normal 3 21 14 9 2" xfId="28104" xr:uid="{00000000-0005-0000-0000-0000CB430000}"/>
    <cellStyle name="Normal 3 21 15" xfId="10558" xr:uid="{00000000-0005-0000-0000-0000CC430000}"/>
    <cellStyle name="Normal 3 21 15 2" xfId="28105" xr:uid="{00000000-0005-0000-0000-0000CD430000}"/>
    <cellStyle name="Normal 3 21 16" xfId="10559" xr:uid="{00000000-0005-0000-0000-0000CE430000}"/>
    <cellStyle name="Normal 3 21 16 2" xfId="28106" xr:uid="{00000000-0005-0000-0000-0000CF430000}"/>
    <cellStyle name="Normal 3 21 17" xfId="10560" xr:uid="{00000000-0005-0000-0000-0000D0430000}"/>
    <cellStyle name="Normal 3 21 17 2" xfId="28107" xr:uid="{00000000-0005-0000-0000-0000D1430000}"/>
    <cellStyle name="Normal 3 21 18" xfId="10561" xr:uid="{00000000-0005-0000-0000-0000D2430000}"/>
    <cellStyle name="Normal 3 21 18 2" xfId="28108" xr:uid="{00000000-0005-0000-0000-0000D3430000}"/>
    <cellStyle name="Normal 3 21 19" xfId="10562" xr:uid="{00000000-0005-0000-0000-0000D4430000}"/>
    <cellStyle name="Normal 3 21 19 2" xfId="28109" xr:uid="{00000000-0005-0000-0000-0000D5430000}"/>
    <cellStyle name="Normal 3 21 2" xfId="10563" xr:uid="{00000000-0005-0000-0000-0000D6430000}"/>
    <cellStyle name="Normal 3 21 20" xfId="10564" xr:uid="{00000000-0005-0000-0000-0000D7430000}"/>
    <cellStyle name="Normal 3 21 20 2" xfId="28110" xr:uid="{00000000-0005-0000-0000-0000D8430000}"/>
    <cellStyle name="Normal 3 21 21" xfId="10565" xr:uid="{00000000-0005-0000-0000-0000D9430000}"/>
    <cellStyle name="Normal 3 21 21 2" xfId="28111" xr:uid="{00000000-0005-0000-0000-0000DA430000}"/>
    <cellStyle name="Normal 3 21 22" xfId="10566" xr:uid="{00000000-0005-0000-0000-0000DB430000}"/>
    <cellStyle name="Normal 3 21 22 2" xfId="28112" xr:uid="{00000000-0005-0000-0000-0000DC430000}"/>
    <cellStyle name="Normal 3 21 23" xfId="10567" xr:uid="{00000000-0005-0000-0000-0000DD430000}"/>
    <cellStyle name="Normal 3 21 23 2" xfId="28113" xr:uid="{00000000-0005-0000-0000-0000DE430000}"/>
    <cellStyle name="Normal 3 21 24" xfId="10568" xr:uid="{00000000-0005-0000-0000-0000DF430000}"/>
    <cellStyle name="Normal 3 21 24 2" xfId="28114" xr:uid="{00000000-0005-0000-0000-0000E0430000}"/>
    <cellStyle name="Normal 3 21 25" xfId="10569" xr:uid="{00000000-0005-0000-0000-0000E1430000}"/>
    <cellStyle name="Normal 3 21 25 2" xfId="28115" xr:uid="{00000000-0005-0000-0000-0000E2430000}"/>
    <cellStyle name="Normal 3 21 26" xfId="10570" xr:uid="{00000000-0005-0000-0000-0000E3430000}"/>
    <cellStyle name="Normal 3 21 26 2" xfId="28116" xr:uid="{00000000-0005-0000-0000-0000E4430000}"/>
    <cellStyle name="Normal 3 21 27" xfId="10571" xr:uid="{00000000-0005-0000-0000-0000E5430000}"/>
    <cellStyle name="Normal 3 21 27 2" xfId="28117" xr:uid="{00000000-0005-0000-0000-0000E6430000}"/>
    <cellStyle name="Normal 3 21 28" xfId="28034" xr:uid="{00000000-0005-0000-0000-0000E7430000}"/>
    <cellStyle name="Normal 3 21 3" xfId="10572" xr:uid="{00000000-0005-0000-0000-0000E8430000}"/>
    <cellStyle name="Normal 3 21 4" xfId="10573" xr:uid="{00000000-0005-0000-0000-0000E9430000}"/>
    <cellStyle name="Normal 3 21 5" xfId="10574" xr:uid="{00000000-0005-0000-0000-0000EA430000}"/>
    <cellStyle name="Normal 3 21 6" xfId="10575" xr:uid="{00000000-0005-0000-0000-0000EB430000}"/>
    <cellStyle name="Normal 3 21 6 10" xfId="10576" xr:uid="{00000000-0005-0000-0000-0000EC430000}"/>
    <cellStyle name="Normal 3 21 6 10 2" xfId="28119" xr:uid="{00000000-0005-0000-0000-0000ED430000}"/>
    <cellStyle name="Normal 3 21 6 11" xfId="10577" xr:uid="{00000000-0005-0000-0000-0000EE430000}"/>
    <cellStyle name="Normal 3 21 6 11 2" xfId="28120" xr:uid="{00000000-0005-0000-0000-0000EF430000}"/>
    <cellStyle name="Normal 3 21 6 12" xfId="10578" xr:uid="{00000000-0005-0000-0000-0000F0430000}"/>
    <cellStyle name="Normal 3 21 6 12 2" xfId="28121" xr:uid="{00000000-0005-0000-0000-0000F1430000}"/>
    <cellStyle name="Normal 3 21 6 13" xfId="10579" xr:uid="{00000000-0005-0000-0000-0000F2430000}"/>
    <cellStyle name="Normal 3 21 6 13 2" xfId="28122" xr:uid="{00000000-0005-0000-0000-0000F3430000}"/>
    <cellStyle name="Normal 3 21 6 14" xfId="10580" xr:uid="{00000000-0005-0000-0000-0000F4430000}"/>
    <cellStyle name="Normal 3 21 6 14 2" xfId="28123" xr:uid="{00000000-0005-0000-0000-0000F5430000}"/>
    <cellStyle name="Normal 3 21 6 15" xfId="10581" xr:uid="{00000000-0005-0000-0000-0000F6430000}"/>
    <cellStyle name="Normal 3 21 6 15 2" xfId="28124" xr:uid="{00000000-0005-0000-0000-0000F7430000}"/>
    <cellStyle name="Normal 3 21 6 16" xfId="28118" xr:uid="{00000000-0005-0000-0000-0000F8430000}"/>
    <cellStyle name="Normal 3 21 6 2" xfId="10582" xr:uid="{00000000-0005-0000-0000-0000F9430000}"/>
    <cellStyle name="Normal 3 21 6 2 10" xfId="10583" xr:uid="{00000000-0005-0000-0000-0000FA430000}"/>
    <cellStyle name="Normal 3 21 6 2 10 2" xfId="28126" xr:uid="{00000000-0005-0000-0000-0000FB430000}"/>
    <cellStyle name="Normal 3 21 6 2 11" xfId="10584" xr:uid="{00000000-0005-0000-0000-0000FC430000}"/>
    <cellStyle name="Normal 3 21 6 2 11 2" xfId="28127" xr:uid="{00000000-0005-0000-0000-0000FD430000}"/>
    <cellStyle name="Normal 3 21 6 2 12" xfId="10585" xr:uid="{00000000-0005-0000-0000-0000FE430000}"/>
    <cellStyle name="Normal 3 21 6 2 12 2" xfId="28128" xr:uid="{00000000-0005-0000-0000-0000FF430000}"/>
    <cellStyle name="Normal 3 21 6 2 13" xfId="10586" xr:uid="{00000000-0005-0000-0000-000000440000}"/>
    <cellStyle name="Normal 3 21 6 2 13 2" xfId="28129" xr:uid="{00000000-0005-0000-0000-000001440000}"/>
    <cellStyle name="Normal 3 21 6 2 14" xfId="10587" xr:uid="{00000000-0005-0000-0000-000002440000}"/>
    <cellStyle name="Normal 3 21 6 2 14 2" xfId="28130" xr:uid="{00000000-0005-0000-0000-000003440000}"/>
    <cellStyle name="Normal 3 21 6 2 15" xfId="28125" xr:uid="{00000000-0005-0000-0000-000004440000}"/>
    <cellStyle name="Normal 3 21 6 2 2" xfId="10588" xr:uid="{00000000-0005-0000-0000-000005440000}"/>
    <cellStyle name="Normal 3 21 6 2 2 2" xfId="28131" xr:uid="{00000000-0005-0000-0000-000006440000}"/>
    <cellStyle name="Normal 3 21 6 2 3" xfId="10589" xr:uid="{00000000-0005-0000-0000-000007440000}"/>
    <cellStyle name="Normal 3 21 6 2 3 2" xfId="28132" xr:uid="{00000000-0005-0000-0000-000008440000}"/>
    <cellStyle name="Normal 3 21 6 2 4" xfId="10590" xr:uid="{00000000-0005-0000-0000-000009440000}"/>
    <cellStyle name="Normal 3 21 6 2 4 2" xfId="28133" xr:uid="{00000000-0005-0000-0000-00000A440000}"/>
    <cellStyle name="Normal 3 21 6 2 5" xfId="10591" xr:uid="{00000000-0005-0000-0000-00000B440000}"/>
    <cellStyle name="Normal 3 21 6 2 5 2" xfId="28134" xr:uid="{00000000-0005-0000-0000-00000C440000}"/>
    <cellStyle name="Normal 3 21 6 2 6" xfId="10592" xr:uid="{00000000-0005-0000-0000-00000D440000}"/>
    <cellStyle name="Normal 3 21 6 2 6 2" xfId="28135" xr:uid="{00000000-0005-0000-0000-00000E440000}"/>
    <cellStyle name="Normal 3 21 6 2 7" xfId="10593" xr:uid="{00000000-0005-0000-0000-00000F440000}"/>
    <cellStyle name="Normal 3 21 6 2 7 2" xfId="28136" xr:uid="{00000000-0005-0000-0000-000010440000}"/>
    <cellStyle name="Normal 3 21 6 2 8" xfId="10594" xr:uid="{00000000-0005-0000-0000-000011440000}"/>
    <cellStyle name="Normal 3 21 6 2 8 2" xfId="28137" xr:uid="{00000000-0005-0000-0000-000012440000}"/>
    <cellStyle name="Normal 3 21 6 2 9" xfId="10595" xr:uid="{00000000-0005-0000-0000-000013440000}"/>
    <cellStyle name="Normal 3 21 6 2 9 2" xfId="28138" xr:uid="{00000000-0005-0000-0000-000014440000}"/>
    <cellStyle name="Normal 3 21 6 3" xfId="10596" xr:uid="{00000000-0005-0000-0000-000015440000}"/>
    <cellStyle name="Normal 3 21 6 3 2" xfId="28139" xr:uid="{00000000-0005-0000-0000-000016440000}"/>
    <cellStyle name="Normal 3 21 6 4" xfId="10597" xr:uid="{00000000-0005-0000-0000-000017440000}"/>
    <cellStyle name="Normal 3 21 6 4 2" xfId="28140" xr:uid="{00000000-0005-0000-0000-000018440000}"/>
    <cellStyle name="Normal 3 21 6 5" xfId="10598" xr:uid="{00000000-0005-0000-0000-000019440000}"/>
    <cellStyle name="Normal 3 21 6 5 2" xfId="28141" xr:uid="{00000000-0005-0000-0000-00001A440000}"/>
    <cellStyle name="Normal 3 21 6 6" xfId="10599" xr:uid="{00000000-0005-0000-0000-00001B440000}"/>
    <cellStyle name="Normal 3 21 6 6 2" xfId="28142" xr:uid="{00000000-0005-0000-0000-00001C440000}"/>
    <cellStyle name="Normal 3 21 6 7" xfId="10600" xr:uid="{00000000-0005-0000-0000-00001D440000}"/>
    <cellStyle name="Normal 3 21 6 7 2" xfId="28143" xr:uid="{00000000-0005-0000-0000-00001E440000}"/>
    <cellStyle name="Normal 3 21 6 8" xfId="10601" xr:uid="{00000000-0005-0000-0000-00001F440000}"/>
    <cellStyle name="Normal 3 21 6 8 2" xfId="28144" xr:uid="{00000000-0005-0000-0000-000020440000}"/>
    <cellStyle name="Normal 3 21 6 9" xfId="10602" xr:uid="{00000000-0005-0000-0000-000021440000}"/>
    <cellStyle name="Normal 3 21 6 9 2" xfId="28145" xr:uid="{00000000-0005-0000-0000-000022440000}"/>
    <cellStyle name="Normal 3 21 7" xfId="10603" xr:uid="{00000000-0005-0000-0000-000023440000}"/>
    <cellStyle name="Normal 3 21 7 10" xfId="10604" xr:uid="{00000000-0005-0000-0000-000024440000}"/>
    <cellStyle name="Normal 3 21 7 10 2" xfId="28147" xr:uid="{00000000-0005-0000-0000-000025440000}"/>
    <cellStyle name="Normal 3 21 7 11" xfId="10605" xr:uid="{00000000-0005-0000-0000-000026440000}"/>
    <cellStyle name="Normal 3 21 7 11 2" xfId="28148" xr:uid="{00000000-0005-0000-0000-000027440000}"/>
    <cellStyle name="Normal 3 21 7 12" xfId="10606" xr:uid="{00000000-0005-0000-0000-000028440000}"/>
    <cellStyle name="Normal 3 21 7 12 2" xfId="28149" xr:uid="{00000000-0005-0000-0000-000029440000}"/>
    <cellStyle name="Normal 3 21 7 13" xfId="10607" xr:uid="{00000000-0005-0000-0000-00002A440000}"/>
    <cellStyle name="Normal 3 21 7 13 2" xfId="28150" xr:uid="{00000000-0005-0000-0000-00002B440000}"/>
    <cellStyle name="Normal 3 21 7 14" xfId="10608" xr:uid="{00000000-0005-0000-0000-00002C440000}"/>
    <cellStyle name="Normal 3 21 7 14 2" xfId="28151" xr:uid="{00000000-0005-0000-0000-00002D440000}"/>
    <cellStyle name="Normal 3 21 7 15" xfId="10609" xr:uid="{00000000-0005-0000-0000-00002E440000}"/>
    <cellStyle name="Normal 3 21 7 15 2" xfId="28152" xr:uid="{00000000-0005-0000-0000-00002F440000}"/>
    <cellStyle name="Normal 3 21 7 16" xfId="28146" xr:uid="{00000000-0005-0000-0000-000030440000}"/>
    <cellStyle name="Normal 3 21 7 2" xfId="10610" xr:uid="{00000000-0005-0000-0000-000031440000}"/>
    <cellStyle name="Normal 3 21 7 2 10" xfId="10611" xr:uid="{00000000-0005-0000-0000-000032440000}"/>
    <cellStyle name="Normal 3 21 7 2 10 2" xfId="28154" xr:uid="{00000000-0005-0000-0000-000033440000}"/>
    <cellStyle name="Normal 3 21 7 2 11" xfId="10612" xr:uid="{00000000-0005-0000-0000-000034440000}"/>
    <cellStyle name="Normal 3 21 7 2 11 2" xfId="28155" xr:uid="{00000000-0005-0000-0000-000035440000}"/>
    <cellStyle name="Normal 3 21 7 2 12" xfId="10613" xr:uid="{00000000-0005-0000-0000-000036440000}"/>
    <cellStyle name="Normal 3 21 7 2 12 2" xfId="28156" xr:uid="{00000000-0005-0000-0000-000037440000}"/>
    <cellStyle name="Normal 3 21 7 2 13" xfId="10614" xr:uid="{00000000-0005-0000-0000-000038440000}"/>
    <cellStyle name="Normal 3 21 7 2 13 2" xfId="28157" xr:uid="{00000000-0005-0000-0000-000039440000}"/>
    <cellStyle name="Normal 3 21 7 2 14" xfId="10615" xr:uid="{00000000-0005-0000-0000-00003A440000}"/>
    <cellStyle name="Normal 3 21 7 2 14 2" xfId="28158" xr:uid="{00000000-0005-0000-0000-00003B440000}"/>
    <cellStyle name="Normal 3 21 7 2 15" xfId="28153" xr:uid="{00000000-0005-0000-0000-00003C440000}"/>
    <cellStyle name="Normal 3 21 7 2 2" xfId="10616" xr:uid="{00000000-0005-0000-0000-00003D440000}"/>
    <cellStyle name="Normal 3 21 7 2 2 2" xfId="28159" xr:uid="{00000000-0005-0000-0000-00003E440000}"/>
    <cellStyle name="Normal 3 21 7 2 3" xfId="10617" xr:uid="{00000000-0005-0000-0000-00003F440000}"/>
    <cellStyle name="Normal 3 21 7 2 3 2" xfId="28160" xr:uid="{00000000-0005-0000-0000-000040440000}"/>
    <cellStyle name="Normal 3 21 7 2 4" xfId="10618" xr:uid="{00000000-0005-0000-0000-000041440000}"/>
    <cellStyle name="Normal 3 21 7 2 4 2" xfId="28161" xr:uid="{00000000-0005-0000-0000-000042440000}"/>
    <cellStyle name="Normal 3 21 7 2 5" xfId="10619" xr:uid="{00000000-0005-0000-0000-000043440000}"/>
    <cellStyle name="Normal 3 21 7 2 5 2" xfId="28162" xr:uid="{00000000-0005-0000-0000-000044440000}"/>
    <cellStyle name="Normal 3 21 7 2 6" xfId="10620" xr:uid="{00000000-0005-0000-0000-000045440000}"/>
    <cellStyle name="Normal 3 21 7 2 6 2" xfId="28163" xr:uid="{00000000-0005-0000-0000-000046440000}"/>
    <cellStyle name="Normal 3 21 7 2 7" xfId="10621" xr:uid="{00000000-0005-0000-0000-000047440000}"/>
    <cellStyle name="Normal 3 21 7 2 7 2" xfId="28164" xr:uid="{00000000-0005-0000-0000-000048440000}"/>
    <cellStyle name="Normal 3 21 7 2 8" xfId="10622" xr:uid="{00000000-0005-0000-0000-000049440000}"/>
    <cellStyle name="Normal 3 21 7 2 8 2" xfId="28165" xr:uid="{00000000-0005-0000-0000-00004A440000}"/>
    <cellStyle name="Normal 3 21 7 2 9" xfId="10623" xr:uid="{00000000-0005-0000-0000-00004B440000}"/>
    <cellStyle name="Normal 3 21 7 2 9 2" xfId="28166" xr:uid="{00000000-0005-0000-0000-00004C440000}"/>
    <cellStyle name="Normal 3 21 7 3" xfId="10624" xr:uid="{00000000-0005-0000-0000-00004D440000}"/>
    <cellStyle name="Normal 3 21 7 3 2" xfId="28167" xr:uid="{00000000-0005-0000-0000-00004E440000}"/>
    <cellStyle name="Normal 3 21 7 4" xfId="10625" xr:uid="{00000000-0005-0000-0000-00004F440000}"/>
    <cellStyle name="Normal 3 21 7 4 2" xfId="28168" xr:uid="{00000000-0005-0000-0000-000050440000}"/>
    <cellStyle name="Normal 3 21 7 5" xfId="10626" xr:uid="{00000000-0005-0000-0000-000051440000}"/>
    <cellStyle name="Normal 3 21 7 5 2" xfId="28169" xr:uid="{00000000-0005-0000-0000-000052440000}"/>
    <cellStyle name="Normal 3 21 7 6" xfId="10627" xr:uid="{00000000-0005-0000-0000-000053440000}"/>
    <cellStyle name="Normal 3 21 7 6 2" xfId="28170" xr:uid="{00000000-0005-0000-0000-000054440000}"/>
    <cellStyle name="Normal 3 21 7 7" xfId="10628" xr:uid="{00000000-0005-0000-0000-000055440000}"/>
    <cellStyle name="Normal 3 21 7 7 2" xfId="28171" xr:uid="{00000000-0005-0000-0000-000056440000}"/>
    <cellStyle name="Normal 3 21 7 8" xfId="10629" xr:uid="{00000000-0005-0000-0000-000057440000}"/>
    <cellStyle name="Normal 3 21 7 8 2" xfId="28172" xr:uid="{00000000-0005-0000-0000-000058440000}"/>
    <cellStyle name="Normal 3 21 7 9" xfId="10630" xr:uid="{00000000-0005-0000-0000-000059440000}"/>
    <cellStyle name="Normal 3 21 7 9 2" xfId="28173" xr:uid="{00000000-0005-0000-0000-00005A440000}"/>
    <cellStyle name="Normal 3 21 8" xfId="10631" xr:uid="{00000000-0005-0000-0000-00005B440000}"/>
    <cellStyle name="Normal 3 21 8 10" xfId="10632" xr:uid="{00000000-0005-0000-0000-00005C440000}"/>
    <cellStyle name="Normal 3 21 8 10 2" xfId="28175" xr:uid="{00000000-0005-0000-0000-00005D440000}"/>
    <cellStyle name="Normal 3 21 8 11" xfId="10633" xr:uid="{00000000-0005-0000-0000-00005E440000}"/>
    <cellStyle name="Normal 3 21 8 11 2" xfId="28176" xr:uid="{00000000-0005-0000-0000-00005F440000}"/>
    <cellStyle name="Normal 3 21 8 12" xfId="10634" xr:uid="{00000000-0005-0000-0000-000060440000}"/>
    <cellStyle name="Normal 3 21 8 12 2" xfId="28177" xr:uid="{00000000-0005-0000-0000-000061440000}"/>
    <cellStyle name="Normal 3 21 8 13" xfId="10635" xr:uid="{00000000-0005-0000-0000-000062440000}"/>
    <cellStyle name="Normal 3 21 8 13 2" xfId="28178" xr:uid="{00000000-0005-0000-0000-000063440000}"/>
    <cellStyle name="Normal 3 21 8 14" xfId="10636" xr:uid="{00000000-0005-0000-0000-000064440000}"/>
    <cellStyle name="Normal 3 21 8 14 2" xfId="28179" xr:uid="{00000000-0005-0000-0000-000065440000}"/>
    <cellStyle name="Normal 3 21 8 15" xfId="10637" xr:uid="{00000000-0005-0000-0000-000066440000}"/>
    <cellStyle name="Normal 3 21 8 15 2" xfId="28180" xr:uid="{00000000-0005-0000-0000-000067440000}"/>
    <cellStyle name="Normal 3 21 8 16" xfId="28174" xr:uid="{00000000-0005-0000-0000-000068440000}"/>
    <cellStyle name="Normal 3 21 8 2" xfId="10638" xr:uid="{00000000-0005-0000-0000-000069440000}"/>
    <cellStyle name="Normal 3 21 8 2 10" xfId="10639" xr:uid="{00000000-0005-0000-0000-00006A440000}"/>
    <cellStyle name="Normal 3 21 8 2 10 2" xfId="28182" xr:uid="{00000000-0005-0000-0000-00006B440000}"/>
    <cellStyle name="Normal 3 21 8 2 11" xfId="10640" xr:uid="{00000000-0005-0000-0000-00006C440000}"/>
    <cellStyle name="Normal 3 21 8 2 11 2" xfId="28183" xr:uid="{00000000-0005-0000-0000-00006D440000}"/>
    <cellStyle name="Normal 3 21 8 2 12" xfId="10641" xr:uid="{00000000-0005-0000-0000-00006E440000}"/>
    <cellStyle name="Normal 3 21 8 2 12 2" xfId="28184" xr:uid="{00000000-0005-0000-0000-00006F440000}"/>
    <cellStyle name="Normal 3 21 8 2 13" xfId="10642" xr:uid="{00000000-0005-0000-0000-000070440000}"/>
    <cellStyle name="Normal 3 21 8 2 13 2" xfId="28185" xr:uid="{00000000-0005-0000-0000-000071440000}"/>
    <cellStyle name="Normal 3 21 8 2 14" xfId="10643" xr:uid="{00000000-0005-0000-0000-000072440000}"/>
    <cellStyle name="Normal 3 21 8 2 14 2" xfId="28186" xr:uid="{00000000-0005-0000-0000-000073440000}"/>
    <cellStyle name="Normal 3 21 8 2 15" xfId="28181" xr:uid="{00000000-0005-0000-0000-000074440000}"/>
    <cellStyle name="Normal 3 21 8 2 2" xfId="10644" xr:uid="{00000000-0005-0000-0000-000075440000}"/>
    <cellStyle name="Normal 3 21 8 2 2 2" xfId="28187" xr:uid="{00000000-0005-0000-0000-000076440000}"/>
    <cellStyle name="Normal 3 21 8 2 3" xfId="10645" xr:uid="{00000000-0005-0000-0000-000077440000}"/>
    <cellStyle name="Normal 3 21 8 2 3 2" xfId="28188" xr:uid="{00000000-0005-0000-0000-000078440000}"/>
    <cellStyle name="Normal 3 21 8 2 4" xfId="10646" xr:uid="{00000000-0005-0000-0000-000079440000}"/>
    <cellStyle name="Normal 3 21 8 2 4 2" xfId="28189" xr:uid="{00000000-0005-0000-0000-00007A440000}"/>
    <cellStyle name="Normal 3 21 8 2 5" xfId="10647" xr:uid="{00000000-0005-0000-0000-00007B440000}"/>
    <cellStyle name="Normal 3 21 8 2 5 2" xfId="28190" xr:uid="{00000000-0005-0000-0000-00007C440000}"/>
    <cellStyle name="Normal 3 21 8 2 6" xfId="10648" xr:uid="{00000000-0005-0000-0000-00007D440000}"/>
    <cellStyle name="Normal 3 21 8 2 6 2" xfId="28191" xr:uid="{00000000-0005-0000-0000-00007E440000}"/>
    <cellStyle name="Normal 3 21 8 2 7" xfId="10649" xr:uid="{00000000-0005-0000-0000-00007F440000}"/>
    <cellStyle name="Normal 3 21 8 2 7 2" xfId="28192" xr:uid="{00000000-0005-0000-0000-000080440000}"/>
    <cellStyle name="Normal 3 21 8 2 8" xfId="10650" xr:uid="{00000000-0005-0000-0000-000081440000}"/>
    <cellStyle name="Normal 3 21 8 2 8 2" xfId="28193" xr:uid="{00000000-0005-0000-0000-000082440000}"/>
    <cellStyle name="Normal 3 21 8 2 9" xfId="10651" xr:uid="{00000000-0005-0000-0000-000083440000}"/>
    <cellStyle name="Normal 3 21 8 2 9 2" xfId="28194" xr:uid="{00000000-0005-0000-0000-000084440000}"/>
    <cellStyle name="Normal 3 21 8 3" xfId="10652" xr:uid="{00000000-0005-0000-0000-000085440000}"/>
    <cellStyle name="Normal 3 21 8 3 2" xfId="28195" xr:uid="{00000000-0005-0000-0000-000086440000}"/>
    <cellStyle name="Normal 3 21 8 4" xfId="10653" xr:uid="{00000000-0005-0000-0000-000087440000}"/>
    <cellStyle name="Normal 3 21 8 4 2" xfId="28196" xr:uid="{00000000-0005-0000-0000-000088440000}"/>
    <cellStyle name="Normal 3 21 8 5" xfId="10654" xr:uid="{00000000-0005-0000-0000-000089440000}"/>
    <cellStyle name="Normal 3 21 8 5 2" xfId="28197" xr:uid="{00000000-0005-0000-0000-00008A440000}"/>
    <cellStyle name="Normal 3 21 8 6" xfId="10655" xr:uid="{00000000-0005-0000-0000-00008B440000}"/>
    <cellStyle name="Normal 3 21 8 6 2" xfId="28198" xr:uid="{00000000-0005-0000-0000-00008C440000}"/>
    <cellStyle name="Normal 3 21 8 7" xfId="10656" xr:uid="{00000000-0005-0000-0000-00008D440000}"/>
    <cellStyle name="Normal 3 21 8 7 2" xfId="28199" xr:uid="{00000000-0005-0000-0000-00008E440000}"/>
    <cellStyle name="Normal 3 21 8 8" xfId="10657" xr:uid="{00000000-0005-0000-0000-00008F440000}"/>
    <cellStyle name="Normal 3 21 8 8 2" xfId="28200" xr:uid="{00000000-0005-0000-0000-000090440000}"/>
    <cellStyle name="Normal 3 21 8 9" xfId="10658" xr:uid="{00000000-0005-0000-0000-000091440000}"/>
    <cellStyle name="Normal 3 21 8 9 2" xfId="28201" xr:uid="{00000000-0005-0000-0000-000092440000}"/>
    <cellStyle name="Normal 3 21 9" xfId="10659" xr:uid="{00000000-0005-0000-0000-000093440000}"/>
    <cellStyle name="Normal 3 21 9 10" xfId="10660" xr:uid="{00000000-0005-0000-0000-000094440000}"/>
    <cellStyle name="Normal 3 21 9 10 2" xfId="28203" xr:uid="{00000000-0005-0000-0000-000095440000}"/>
    <cellStyle name="Normal 3 21 9 11" xfId="10661" xr:uid="{00000000-0005-0000-0000-000096440000}"/>
    <cellStyle name="Normal 3 21 9 11 2" xfId="28204" xr:uid="{00000000-0005-0000-0000-000097440000}"/>
    <cellStyle name="Normal 3 21 9 12" xfId="10662" xr:uid="{00000000-0005-0000-0000-000098440000}"/>
    <cellStyle name="Normal 3 21 9 12 2" xfId="28205" xr:uid="{00000000-0005-0000-0000-000099440000}"/>
    <cellStyle name="Normal 3 21 9 13" xfId="10663" xr:uid="{00000000-0005-0000-0000-00009A440000}"/>
    <cellStyle name="Normal 3 21 9 13 2" xfId="28206" xr:uid="{00000000-0005-0000-0000-00009B440000}"/>
    <cellStyle name="Normal 3 21 9 14" xfId="10664" xr:uid="{00000000-0005-0000-0000-00009C440000}"/>
    <cellStyle name="Normal 3 21 9 14 2" xfId="28207" xr:uid="{00000000-0005-0000-0000-00009D440000}"/>
    <cellStyle name="Normal 3 21 9 15" xfId="28202" xr:uid="{00000000-0005-0000-0000-00009E440000}"/>
    <cellStyle name="Normal 3 21 9 2" xfId="10665" xr:uid="{00000000-0005-0000-0000-00009F440000}"/>
    <cellStyle name="Normal 3 21 9 2 2" xfId="28208" xr:uid="{00000000-0005-0000-0000-0000A0440000}"/>
    <cellStyle name="Normal 3 21 9 3" xfId="10666" xr:uid="{00000000-0005-0000-0000-0000A1440000}"/>
    <cellStyle name="Normal 3 21 9 3 2" xfId="28209" xr:uid="{00000000-0005-0000-0000-0000A2440000}"/>
    <cellStyle name="Normal 3 21 9 4" xfId="10667" xr:uid="{00000000-0005-0000-0000-0000A3440000}"/>
    <cellStyle name="Normal 3 21 9 4 2" xfId="28210" xr:uid="{00000000-0005-0000-0000-0000A4440000}"/>
    <cellStyle name="Normal 3 21 9 5" xfId="10668" xr:uid="{00000000-0005-0000-0000-0000A5440000}"/>
    <cellStyle name="Normal 3 21 9 5 2" xfId="28211" xr:uid="{00000000-0005-0000-0000-0000A6440000}"/>
    <cellStyle name="Normal 3 21 9 6" xfId="10669" xr:uid="{00000000-0005-0000-0000-0000A7440000}"/>
    <cellStyle name="Normal 3 21 9 6 2" xfId="28212" xr:uid="{00000000-0005-0000-0000-0000A8440000}"/>
    <cellStyle name="Normal 3 21 9 7" xfId="10670" xr:uid="{00000000-0005-0000-0000-0000A9440000}"/>
    <cellStyle name="Normal 3 21 9 7 2" xfId="28213" xr:uid="{00000000-0005-0000-0000-0000AA440000}"/>
    <cellStyle name="Normal 3 21 9 8" xfId="10671" xr:uid="{00000000-0005-0000-0000-0000AB440000}"/>
    <cellStyle name="Normal 3 21 9 8 2" xfId="28214" xr:uid="{00000000-0005-0000-0000-0000AC440000}"/>
    <cellStyle name="Normal 3 21 9 9" xfId="10672" xr:uid="{00000000-0005-0000-0000-0000AD440000}"/>
    <cellStyle name="Normal 3 21 9 9 2" xfId="28215" xr:uid="{00000000-0005-0000-0000-0000AE440000}"/>
    <cellStyle name="Normal 3 22" xfId="10673" xr:uid="{00000000-0005-0000-0000-0000AF440000}"/>
    <cellStyle name="Normal 3 22 10" xfId="10674" xr:uid="{00000000-0005-0000-0000-0000B0440000}"/>
    <cellStyle name="Normal 3 22 10 10" xfId="10675" xr:uid="{00000000-0005-0000-0000-0000B1440000}"/>
    <cellStyle name="Normal 3 22 10 10 2" xfId="28218" xr:uid="{00000000-0005-0000-0000-0000B2440000}"/>
    <cellStyle name="Normal 3 22 10 11" xfId="10676" xr:uid="{00000000-0005-0000-0000-0000B3440000}"/>
    <cellStyle name="Normal 3 22 10 11 2" xfId="28219" xr:uid="{00000000-0005-0000-0000-0000B4440000}"/>
    <cellStyle name="Normal 3 22 10 12" xfId="10677" xr:uid="{00000000-0005-0000-0000-0000B5440000}"/>
    <cellStyle name="Normal 3 22 10 12 2" xfId="28220" xr:uid="{00000000-0005-0000-0000-0000B6440000}"/>
    <cellStyle name="Normal 3 22 10 13" xfId="10678" xr:uid="{00000000-0005-0000-0000-0000B7440000}"/>
    <cellStyle name="Normal 3 22 10 13 2" xfId="28221" xr:uid="{00000000-0005-0000-0000-0000B8440000}"/>
    <cellStyle name="Normal 3 22 10 14" xfId="10679" xr:uid="{00000000-0005-0000-0000-0000B9440000}"/>
    <cellStyle name="Normal 3 22 10 14 2" xfId="28222" xr:uid="{00000000-0005-0000-0000-0000BA440000}"/>
    <cellStyle name="Normal 3 22 10 15" xfId="28217" xr:uid="{00000000-0005-0000-0000-0000BB440000}"/>
    <cellStyle name="Normal 3 22 10 2" xfId="10680" xr:uid="{00000000-0005-0000-0000-0000BC440000}"/>
    <cellStyle name="Normal 3 22 10 2 2" xfId="28223" xr:uid="{00000000-0005-0000-0000-0000BD440000}"/>
    <cellStyle name="Normal 3 22 10 3" xfId="10681" xr:uid="{00000000-0005-0000-0000-0000BE440000}"/>
    <cellStyle name="Normal 3 22 10 3 2" xfId="28224" xr:uid="{00000000-0005-0000-0000-0000BF440000}"/>
    <cellStyle name="Normal 3 22 10 4" xfId="10682" xr:uid="{00000000-0005-0000-0000-0000C0440000}"/>
    <cellStyle name="Normal 3 22 10 4 2" xfId="28225" xr:uid="{00000000-0005-0000-0000-0000C1440000}"/>
    <cellStyle name="Normal 3 22 10 5" xfId="10683" xr:uid="{00000000-0005-0000-0000-0000C2440000}"/>
    <cellStyle name="Normal 3 22 10 5 2" xfId="28226" xr:uid="{00000000-0005-0000-0000-0000C3440000}"/>
    <cellStyle name="Normal 3 22 10 6" xfId="10684" xr:uid="{00000000-0005-0000-0000-0000C4440000}"/>
    <cellStyle name="Normal 3 22 10 6 2" xfId="28227" xr:uid="{00000000-0005-0000-0000-0000C5440000}"/>
    <cellStyle name="Normal 3 22 10 7" xfId="10685" xr:uid="{00000000-0005-0000-0000-0000C6440000}"/>
    <cellStyle name="Normal 3 22 10 7 2" xfId="28228" xr:uid="{00000000-0005-0000-0000-0000C7440000}"/>
    <cellStyle name="Normal 3 22 10 8" xfId="10686" xr:uid="{00000000-0005-0000-0000-0000C8440000}"/>
    <cellStyle name="Normal 3 22 10 8 2" xfId="28229" xr:uid="{00000000-0005-0000-0000-0000C9440000}"/>
    <cellStyle name="Normal 3 22 10 9" xfId="10687" xr:uid="{00000000-0005-0000-0000-0000CA440000}"/>
    <cellStyle name="Normal 3 22 10 9 2" xfId="28230" xr:uid="{00000000-0005-0000-0000-0000CB440000}"/>
    <cellStyle name="Normal 3 22 11" xfId="10688" xr:uid="{00000000-0005-0000-0000-0000CC440000}"/>
    <cellStyle name="Normal 3 22 11 10" xfId="10689" xr:uid="{00000000-0005-0000-0000-0000CD440000}"/>
    <cellStyle name="Normal 3 22 11 10 2" xfId="28232" xr:uid="{00000000-0005-0000-0000-0000CE440000}"/>
    <cellStyle name="Normal 3 22 11 11" xfId="10690" xr:uid="{00000000-0005-0000-0000-0000CF440000}"/>
    <cellStyle name="Normal 3 22 11 11 2" xfId="28233" xr:uid="{00000000-0005-0000-0000-0000D0440000}"/>
    <cellStyle name="Normal 3 22 11 12" xfId="10691" xr:uid="{00000000-0005-0000-0000-0000D1440000}"/>
    <cellStyle name="Normal 3 22 11 12 2" xfId="28234" xr:uid="{00000000-0005-0000-0000-0000D2440000}"/>
    <cellStyle name="Normal 3 22 11 13" xfId="10692" xr:uid="{00000000-0005-0000-0000-0000D3440000}"/>
    <cellStyle name="Normal 3 22 11 13 2" xfId="28235" xr:uid="{00000000-0005-0000-0000-0000D4440000}"/>
    <cellStyle name="Normal 3 22 11 14" xfId="10693" xr:uid="{00000000-0005-0000-0000-0000D5440000}"/>
    <cellStyle name="Normal 3 22 11 14 2" xfId="28236" xr:uid="{00000000-0005-0000-0000-0000D6440000}"/>
    <cellStyle name="Normal 3 22 11 15" xfId="28231" xr:uid="{00000000-0005-0000-0000-0000D7440000}"/>
    <cellStyle name="Normal 3 22 11 2" xfId="10694" xr:uid="{00000000-0005-0000-0000-0000D8440000}"/>
    <cellStyle name="Normal 3 22 11 2 2" xfId="28237" xr:uid="{00000000-0005-0000-0000-0000D9440000}"/>
    <cellStyle name="Normal 3 22 11 3" xfId="10695" xr:uid="{00000000-0005-0000-0000-0000DA440000}"/>
    <cellStyle name="Normal 3 22 11 3 2" xfId="28238" xr:uid="{00000000-0005-0000-0000-0000DB440000}"/>
    <cellStyle name="Normal 3 22 11 4" xfId="10696" xr:uid="{00000000-0005-0000-0000-0000DC440000}"/>
    <cellStyle name="Normal 3 22 11 4 2" xfId="28239" xr:uid="{00000000-0005-0000-0000-0000DD440000}"/>
    <cellStyle name="Normal 3 22 11 5" xfId="10697" xr:uid="{00000000-0005-0000-0000-0000DE440000}"/>
    <cellStyle name="Normal 3 22 11 5 2" xfId="28240" xr:uid="{00000000-0005-0000-0000-0000DF440000}"/>
    <cellStyle name="Normal 3 22 11 6" xfId="10698" xr:uid="{00000000-0005-0000-0000-0000E0440000}"/>
    <cellStyle name="Normal 3 22 11 6 2" xfId="28241" xr:uid="{00000000-0005-0000-0000-0000E1440000}"/>
    <cellStyle name="Normal 3 22 11 7" xfId="10699" xr:uid="{00000000-0005-0000-0000-0000E2440000}"/>
    <cellStyle name="Normal 3 22 11 7 2" xfId="28242" xr:uid="{00000000-0005-0000-0000-0000E3440000}"/>
    <cellStyle name="Normal 3 22 11 8" xfId="10700" xr:uid="{00000000-0005-0000-0000-0000E4440000}"/>
    <cellStyle name="Normal 3 22 11 8 2" xfId="28243" xr:uid="{00000000-0005-0000-0000-0000E5440000}"/>
    <cellStyle name="Normal 3 22 11 9" xfId="10701" xr:uid="{00000000-0005-0000-0000-0000E6440000}"/>
    <cellStyle name="Normal 3 22 11 9 2" xfId="28244" xr:uid="{00000000-0005-0000-0000-0000E7440000}"/>
    <cellStyle name="Normal 3 22 12" xfId="10702" xr:uid="{00000000-0005-0000-0000-0000E8440000}"/>
    <cellStyle name="Normal 3 22 12 10" xfId="10703" xr:uid="{00000000-0005-0000-0000-0000E9440000}"/>
    <cellStyle name="Normal 3 22 12 10 2" xfId="28246" xr:uid="{00000000-0005-0000-0000-0000EA440000}"/>
    <cellStyle name="Normal 3 22 12 11" xfId="10704" xr:uid="{00000000-0005-0000-0000-0000EB440000}"/>
    <cellStyle name="Normal 3 22 12 11 2" xfId="28247" xr:uid="{00000000-0005-0000-0000-0000EC440000}"/>
    <cellStyle name="Normal 3 22 12 12" xfId="10705" xr:uid="{00000000-0005-0000-0000-0000ED440000}"/>
    <cellStyle name="Normal 3 22 12 12 2" xfId="28248" xr:uid="{00000000-0005-0000-0000-0000EE440000}"/>
    <cellStyle name="Normal 3 22 12 13" xfId="10706" xr:uid="{00000000-0005-0000-0000-0000EF440000}"/>
    <cellStyle name="Normal 3 22 12 13 2" xfId="28249" xr:uid="{00000000-0005-0000-0000-0000F0440000}"/>
    <cellStyle name="Normal 3 22 12 14" xfId="10707" xr:uid="{00000000-0005-0000-0000-0000F1440000}"/>
    <cellStyle name="Normal 3 22 12 14 2" xfId="28250" xr:uid="{00000000-0005-0000-0000-0000F2440000}"/>
    <cellStyle name="Normal 3 22 12 15" xfId="28245" xr:uid="{00000000-0005-0000-0000-0000F3440000}"/>
    <cellStyle name="Normal 3 22 12 2" xfId="10708" xr:uid="{00000000-0005-0000-0000-0000F4440000}"/>
    <cellStyle name="Normal 3 22 12 2 2" xfId="28251" xr:uid="{00000000-0005-0000-0000-0000F5440000}"/>
    <cellStyle name="Normal 3 22 12 3" xfId="10709" xr:uid="{00000000-0005-0000-0000-0000F6440000}"/>
    <cellStyle name="Normal 3 22 12 3 2" xfId="28252" xr:uid="{00000000-0005-0000-0000-0000F7440000}"/>
    <cellStyle name="Normal 3 22 12 4" xfId="10710" xr:uid="{00000000-0005-0000-0000-0000F8440000}"/>
    <cellStyle name="Normal 3 22 12 4 2" xfId="28253" xr:uid="{00000000-0005-0000-0000-0000F9440000}"/>
    <cellStyle name="Normal 3 22 12 5" xfId="10711" xr:uid="{00000000-0005-0000-0000-0000FA440000}"/>
    <cellStyle name="Normal 3 22 12 5 2" xfId="28254" xr:uid="{00000000-0005-0000-0000-0000FB440000}"/>
    <cellStyle name="Normal 3 22 12 6" xfId="10712" xr:uid="{00000000-0005-0000-0000-0000FC440000}"/>
    <cellStyle name="Normal 3 22 12 6 2" xfId="28255" xr:uid="{00000000-0005-0000-0000-0000FD440000}"/>
    <cellStyle name="Normal 3 22 12 7" xfId="10713" xr:uid="{00000000-0005-0000-0000-0000FE440000}"/>
    <cellStyle name="Normal 3 22 12 7 2" xfId="28256" xr:uid="{00000000-0005-0000-0000-0000FF440000}"/>
    <cellStyle name="Normal 3 22 12 8" xfId="10714" xr:uid="{00000000-0005-0000-0000-000000450000}"/>
    <cellStyle name="Normal 3 22 12 8 2" xfId="28257" xr:uid="{00000000-0005-0000-0000-000001450000}"/>
    <cellStyle name="Normal 3 22 12 9" xfId="10715" xr:uid="{00000000-0005-0000-0000-000002450000}"/>
    <cellStyle name="Normal 3 22 12 9 2" xfId="28258" xr:uid="{00000000-0005-0000-0000-000003450000}"/>
    <cellStyle name="Normal 3 22 13" xfId="10716" xr:uid="{00000000-0005-0000-0000-000004450000}"/>
    <cellStyle name="Normal 3 22 13 10" xfId="10717" xr:uid="{00000000-0005-0000-0000-000005450000}"/>
    <cellStyle name="Normal 3 22 13 10 2" xfId="28260" xr:uid="{00000000-0005-0000-0000-000006450000}"/>
    <cellStyle name="Normal 3 22 13 11" xfId="10718" xr:uid="{00000000-0005-0000-0000-000007450000}"/>
    <cellStyle name="Normal 3 22 13 11 2" xfId="28261" xr:uid="{00000000-0005-0000-0000-000008450000}"/>
    <cellStyle name="Normal 3 22 13 12" xfId="10719" xr:uid="{00000000-0005-0000-0000-000009450000}"/>
    <cellStyle name="Normal 3 22 13 12 2" xfId="28262" xr:uid="{00000000-0005-0000-0000-00000A450000}"/>
    <cellStyle name="Normal 3 22 13 13" xfId="10720" xr:uid="{00000000-0005-0000-0000-00000B450000}"/>
    <cellStyle name="Normal 3 22 13 13 2" xfId="28263" xr:uid="{00000000-0005-0000-0000-00000C450000}"/>
    <cellStyle name="Normal 3 22 13 14" xfId="10721" xr:uid="{00000000-0005-0000-0000-00000D450000}"/>
    <cellStyle name="Normal 3 22 13 14 2" xfId="28264" xr:uid="{00000000-0005-0000-0000-00000E450000}"/>
    <cellStyle name="Normal 3 22 13 15" xfId="28259" xr:uid="{00000000-0005-0000-0000-00000F450000}"/>
    <cellStyle name="Normal 3 22 13 2" xfId="10722" xr:uid="{00000000-0005-0000-0000-000010450000}"/>
    <cellStyle name="Normal 3 22 13 2 2" xfId="28265" xr:uid="{00000000-0005-0000-0000-000011450000}"/>
    <cellStyle name="Normal 3 22 13 3" xfId="10723" xr:uid="{00000000-0005-0000-0000-000012450000}"/>
    <cellStyle name="Normal 3 22 13 3 2" xfId="28266" xr:uid="{00000000-0005-0000-0000-000013450000}"/>
    <cellStyle name="Normal 3 22 13 4" xfId="10724" xr:uid="{00000000-0005-0000-0000-000014450000}"/>
    <cellStyle name="Normal 3 22 13 4 2" xfId="28267" xr:uid="{00000000-0005-0000-0000-000015450000}"/>
    <cellStyle name="Normal 3 22 13 5" xfId="10725" xr:uid="{00000000-0005-0000-0000-000016450000}"/>
    <cellStyle name="Normal 3 22 13 5 2" xfId="28268" xr:uid="{00000000-0005-0000-0000-000017450000}"/>
    <cellStyle name="Normal 3 22 13 6" xfId="10726" xr:uid="{00000000-0005-0000-0000-000018450000}"/>
    <cellStyle name="Normal 3 22 13 6 2" xfId="28269" xr:uid="{00000000-0005-0000-0000-000019450000}"/>
    <cellStyle name="Normal 3 22 13 7" xfId="10727" xr:uid="{00000000-0005-0000-0000-00001A450000}"/>
    <cellStyle name="Normal 3 22 13 7 2" xfId="28270" xr:uid="{00000000-0005-0000-0000-00001B450000}"/>
    <cellStyle name="Normal 3 22 13 8" xfId="10728" xr:uid="{00000000-0005-0000-0000-00001C450000}"/>
    <cellStyle name="Normal 3 22 13 8 2" xfId="28271" xr:uid="{00000000-0005-0000-0000-00001D450000}"/>
    <cellStyle name="Normal 3 22 13 9" xfId="10729" xr:uid="{00000000-0005-0000-0000-00001E450000}"/>
    <cellStyle name="Normal 3 22 13 9 2" xfId="28272" xr:uid="{00000000-0005-0000-0000-00001F450000}"/>
    <cellStyle name="Normal 3 22 14" xfId="10730" xr:uid="{00000000-0005-0000-0000-000020450000}"/>
    <cellStyle name="Normal 3 22 14 10" xfId="10731" xr:uid="{00000000-0005-0000-0000-000021450000}"/>
    <cellStyle name="Normal 3 22 14 10 2" xfId="28274" xr:uid="{00000000-0005-0000-0000-000022450000}"/>
    <cellStyle name="Normal 3 22 14 11" xfId="10732" xr:uid="{00000000-0005-0000-0000-000023450000}"/>
    <cellStyle name="Normal 3 22 14 11 2" xfId="28275" xr:uid="{00000000-0005-0000-0000-000024450000}"/>
    <cellStyle name="Normal 3 22 14 12" xfId="10733" xr:uid="{00000000-0005-0000-0000-000025450000}"/>
    <cellStyle name="Normal 3 22 14 12 2" xfId="28276" xr:uid="{00000000-0005-0000-0000-000026450000}"/>
    <cellStyle name="Normal 3 22 14 13" xfId="10734" xr:uid="{00000000-0005-0000-0000-000027450000}"/>
    <cellStyle name="Normal 3 22 14 13 2" xfId="28277" xr:uid="{00000000-0005-0000-0000-000028450000}"/>
    <cellStyle name="Normal 3 22 14 14" xfId="10735" xr:uid="{00000000-0005-0000-0000-000029450000}"/>
    <cellStyle name="Normal 3 22 14 14 2" xfId="28278" xr:uid="{00000000-0005-0000-0000-00002A450000}"/>
    <cellStyle name="Normal 3 22 14 15" xfId="28273" xr:uid="{00000000-0005-0000-0000-00002B450000}"/>
    <cellStyle name="Normal 3 22 14 2" xfId="10736" xr:uid="{00000000-0005-0000-0000-00002C450000}"/>
    <cellStyle name="Normal 3 22 14 2 2" xfId="28279" xr:uid="{00000000-0005-0000-0000-00002D450000}"/>
    <cellStyle name="Normal 3 22 14 3" xfId="10737" xr:uid="{00000000-0005-0000-0000-00002E450000}"/>
    <cellStyle name="Normal 3 22 14 3 2" xfId="28280" xr:uid="{00000000-0005-0000-0000-00002F450000}"/>
    <cellStyle name="Normal 3 22 14 4" xfId="10738" xr:uid="{00000000-0005-0000-0000-000030450000}"/>
    <cellStyle name="Normal 3 22 14 4 2" xfId="28281" xr:uid="{00000000-0005-0000-0000-000031450000}"/>
    <cellStyle name="Normal 3 22 14 5" xfId="10739" xr:uid="{00000000-0005-0000-0000-000032450000}"/>
    <cellStyle name="Normal 3 22 14 5 2" xfId="28282" xr:uid="{00000000-0005-0000-0000-000033450000}"/>
    <cellStyle name="Normal 3 22 14 6" xfId="10740" xr:uid="{00000000-0005-0000-0000-000034450000}"/>
    <cellStyle name="Normal 3 22 14 6 2" xfId="28283" xr:uid="{00000000-0005-0000-0000-000035450000}"/>
    <cellStyle name="Normal 3 22 14 7" xfId="10741" xr:uid="{00000000-0005-0000-0000-000036450000}"/>
    <cellStyle name="Normal 3 22 14 7 2" xfId="28284" xr:uid="{00000000-0005-0000-0000-000037450000}"/>
    <cellStyle name="Normal 3 22 14 8" xfId="10742" xr:uid="{00000000-0005-0000-0000-000038450000}"/>
    <cellStyle name="Normal 3 22 14 8 2" xfId="28285" xr:uid="{00000000-0005-0000-0000-000039450000}"/>
    <cellStyle name="Normal 3 22 14 9" xfId="10743" xr:uid="{00000000-0005-0000-0000-00003A450000}"/>
    <cellStyle name="Normal 3 22 14 9 2" xfId="28286" xr:uid="{00000000-0005-0000-0000-00003B450000}"/>
    <cellStyle name="Normal 3 22 15" xfId="10744" xr:uid="{00000000-0005-0000-0000-00003C450000}"/>
    <cellStyle name="Normal 3 22 15 2" xfId="28287" xr:uid="{00000000-0005-0000-0000-00003D450000}"/>
    <cellStyle name="Normal 3 22 16" xfId="10745" xr:uid="{00000000-0005-0000-0000-00003E450000}"/>
    <cellStyle name="Normal 3 22 16 2" xfId="28288" xr:uid="{00000000-0005-0000-0000-00003F450000}"/>
    <cellStyle name="Normal 3 22 17" xfId="10746" xr:uid="{00000000-0005-0000-0000-000040450000}"/>
    <cellStyle name="Normal 3 22 17 2" xfId="28289" xr:uid="{00000000-0005-0000-0000-000041450000}"/>
    <cellStyle name="Normal 3 22 18" xfId="10747" xr:uid="{00000000-0005-0000-0000-000042450000}"/>
    <cellStyle name="Normal 3 22 18 2" xfId="28290" xr:uid="{00000000-0005-0000-0000-000043450000}"/>
    <cellStyle name="Normal 3 22 19" xfId="10748" xr:uid="{00000000-0005-0000-0000-000044450000}"/>
    <cellStyle name="Normal 3 22 19 2" xfId="28291" xr:uid="{00000000-0005-0000-0000-000045450000}"/>
    <cellStyle name="Normal 3 22 2" xfId="10749" xr:uid="{00000000-0005-0000-0000-000046450000}"/>
    <cellStyle name="Normal 3 22 20" xfId="10750" xr:uid="{00000000-0005-0000-0000-000047450000}"/>
    <cellStyle name="Normal 3 22 20 2" xfId="28292" xr:uid="{00000000-0005-0000-0000-000048450000}"/>
    <cellStyle name="Normal 3 22 21" xfId="10751" xr:uid="{00000000-0005-0000-0000-000049450000}"/>
    <cellStyle name="Normal 3 22 21 2" xfId="28293" xr:uid="{00000000-0005-0000-0000-00004A450000}"/>
    <cellStyle name="Normal 3 22 22" xfId="10752" xr:uid="{00000000-0005-0000-0000-00004B450000}"/>
    <cellStyle name="Normal 3 22 22 2" xfId="28294" xr:uid="{00000000-0005-0000-0000-00004C450000}"/>
    <cellStyle name="Normal 3 22 23" xfId="10753" xr:uid="{00000000-0005-0000-0000-00004D450000}"/>
    <cellStyle name="Normal 3 22 23 2" xfId="28295" xr:uid="{00000000-0005-0000-0000-00004E450000}"/>
    <cellStyle name="Normal 3 22 24" xfId="10754" xr:uid="{00000000-0005-0000-0000-00004F450000}"/>
    <cellStyle name="Normal 3 22 24 2" xfId="28296" xr:uid="{00000000-0005-0000-0000-000050450000}"/>
    <cellStyle name="Normal 3 22 25" xfId="10755" xr:uid="{00000000-0005-0000-0000-000051450000}"/>
    <cellStyle name="Normal 3 22 25 2" xfId="28297" xr:uid="{00000000-0005-0000-0000-000052450000}"/>
    <cellStyle name="Normal 3 22 26" xfId="10756" xr:uid="{00000000-0005-0000-0000-000053450000}"/>
    <cellStyle name="Normal 3 22 26 2" xfId="28298" xr:uid="{00000000-0005-0000-0000-000054450000}"/>
    <cellStyle name="Normal 3 22 27" xfId="10757" xr:uid="{00000000-0005-0000-0000-000055450000}"/>
    <cellStyle name="Normal 3 22 27 2" xfId="28299" xr:uid="{00000000-0005-0000-0000-000056450000}"/>
    <cellStyle name="Normal 3 22 28" xfId="28216" xr:uid="{00000000-0005-0000-0000-000057450000}"/>
    <cellStyle name="Normal 3 22 3" xfId="10758" xr:uid="{00000000-0005-0000-0000-000058450000}"/>
    <cellStyle name="Normal 3 22 4" xfId="10759" xr:uid="{00000000-0005-0000-0000-000059450000}"/>
    <cellStyle name="Normal 3 22 5" xfId="10760" xr:uid="{00000000-0005-0000-0000-00005A450000}"/>
    <cellStyle name="Normal 3 22 6" xfId="10761" xr:uid="{00000000-0005-0000-0000-00005B450000}"/>
    <cellStyle name="Normal 3 22 6 10" xfId="10762" xr:uid="{00000000-0005-0000-0000-00005C450000}"/>
    <cellStyle name="Normal 3 22 6 10 2" xfId="28301" xr:uid="{00000000-0005-0000-0000-00005D450000}"/>
    <cellStyle name="Normal 3 22 6 11" xfId="10763" xr:uid="{00000000-0005-0000-0000-00005E450000}"/>
    <cellStyle name="Normal 3 22 6 11 2" xfId="28302" xr:uid="{00000000-0005-0000-0000-00005F450000}"/>
    <cellStyle name="Normal 3 22 6 12" xfId="10764" xr:uid="{00000000-0005-0000-0000-000060450000}"/>
    <cellStyle name="Normal 3 22 6 12 2" xfId="28303" xr:uid="{00000000-0005-0000-0000-000061450000}"/>
    <cellStyle name="Normal 3 22 6 13" xfId="10765" xr:uid="{00000000-0005-0000-0000-000062450000}"/>
    <cellStyle name="Normal 3 22 6 13 2" xfId="28304" xr:uid="{00000000-0005-0000-0000-000063450000}"/>
    <cellStyle name="Normal 3 22 6 14" xfId="10766" xr:uid="{00000000-0005-0000-0000-000064450000}"/>
    <cellStyle name="Normal 3 22 6 14 2" xfId="28305" xr:uid="{00000000-0005-0000-0000-000065450000}"/>
    <cellStyle name="Normal 3 22 6 15" xfId="10767" xr:uid="{00000000-0005-0000-0000-000066450000}"/>
    <cellStyle name="Normal 3 22 6 15 2" xfId="28306" xr:uid="{00000000-0005-0000-0000-000067450000}"/>
    <cellStyle name="Normal 3 22 6 16" xfId="28300" xr:uid="{00000000-0005-0000-0000-000068450000}"/>
    <cellStyle name="Normal 3 22 6 2" xfId="10768" xr:uid="{00000000-0005-0000-0000-000069450000}"/>
    <cellStyle name="Normal 3 22 6 2 10" xfId="10769" xr:uid="{00000000-0005-0000-0000-00006A450000}"/>
    <cellStyle name="Normal 3 22 6 2 10 2" xfId="28308" xr:uid="{00000000-0005-0000-0000-00006B450000}"/>
    <cellStyle name="Normal 3 22 6 2 11" xfId="10770" xr:uid="{00000000-0005-0000-0000-00006C450000}"/>
    <cellStyle name="Normal 3 22 6 2 11 2" xfId="28309" xr:uid="{00000000-0005-0000-0000-00006D450000}"/>
    <cellStyle name="Normal 3 22 6 2 12" xfId="10771" xr:uid="{00000000-0005-0000-0000-00006E450000}"/>
    <cellStyle name="Normal 3 22 6 2 12 2" xfId="28310" xr:uid="{00000000-0005-0000-0000-00006F450000}"/>
    <cellStyle name="Normal 3 22 6 2 13" xfId="10772" xr:uid="{00000000-0005-0000-0000-000070450000}"/>
    <cellStyle name="Normal 3 22 6 2 13 2" xfId="28311" xr:uid="{00000000-0005-0000-0000-000071450000}"/>
    <cellStyle name="Normal 3 22 6 2 14" xfId="10773" xr:uid="{00000000-0005-0000-0000-000072450000}"/>
    <cellStyle name="Normal 3 22 6 2 14 2" xfId="28312" xr:uid="{00000000-0005-0000-0000-000073450000}"/>
    <cellStyle name="Normal 3 22 6 2 15" xfId="28307" xr:uid="{00000000-0005-0000-0000-000074450000}"/>
    <cellStyle name="Normal 3 22 6 2 2" xfId="10774" xr:uid="{00000000-0005-0000-0000-000075450000}"/>
    <cellStyle name="Normal 3 22 6 2 2 2" xfId="28313" xr:uid="{00000000-0005-0000-0000-000076450000}"/>
    <cellStyle name="Normal 3 22 6 2 3" xfId="10775" xr:uid="{00000000-0005-0000-0000-000077450000}"/>
    <cellStyle name="Normal 3 22 6 2 3 2" xfId="28314" xr:uid="{00000000-0005-0000-0000-000078450000}"/>
    <cellStyle name="Normal 3 22 6 2 4" xfId="10776" xr:uid="{00000000-0005-0000-0000-000079450000}"/>
    <cellStyle name="Normal 3 22 6 2 4 2" xfId="28315" xr:uid="{00000000-0005-0000-0000-00007A450000}"/>
    <cellStyle name="Normal 3 22 6 2 5" xfId="10777" xr:uid="{00000000-0005-0000-0000-00007B450000}"/>
    <cellStyle name="Normal 3 22 6 2 5 2" xfId="28316" xr:uid="{00000000-0005-0000-0000-00007C450000}"/>
    <cellStyle name="Normal 3 22 6 2 6" xfId="10778" xr:uid="{00000000-0005-0000-0000-00007D450000}"/>
    <cellStyle name="Normal 3 22 6 2 6 2" xfId="28317" xr:uid="{00000000-0005-0000-0000-00007E450000}"/>
    <cellStyle name="Normal 3 22 6 2 7" xfId="10779" xr:uid="{00000000-0005-0000-0000-00007F450000}"/>
    <cellStyle name="Normal 3 22 6 2 7 2" xfId="28318" xr:uid="{00000000-0005-0000-0000-000080450000}"/>
    <cellStyle name="Normal 3 22 6 2 8" xfId="10780" xr:uid="{00000000-0005-0000-0000-000081450000}"/>
    <cellStyle name="Normal 3 22 6 2 8 2" xfId="28319" xr:uid="{00000000-0005-0000-0000-000082450000}"/>
    <cellStyle name="Normal 3 22 6 2 9" xfId="10781" xr:uid="{00000000-0005-0000-0000-000083450000}"/>
    <cellStyle name="Normal 3 22 6 2 9 2" xfId="28320" xr:uid="{00000000-0005-0000-0000-000084450000}"/>
    <cellStyle name="Normal 3 22 6 3" xfId="10782" xr:uid="{00000000-0005-0000-0000-000085450000}"/>
    <cellStyle name="Normal 3 22 6 3 2" xfId="28321" xr:uid="{00000000-0005-0000-0000-000086450000}"/>
    <cellStyle name="Normal 3 22 6 4" xfId="10783" xr:uid="{00000000-0005-0000-0000-000087450000}"/>
    <cellStyle name="Normal 3 22 6 4 2" xfId="28322" xr:uid="{00000000-0005-0000-0000-000088450000}"/>
    <cellStyle name="Normal 3 22 6 5" xfId="10784" xr:uid="{00000000-0005-0000-0000-000089450000}"/>
    <cellStyle name="Normal 3 22 6 5 2" xfId="28323" xr:uid="{00000000-0005-0000-0000-00008A450000}"/>
    <cellStyle name="Normal 3 22 6 6" xfId="10785" xr:uid="{00000000-0005-0000-0000-00008B450000}"/>
    <cellStyle name="Normal 3 22 6 6 2" xfId="28324" xr:uid="{00000000-0005-0000-0000-00008C450000}"/>
    <cellStyle name="Normal 3 22 6 7" xfId="10786" xr:uid="{00000000-0005-0000-0000-00008D450000}"/>
    <cellStyle name="Normal 3 22 6 7 2" xfId="28325" xr:uid="{00000000-0005-0000-0000-00008E450000}"/>
    <cellStyle name="Normal 3 22 6 8" xfId="10787" xr:uid="{00000000-0005-0000-0000-00008F450000}"/>
    <cellStyle name="Normal 3 22 6 8 2" xfId="28326" xr:uid="{00000000-0005-0000-0000-000090450000}"/>
    <cellStyle name="Normal 3 22 6 9" xfId="10788" xr:uid="{00000000-0005-0000-0000-000091450000}"/>
    <cellStyle name="Normal 3 22 6 9 2" xfId="28327" xr:uid="{00000000-0005-0000-0000-000092450000}"/>
    <cellStyle name="Normal 3 22 7" xfId="10789" xr:uid="{00000000-0005-0000-0000-000093450000}"/>
    <cellStyle name="Normal 3 22 7 10" xfId="10790" xr:uid="{00000000-0005-0000-0000-000094450000}"/>
    <cellStyle name="Normal 3 22 7 10 2" xfId="28329" xr:uid="{00000000-0005-0000-0000-000095450000}"/>
    <cellStyle name="Normal 3 22 7 11" xfId="10791" xr:uid="{00000000-0005-0000-0000-000096450000}"/>
    <cellStyle name="Normal 3 22 7 11 2" xfId="28330" xr:uid="{00000000-0005-0000-0000-000097450000}"/>
    <cellStyle name="Normal 3 22 7 12" xfId="10792" xr:uid="{00000000-0005-0000-0000-000098450000}"/>
    <cellStyle name="Normal 3 22 7 12 2" xfId="28331" xr:uid="{00000000-0005-0000-0000-000099450000}"/>
    <cellStyle name="Normal 3 22 7 13" xfId="10793" xr:uid="{00000000-0005-0000-0000-00009A450000}"/>
    <cellStyle name="Normal 3 22 7 13 2" xfId="28332" xr:uid="{00000000-0005-0000-0000-00009B450000}"/>
    <cellStyle name="Normal 3 22 7 14" xfId="10794" xr:uid="{00000000-0005-0000-0000-00009C450000}"/>
    <cellStyle name="Normal 3 22 7 14 2" xfId="28333" xr:uid="{00000000-0005-0000-0000-00009D450000}"/>
    <cellStyle name="Normal 3 22 7 15" xfId="10795" xr:uid="{00000000-0005-0000-0000-00009E450000}"/>
    <cellStyle name="Normal 3 22 7 15 2" xfId="28334" xr:uid="{00000000-0005-0000-0000-00009F450000}"/>
    <cellStyle name="Normal 3 22 7 16" xfId="28328" xr:uid="{00000000-0005-0000-0000-0000A0450000}"/>
    <cellStyle name="Normal 3 22 7 2" xfId="10796" xr:uid="{00000000-0005-0000-0000-0000A1450000}"/>
    <cellStyle name="Normal 3 22 7 2 10" xfId="10797" xr:uid="{00000000-0005-0000-0000-0000A2450000}"/>
    <cellStyle name="Normal 3 22 7 2 10 2" xfId="28336" xr:uid="{00000000-0005-0000-0000-0000A3450000}"/>
    <cellStyle name="Normal 3 22 7 2 11" xfId="10798" xr:uid="{00000000-0005-0000-0000-0000A4450000}"/>
    <cellStyle name="Normal 3 22 7 2 11 2" xfId="28337" xr:uid="{00000000-0005-0000-0000-0000A5450000}"/>
    <cellStyle name="Normal 3 22 7 2 12" xfId="10799" xr:uid="{00000000-0005-0000-0000-0000A6450000}"/>
    <cellStyle name="Normal 3 22 7 2 12 2" xfId="28338" xr:uid="{00000000-0005-0000-0000-0000A7450000}"/>
    <cellStyle name="Normal 3 22 7 2 13" xfId="10800" xr:uid="{00000000-0005-0000-0000-0000A8450000}"/>
    <cellStyle name="Normal 3 22 7 2 13 2" xfId="28339" xr:uid="{00000000-0005-0000-0000-0000A9450000}"/>
    <cellStyle name="Normal 3 22 7 2 14" xfId="10801" xr:uid="{00000000-0005-0000-0000-0000AA450000}"/>
    <cellStyle name="Normal 3 22 7 2 14 2" xfId="28340" xr:uid="{00000000-0005-0000-0000-0000AB450000}"/>
    <cellStyle name="Normal 3 22 7 2 15" xfId="28335" xr:uid="{00000000-0005-0000-0000-0000AC450000}"/>
    <cellStyle name="Normal 3 22 7 2 2" xfId="10802" xr:uid="{00000000-0005-0000-0000-0000AD450000}"/>
    <cellStyle name="Normal 3 22 7 2 2 2" xfId="28341" xr:uid="{00000000-0005-0000-0000-0000AE450000}"/>
    <cellStyle name="Normal 3 22 7 2 3" xfId="10803" xr:uid="{00000000-0005-0000-0000-0000AF450000}"/>
    <cellStyle name="Normal 3 22 7 2 3 2" xfId="28342" xr:uid="{00000000-0005-0000-0000-0000B0450000}"/>
    <cellStyle name="Normal 3 22 7 2 4" xfId="10804" xr:uid="{00000000-0005-0000-0000-0000B1450000}"/>
    <cellStyle name="Normal 3 22 7 2 4 2" xfId="28343" xr:uid="{00000000-0005-0000-0000-0000B2450000}"/>
    <cellStyle name="Normal 3 22 7 2 5" xfId="10805" xr:uid="{00000000-0005-0000-0000-0000B3450000}"/>
    <cellStyle name="Normal 3 22 7 2 5 2" xfId="28344" xr:uid="{00000000-0005-0000-0000-0000B4450000}"/>
    <cellStyle name="Normal 3 22 7 2 6" xfId="10806" xr:uid="{00000000-0005-0000-0000-0000B5450000}"/>
    <cellStyle name="Normal 3 22 7 2 6 2" xfId="28345" xr:uid="{00000000-0005-0000-0000-0000B6450000}"/>
    <cellStyle name="Normal 3 22 7 2 7" xfId="10807" xr:uid="{00000000-0005-0000-0000-0000B7450000}"/>
    <cellStyle name="Normal 3 22 7 2 7 2" xfId="28346" xr:uid="{00000000-0005-0000-0000-0000B8450000}"/>
    <cellStyle name="Normal 3 22 7 2 8" xfId="10808" xr:uid="{00000000-0005-0000-0000-0000B9450000}"/>
    <cellStyle name="Normal 3 22 7 2 8 2" xfId="28347" xr:uid="{00000000-0005-0000-0000-0000BA450000}"/>
    <cellStyle name="Normal 3 22 7 2 9" xfId="10809" xr:uid="{00000000-0005-0000-0000-0000BB450000}"/>
    <cellStyle name="Normal 3 22 7 2 9 2" xfId="28348" xr:uid="{00000000-0005-0000-0000-0000BC450000}"/>
    <cellStyle name="Normal 3 22 7 3" xfId="10810" xr:uid="{00000000-0005-0000-0000-0000BD450000}"/>
    <cellStyle name="Normal 3 22 7 3 2" xfId="28349" xr:uid="{00000000-0005-0000-0000-0000BE450000}"/>
    <cellStyle name="Normal 3 22 7 4" xfId="10811" xr:uid="{00000000-0005-0000-0000-0000BF450000}"/>
    <cellStyle name="Normal 3 22 7 4 2" xfId="28350" xr:uid="{00000000-0005-0000-0000-0000C0450000}"/>
    <cellStyle name="Normal 3 22 7 5" xfId="10812" xr:uid="{00000000-0005-0000-0000-0000C1450000}"/>
    <cellStyle name="Normal 3 22 7 5 2" xfId="28351" xr:uid="{00000000-0005-0000-0000-0000C2450000}"/>
    <cellStyle name="Normal 3 22 7 6" xfId="10813" xr:uid="{00000000-0005-0000-0000-0000C3450000}"/>
    <cellStyle name="Normal 3 22 7 6 2" xfId="28352" xr:uid="{00000000-0005-0000-0000-0000C4450000}"/>
    <cellStyle name="Normal 3 22 7 7" xfId="10814" xr:uid="{00000000-0005-0000-0000-0000C5450000}"/>
    <cellStyle name="Normal 3 22 7 7 2" xfId="28353" xr:uid="{00000000-0005-0000-0000-0000C6450000}"/>
    <cellStyle name="Normal 3 22 7 8" xfId="10815" xr:uid="{00000000-0005-0000-0000-0000C7450000}"/>
    <cellStyle name="Normal 3 22 7 8 2" xfId="28354" xr:uid="{00000000-0005-0000-0000-0000C8450000}"/>
    <cellStyle name="Normal 3 22 7 9" xfId="10816" xr:uid="{00000000-0005-0000-0000-0000C9450000}"/>
    <cellStyle name="Normal 3 22 7 9 2" xfId="28355" xr:uid="{00000000-0005-0000-0000-0000CA450000}"/>
    <cellStyle name="Normal 3 22 8" xfId="10817" xr:uid="{00000000-0005-0000-0000-0000CB450000}"/>
    <cellStyle name="Normal 3 22 8 10" xfId="10818" xr:uid="{00000000-0005-0000-0000-0000CC450000}"/>
    <cellStyle name="Normal 3 22 8 10 2" xfId="28357" xr:uid="{00000000-0005-0000-0000-0000CD450000}"/>
    <cellStyle name="Normal 3 22 8 11" xfId="10819" xr:uid="{00000000-0005-0000-0000-0000CE450000}"/>
    <cellStyle name="Normal 3 22 8 11 2" xfId="28358" xr:uid="{00000000-0005-0000-0000-0000CF450000}"/>
    <cellStyle name="Normal 3 22 8 12" xfId="10820" xr:uid="{00000000-0005-0000-0000-0000D0450000}"/>
    <cellStyle name="Normal 3 22 8 12 2" xfId="28359" xr:uid="{00000000-0005-0000-0000-0000D1450000}"/>
    <cellStyle name="Normal 3 22 8 13" xfId="10821" xr:uid="{00000000-0005-0000-0000-0000D2450000}"/>
    <cellStyle name="Normal 3 22 8 13 2" xfId="28360" xr:uid="{00000000-0005-0000-0000-0000D3450000}"/>
    <cellStyle name="Normal 3 22 8 14" xfId="10822" xr:uid="{00000000-0005-0000-0000-0000D4450000}"/>
    <cellStyle name="Normal 3 22 8 14 2" xfId="28361" xr:uid="{00000000-0005-0000-0000-0000D5450000}"/>
    <cellStyle name="Normal 3 22 8 15" xfId="10823" xr:uid="{00000000-0005-0000-0000-0000D6450000}"/>
    <cellStyle name="Normal 3 22 8 15 2" xfId="28362" xr:uid="{00000000-0005-0000-0000-0000D7450000}"/>
    <cellStyle name="Normal 3 22 8 16" xfId="28356" xr:uid="{00000000-0005-0000-0000-0000D8450000}"/>
    <cellStyle name="Normal 3 22 8 2" xfId="10824" xr:uid="{00000000-0005-0000-0000-0000D9450000}"/>
    <cellStyle name="Normal 3 22 8 2 10" xfId="10825" xr:uid="{00000000-0005-0000-0000-0000DA450000}"/>
    <cellStyle name="Normal 3 22 8 2 10 2" xfId="28364" xr:uid="{00000000-0005-0000-0000-0000DB450000}"/>
    <cellStyle name="Normal 3 22 8 2 11" xfId="10826" xr:uid="{00000000-0005-0000-0000-0000DC450000}"/>
    <cellStyle name="Normal 3 22 8 2 11 2" xfId="28365" xr:uid="{00000000-0005-0000-0000-0000DD450000}"/>
    <cellStyle name="Normal 3 22 8 2 12" xfId="10827" xr:uid="{00000000-0005-0000-0000-0000DE450000}"/>
    <cellStyle name="Normal 3 22 8 2 12 2" xfId="28366" xr:uid="{00000000-0005-0000-0000-0000DF450000}"/>
    <cellStyle name="Normal 3 22 8 2 13" xfId="10828" xr:uid="{00000000-0005-0000-0000-0000E0450000}"/>
    <cellStyle name="Normal 3 22 8 2 13 2" xfId="28367" xr:uid="{00000000-0005-0000-0000-0000E1450000}"/>
    <cellStyle name="Normal 3 22 8 2 14" xfId="10829" xr:uid="{00000000-0005-0000-0000-0000E2450000}"/>
    <cellStyle name="Normal 3 22 8 2 14 2" xfId="28368" xr:uid="{00000000-0005-0000-0000-0000E3450000}"/>
    <cellStyle name="Normal 3 22 8 2 15" xfId="28363" xr:uid="{00000000-0005-0000-0000-0000E4450000}"/>
    <cellStyle name="Normal 3 22 8 2 2" xfId="10830" xr:uid="{00000000-0005-0000-0000-0000E5450000}"/>
    <cellStyle name="Normal 3 22 8 2 2 2" xfId="28369" xr:uid="{00000000-0005-0000-0000-0000E6450000}"/>
    <cellStyle name="Normal 3 22 8 2 3" xfId="10831" xr:uid="{00000000-0005-0000-0000-0000E7450000}"/>
    <cellStyle name="Normal 3 22 8 2 3 2" xfId="28370" xr:uid="{00000000-0005-0000-0000-0000E8450000}"/>
    <cellStyle name="Normal 3 22 8 2 4" xfId="10832" xr:uid="{00000000-0005-0000-0000-0000E9450000}"/>
    <cellStyle name="Normal 3 22 8 2 4 2" xfId="28371" xr:uid="{00000000-0005-0000-0000-0000EA450000}"/>
    <cellStyle name="Normal 3 22 8 2 5" xfId="10833" xr:uid="{00000000-0005-0000-0000-0000EB450000}"/>
    <cellStyle name="Normal 3 22 8 2 5 2" xfId="28372" xr:uid="{00000000-0005-0000-0000-0000EC450000}"/>
    <cellStyle name="Normal 3 22 8 2 6" xfId="10834" xr:uid="{00000000-0005-0000-0000-0000ED450000}"/>
    <cellStyle name="Normal 3 22 8 2 6 2" xfId="28373" xr:uid="{00000000-0005-0000-0000-0000EE450000}"/>
    <cellStyle name="Normal 3 22 8 2 7" xfId="10835" xr:uid="{00000000-0005-0000-0000-0000EF450000}"/>
    <cellStyle name="Normal 3 22 8 2 7 2" xfId="28374" xr:uid="{00000000-0005-0000-0000-0000F0450000}"/>
    <cellStyle name="Normal 3 22 8 2 8" xfId="10836" xr:uid="{00000000-0005-0000-0000-0000F1450000}"/>
    <cellStyle name="Normal 3 22 8 2 8 2" xfId="28375" xr:uid="{00000000-0005-0000-0000-0000F2450000}"/>
    <cellStyle name="Normal 3 22 8 2 9" xfId="10837" xr:uid="{00000000-0005-0000-0000-0000F3450000}"/>
    <cellStyle name="Normal 3 22 8 2 9 2" xfId="28376" xr:uid="{00000000-0005-0000-0000-0000F4450000}"/>
    <cellStyle name="Normal 3 22 8 3" xfId="10838" xr:uid="{00000000-0005-0000-0000-0000F5450000}"/>
    <cellStyle name="Normal 3 22 8 3 2" xfId="28377" xr:uid="{00000000-0005-0000-0000-0000F6450000}"/>
    <cellStyle name="Normal 3 22 8 4" xfId="10839" xr:uid="{00000000-0005-0000-0000-0000F7450000}"/>
    <cellStyle name="Normal 3 22 8 4 2" xfId="28378" xr:uid="{00000000-0005-0000-0000-0000F8450000}"/>
    <cellStyle name="Normal 3 22 8 5" xfId="10840" xr:uid="{00000000-0005-0000-0000-0000F9450000}"/>
    <cellStyle name="Normal 3 22 8 5 2" xfId="28379" xr:uid="{00000000-0005-0000-0000-0000FA450000}"/>
    <cellStyle name="Normal 3 22 8 6" xfId="10841" xr:uid="{00000000-0005-0000-0000-0000FB450000}"/>
    <cellStyle name="Normal 3 22 8 6 2" xfId="28380" xr:uid="{00000000-0005-0000-0000-0000FC450000}"/>
    <cellStyle name="Normal 3 22 8 7" xfId="10842" xr:uid="{00000000-0005-0000-0000-0000FD450000}"/>
    <cellStyle name="Normal 3 22 8 7 2" xfId="28381" xr:uid="{00000000-0005-0000-0000-0000FE450000}"/>
    <cellStyle name="Normal 3 22 8 8" xfId="10843" xr:uid="{00000000-0005-0000-0000-0000FF450000}"/>
    <cellStyle name="Normal 3 22 8 8 2" xfId="28382" xr:uid="{00000000-0005-0000-0000-000000460000}"/>
    <cellStyle name="Normal 3 22 8 9" xfId="10844" xr:uid="{00000000-0005-0000-0000-000001460000}"/>
    <cellStyle name="Normal 3 22 8 9 2" xfId="28383" xr:uid="{00000000-0005-0000-0000-000002460000}"/>
    <cellStyle name="Normal 3 22 9" xfId="10845" xr:uid="{00000000-0005-0000-0000-000003460000}"/>
    <cellStyle name="Normal 3 22 9 10" xfId="10846" xr:uid="{00000000-0005-0000-0000-000004460000}"/>
    <cellStyle name="Normal 3 22 9 10 2" xfId="28385" xr:uid="{00000000-0005-0000-0000-000005460000}"/>
    <cellStyle name="Normal 3 22 9 11" xfId="10847" xr:uid="{00000000-0005-0000-0000-000006460000}"/>
    <cellStyle name="Normal 3 22 9 11 2" xfId="28386" xr:uid="{00000000-0005-0000-0000-000007460000}"/>
    <cellStyle name="Normal 3 22 9 12" xfId="10848" xr:uid="{00000000-0005-0000-0000-000008460000}"/>
    <cellStyle name="Normal 3 22 9 12 2" xfId="28387" xr:uid="{00000000-0005-0000-0000-000009460000}"/>
    <cellStyle name="Normal 3 22 9 13" xfId="10849" xr:uid="{00000000-0005-0000-0000-00000A460000}"/>
    <cellStyle name="Normal 3 22 9 13 2" xfId="28388" xr:uid="{00000000-0005-0000-0000-00000B460000}"/>
    <cellStyle name="Normal 3 22 9 14" xfId="10850" xr:uid="{00000000-0005-0000-0000-00000C460000}"/>
    <cellStyle name="Normal 3 22 9 14 2" xfId="28389" xr:uid="{00000000-0005-0000-0000-00000D460000}"/>
    <cellStyle name="Normal 3 22 9 15" xfId="28384" xr:uid="{00000000-0005-0000-0000-00000E460000}"/>
    <cellStyle name="Normal 3 22 9 2" xfId="10851" xr:uid="{00000000-0005-0000-0000-00000F460000}"/>
    <cellStyle name="Normal 3 22 9 2 2" xfId="28390" xr:uid="{00000000-0005-0000-0000-000010460000}"/>
    <cellStyle name="Normal 3 22 9 3" xfId="10852" xr:uid="{00000000-0005-0000-0000-000011460000}"/>
    <cellStyle name="Normal 3 22 9 3 2" xfId="28391" xr:uid="{00000000-0005-0000-0000-000012460000}"/>
    <cellStyle name="Normal 3 22 9 4" xfId="10853" xr:uid="{00000000-0005-0000-0000-000013460000}"/>
    <cellStyle name="Normal 3 22 9 4 2" xfId="28392" xr:uid="{00000000-0005-0000-0000-000014460000}"/>
    <cellStyle name="Normal 3 22 9 5" xfId="10854" xr:uid="{00000000-0005-0000-0000-000015460000}"/>
    <cellStyle name="Normal 3 22 9 5 2" xfId="28393" xr:uid="{00000000-0005-0000-0000-000016460000}"/>
    <cellStyle name="Normal 3 22 9 6" xfId="10855" xr:uid="{00000000-0005-0000-0000-000017460000}"/>
    <cellStyle name="Normal 3 22 9 6 2" xfId="28394" xr:uid="{00000000-0005-0000-0000-000018460000}"/>
    <cellStyle name="Normal 3 22 9 7" xfId="10856" xr:uid="{00000000-0005-0000-0000-000019460000}"/>
    <cellStyle name="Normal 3 22 9 7 2" xfId="28395" xr:uid="{00000000-0005-0000-0000-00001A460000}"/>
    <cellStyle name="Normal 3 22 9 8" xfId="10857" xr:uid="{00000000-0005-0000-0000-00001B460000}"/>
    <cellStyle name="Normal 3 22 9 8 2" xfId="28396" xr:uid="{00000000-0005-0000-0000-00001C460000}"/>
    <cellStyle name="Normal 3 22 9 9" xfId="10858" xr:uid="{00000000-0005-0000-0000-00001D460000}"/>
    <cellStyle name="Normal 3 22 9 9 2" xfId="28397" xr:uid="{00000000-0005-0000-0000-00001E460000}"/>
    <cellStyle name="Normal 3 23" xfId="10859" xr:uid="{00000000-0005-0000-0000-00001F460000}"/>
    <cellStyle name="Normal 3 24" xfId="10860" xr:uid="{00000000-0005-0000-0000-000020460000}"/>
    <cellStyle name="Normal 3 25" xfId="10861" xr:uid="{00000000-0005-0000-0000-000021460000}"/>
    <cellStyle name="Normal 3 26" xfId="10862" xr:uid="{00000000-0005-0000-0000-000022460000}"/>
    <cellStyle name="Normal 3 27" xfId="10863" xr:uid="{00000000-0005-0000-0000-000023460000}"/>
    <cellStyle name="Normal 3 28" xfId="10864" xr:uid="{00000000-0005-0000-0000-000024460000}"/>
    <cellStyle name="Normal 3 29" xfId="10865" xr:uid="{00000000-0005-0000-0000-000025460000}"/>
    <cellStyle name="Normal 3 3" xfId="62" xr:uid="{00000000-0005-0000-0000-000026460000}"/>
    <cellStyle name="Normal 3 3 10" xfId="10867" xr:uid="{00000000-0005-0000-0000-000027460000}"/>
    <cellStyle name="Normal 3 3 10 10" xfId="10868" xr:uid="{00000000-0005-0000-0000-000028460000}"/>
    <cellStyle name="Normal 3 3 10 10 10" xfId="10869" xr:uid="{00000000-0005-0000-0000-000029460000}"/>
    <cellStyle name="Normal 3 3 10 10 10 2" xfId="28400" xr:uid="{00000000-0005-0000-0000-00002A460000}"/>
    <cellStyle name="Normal 3 3 10 10 11" xfId="10870" xr:uid="{00000000-0005-0000-0000-00002B460000}"/>
    <cellStyle name="Normal 3 3 10 10 11 2" xfId="28401" xr:uid="{00000000-0005-0000-0000-00002C460000}"/>
    <cellStyle name="Normal 3 3 10 10 12" xfId="10871" xr:uid="{00000000-0005-0000-0000-00002D460000}"/>
    <cellStyle name="Normal 3 3 10 10 12 2" xfId="28402" xr:uid="{00000000-0005-0000-0000-00002E460000}"/>
    <cellStyle name="Normal 3 3 10 10 13" xfId="10872" xr:uid="{00000000-0005-0000-0000-00002F460000}"/>
    <cellStyle name="Normal 3 3 10 10 13 2" xfId="28403" xr:uid="{00000000-0005-0000-0000-000030460000}"/>
    <cellStyle name="Normal 3 3 10 10 14" xfId="10873" xr:uid="{00000000-0005-0000-0000-000031460000}"/>
    <cellStyle name="Normal 3 3 10 10 14 2" xfId="28404" xr:uid="{00000000-0005-0000-0000-000032460000}"/>
    <cellStyle name="Normal 3 3 10 10 15" xfId="28399" xr:uid="{00000000-0005-0000-0000-000033460000}"/>
    <cellStyle name="Normal 3 3 10 10 2" xfId="10874" xr:uid="{00000000-0005-0000-0000-000034460000}"/>
    <cellStyle name="Normal 3 3 10 10 2 2" xfId="28405" xr:uid="{00000000-0005-0000-0000-000035460000}"/>
    <cellStyle name="Normal 3 3 10 10 3" xfId="10875" xr:uid="{00000000-0005-0000-0000-000036460000}"/>
    <cellStyle name="Normal 3 3 10 10 3 2" xfId="28406" xr:uid="{00000000-0005-0000-0000-000037460000}"/>
    <cellStyle name="Normal 3 3 10 10 4" xfId="10876" xr:uid="{00000000-0005-0000-0000-000038460000}"/>
    <cellStyle name="Normal 3 3 10 10 4 2" xfId="28407" xr:uid="{00000000-0005-0000-0000-000039460000}"/>
    <cellStyle name="Normal 3 3 10 10 5" xfId="10877" xr:uid="{00000000-0005-0000-0000-00003A460000}"/>
    <cellStyle name="Normal 3 3 10 10 5 2" xfId="28408" xr:uid="{00000000-0005-0000-0000-00003B460000}"/>
    <cellStyle name="Normal 3 3 10 10 6" xfId="10878" xr:uid="{00000000-0005-0000-0000-00003C460000}"/>
    <cellStyle name="Normal 3 3 10 10 6 2" xfId="28409" xr:uid="{00000000-0005-0000-0000-00003D460000}"/>
    <cellStyle name="Normal 3 3 10 10 7" xfId="10879" xr:uid="{00000000-0005-0000-0000-00003E460000}"/>
    <cellStyle name="Normal 3 3 10 10 7 2" xfId="28410" xr:uid="{00000000-0005-0000-0000-00003F460000}"/>
    <cellStyle name="Normal 3 3 10 10 8" xfId="10880" xr:uid="{00000000-0005-0000-0000-000040460000}"/>
    <cellStyle name="Normal 3 3 10 10 8 2" xfId="28411" xr:uid="{00000000-0005-0000-0000-000041460000}"/>
    <cellStyle name="Normal 3 3 10 10 9" xfId="10881" xr:uid="{00000000-0005-0000-0000-000042460000}"/>
    <cellStyle name="Normal 3 3 10 10 9 2" xfId="28412" xr:uid="{00000000-0005-0000-0000-000043460000}"/>
    <cellStyle name="Normal 3 3 10 11" xfId="10882" xr:uid="{00000000-0005-0000-0000-000044460000}"/>
    <cellStyle name="Normal 3 3 10 11 2" xfId="28413" xr:uid="{00000000-0005-0000-0000-000045460000}"/>
    <cellStyle name="Normal 3 3 10 12" xfId="10883" xr:uid="{00000000-0005-0000-0000-000046460000}"/>
    <cellStyle name="Normal 3 3 10 12 2" xfId="28414" xr:uid="{00000000-0005-0000-0000-000047460000}"/>
    <cellStyle name="Normal 3 3 10 13" xfId="10884" xr:uid="{00000000-0005-0000-0000-000048460000}"/>
    <cellStyle name="Normal 3 3 10 13 2" xfId="28415" xr:uid="{00000000-0005-0000-0000-000049460000}"/>
    <cellStyle name="Normal 3 3 10 14" xfId="10885" xr:uid="{00000000-0005-0000-0000-00004A460000}"/>
    <cellStyle name="Normal 3 3 10 14 2" xfId="28416" xr:uid="{00000000-0005-0000-0000-00004B460000}"/>
    <cellStyle name="Normal 3 3 10 15" xfId="10886" xr:uid="{00000000-0005-0000-0000-00004C460000}"/>
    <cellStyle name="Normal 3 3 10 15 2" xfId="28417" xr:uid="{00000000-0005-0000-0000-00004D460000}"/>
    <cellStyle name="Normal 3 3 10 16" xfId="10887" xr:uid="{00000000-0005-0000-0000-00004E460000}"/>
    <cellStyle name="Normal 3 3 10 16 2" xfId="28418" xr:uid="{00000000-0005-0000-0000-00004F460000}"/>
    <cellStyle name="Normal 3 3 10 17" xfId="10888" xr:uid="{00000000-0005-0000-0000-000050460000}"/>
    <cellStyle name="Normal 3 3 10 17 2" xfId="28419" xr:uid="{00000000-0005-0000-0000-000051460000}"/>
    <cellStyle name="Normal 3 3 10 18" xfId="10889" xr:uid="{00000000-0005-0000-0000-000052460000}"/>
    <cellStyle name="Normal 3 3 10 18 2" xfId="28420" xr:uid="{00000000-0005-0000-0000-000053460000}"/>
    <cellStyle name="Normal 3 3 10 19" xfId="10890" xr:uid="{00000000-0005-0000-0000-000054460000}"/>
    <cellStyle name="Normal 3 3 10 19 2" xfId="28421" xr:uid="{00000000-0005-0000-0000-000055460000}"/>
    <cellStyle name="Normal 3 3 10 2" xfId="10891" xr:uid="{00000000-0005-0000-0000-000056460000}"/>
    <cellStyle name="Normal 3 3 10 2 10" xfId="10892" xr:uid="{00000000-0005-0000-0000-000057460000}"/>
    <cellStyle name="Normal 3 3 10 2 10 2" xfId="28423" xr:uid="{00000000-0005-0000-0000-000058460000}"/>
    <cellStyle name="Normal 3 3 10 2 11" xfId="10893" xr:uid="{00000000-0005-0000-0000-000059460000}"/>
    <cellStyle name="Normal 3 3 10 2 11 2" xfId="28424" xr:uid="{00000000-0005-0000-0000-00005A460000}"/>
    <cellStyle name="Normal 3 3 10 2 12" xfId="10894" xr:uid="{00000000-0005-0000-0000-00005B460000}"/>
    <cellStyle name="Normal 3 3 10 2 12 2" xfId="28425" xr:uid="{00000000-0005-0000-0000-00005C460000}"/>
    <cellStyle name="Normal 3 3 10 2 13" xfId="10895" xr:uid="{00000000-0005-0000-0000-00005D460000}"/>
    <cellStyle name="Normal 3 3 10 2 13 2" xfId="28426" xr:uid="{00000000-0005-0000-0000-00005E460000}"/>
    <cellStyle name="Normal 3 3 10 2 14" xfId="10896" xr:uid="{00000000-0005-0000-0000-00005F460000}"/>
    <cellStyle name="Normal 3 3 10 2 14 2" xfId="28427" xr:uid="{00000000-0005-0000-0000-000060460000}"/>
    <cellStyle name="Normal 3 3 10 2 15" xfId="10897" xr:uid="{00000000-0005-0000-0000-000061460000}"/>
    <cellStyle name="Normal 3 3 10 2 15 2" xfId="28428" xr:uid="{00000000-0005-0000-0000-000062460000}"/>
    <cellStyle name="Normal 3 3 10 2 16" xfId="28422" xr:uid="{00000000-0005-0000-0000-000063460000}"/>
    <cellStyle name="Normal 3 3 10 2 2" xfId="10898" xr:uid="{00000000-0005-0000-0000-000064460000}"/>
    <cellStyle name="Normal 3 3 10 2 2 10" xfId="10899" xr:uid="{00000000-0005-0000-0000-000065460000}"/>
    <cellStyle name="Normal 3 3 10 2 2 10 2" xfId="28430" xr:uid="{00000000-0005-0000-0000-000066460000}"/>
    <cellStyle name="Normal 3 3 10 2 2 11" xfId="10900" xr:uid="{00000000-0005-0000-0000-000067460000}"/>
    <cellStyle name="Normal 3 3 10 2 2 11 2" xfId="28431" xr:uid="{00000000-0005-0000-0000-000068460000}"/>
    <cellStyle name="Normal 3 3 10 2 2 12" xfId="10901" xr:uid="{00000000-0005-0000-0000-000069460000}"/>
    <cellStyle name="Normal 3 3 10 2 2 12 2" xfId="28432" xr:uid="{00000000-0005-0000-0000-00006A460000}"/>
    <cellStyle name="Normal 3 3 10 2 2 13" xfId="10902" xr:uid="{00000000-0005-0000-0000-00006B460000}"/>
    <cellStyle name="Normal 3 3 10 2 2 13 2" xfId="28433" xr:uid="{00000000-0005-0000-0000-00006C460000}"/>
    <cellStyle name="Normal 3 3 10 2 2 14" xfId="10903" xr:uid="{00000000-0005-0000-0000-00006D460000}"/>
    <cellStyle name="Normal 3 3 10 2 2 14 2" xfId="28434" xr:uid="{00000000-0005-0000-0000-00006E460000}"/>
    <cellStyle name="Normal 3 3 10 2 2 15" xfId="28429" xr:uid="{00000000-0005-0000-0000-00006F460000}"/>
    <cellStyle name="Normal 3 3 10 2 2 2" xfId="10904" xr:uid="{00000000-0005-0000-0000-000070460000}"/>
    <cellStyle name="Normal 3 3 10 2 2 2 2" xfId="28435" xr:uid="{00000000-0005-0000-0000-000071460000}"/>
    <cellStyle name="Normal 3 3 10 2 2 3" xfId="10905" xr:uid="{00000000-0005-0000-0000-000072460000}"/>
    <cellStyle name="Normal 3 3 10 2 2 3 2" xfId="28436" xr:uid="{00000000-0005-0000-0000-000073460000}"/>
    <cellStyle name="Normal 3 3 10 2 2 4" xfId="10906" xr:uid="{00000000-0005-0000-0000-000074460000}"/>
    <cellStyle name="Normal 3 3 10 2 2 4 2" xfId="28437" xr:uid="{00000000-0005-0000-0000-000075460000}"/>
    <cellStyle name="Normal 3 3 10 2 2 5" xfId="10907" xr:uid="{00000000-0005-0000-0000-000076460000}"/>
    <cellStyle name="Normal 3 3 10 2 2 5 2" xfId="28438" xr:uid="{00000000-0005-0000-0000-000077460000}"/>
    <cellStyle name="Normal 3 3 10 2 2 6" xfId="10908" xr:uid="{00000000-0005-0000-0000-000078460000}"/>
    <cellStyle name="Normal 3 3 10 2 2 6 2" xfId="28439" xr:uid="{00000000-0005-0000-0000-000079460000}"/>
    <cellStyle name="Normal 3 3 10 2 2 7" xfId="10909" xr:uid="{00000000-0005-0000-0000-00007A460000}"/>
    <cellStyle name="Normal 3 3 10 2 2 7 2" xfId="28440" xr:uid="{00000000-0005-0000-0000-00007B460000}"/>
    <cellStyle name="Normal 3 3 10 2 2 8" xfId="10910" xr:uid="{00000000-0005-0000-0000-00007C460000}"/>
    <cellStyle name="Normal 3 3 10 2 2 8 2" xfId="28441" xr:uid="{00000000-0005-0000-0000-00007D460000}"/>
    <cellStyle name="Normal 3 3 10 2 2 9" xfId="10911" xr:uid="{00000000-0005-0000-0000-00007E460000}"/>
    <cellStyle name="Normal 3 3 10 2 2 9 2" xfId="28442" xr:uid="{00000000-0005-0000-0000-00007F460000}"/>
    <cellStyle name="Normal 3 3 10 2 3" xfId="10912" xr:uid="{00000000-0005-0000-0000-000080460000}"/>
    <cellStyle name="Normal 3 3 10 2 3 2" xfId="28443" xr:uid="{00000000-0005-0000-0000-000081460000}"/>
    <cellStyle name="Normal 3 3 10 2 4" xfId="10913" xr:uid="{00000000-0005-0000-0000-000082460000}"/>
    <cellStyle name="Normal 3 3 10 2 4 2" xfId="28444" xr:uid="{00000000-0005-0000-0000-000083460000}"/>
    <cellStyle name="Normal 3 3 10 2 5" xfId="10914" xr:uid="{00000000-0005-0000-0000-000084460000}"/>
    <cellStyle name="Normal 3 3 10 2 5 2" xfId="28445" xr:uid="{00000000-0005-0000-0000-000085460000}"/>
    <cellStyle name="Normal 3 3 10 2 6" xfId="10915" xr:uid="{00000000-0005-0000-0000-000086460000}"/>
    <cellStyle name="Normal 3 3 10 2 6 2" xfId="28446" xr:uid="{00000000-0005-0000-0000-000087460000}"/>
    <cellStyle name="Normal 3 3 10 2 7" xfId="10916" xr:uid="{00000000-0005-0000-0000-000088460000}"/>
    <cellStyle name="Normal 3 3 10 2 7 2" xfId="28447" xr:uid="{00000000-0005-0000-0000-000089460000}"/>
    <cellStyle name="Normal 3 3 10 2 8" xfId="10917" xr:uid="{00000000-0005-0000-0000-00008A460000}"/>
    <cellStyle name="Normal 3 3 10 2 8 2" xfId="28448" xr:uid="{00000000-0005-0000-0000-00008B460000}"/>
    <cellStyle name="Normal 3 3 10 2 9" xfId="10918" xr:uid="{00000000-0005-0000-0000-00008C460000}"/>
    <cellStyle name="Normal 3 3 10 2 9 2" xfId="28449" xr:uid="{00000000-0005-0000-0000-00008D460000}"/>
    <cellStyle name="Normal 3 3 10 20" xfId="10919" xr:uid="{00000000-0005-0000-0000-00008E460000}"/>
    <cellStyle name="Normal 3 3 10 20 2" xfId="28450" xr:uid="{00000000-0005-0000-0000-00008F460000}"/>
    <cellStyle name="Normal 3 3 10 21" xfId="10920" xr:uid="{00000000-0005-0000-0000-000090460000}"/>
    <cellStyle name="Normal 3 3 10 21 2" xfId="28451" xr:uid="{00000000-0005-0000-0000-000091460000}"/>
    <cellStyle name="Normal 3 3 10 22" xfId="10921" xr:uid="{00000000-0005-0000-0000-000092460000}"/>
    <cellStyle name="Normal 3 3 10 22 2" xfId="28452" xr:uid="{00000000-0005-0000-0000-000093460000}"/>
    <cellStyle name="Normal 3 3 10 23" xfId="10922" xr:uid="{00000000-0005-0000-0000-000094460000}"/>
    <cellStyle name="Normal 3 3 10 23 2" xfId="28453" xr:uid="{00000000-0005-0000-0000-000095460000}"/>
    <cellStyle name="Normal 3 3 10 24" xfId="28398" xr:uid="{00000000-0005-0000-0000-000096460000}"/>
    <cellStyle name="Normal 3 3 10 3" xfId="10923" xr:uid="{00000000-0005-0000-0000-000097460000}"/>
    <cellStyle name="Normal 3 3 10 3 10" xfId="10924" xr:uid="{00000000-0005-0000-0000-000098460000}"/>
    <cellStyle name="Normal 3 3 10 3 10 2" xfId="28455" xr:uid="{00000000-0005-0000-0000-000099460000}"/>
    <cellStyle name="Normal 3 3 10 3 11" xfId="10925" xr:uid="{00000000-0005-0000-0000-00009A460000}"/>
    <cellStyle name="Normal 3 3 10 3 11 2" xfId="28456" xr:uid="{00000000-0005-0000-0000-00009B460000}"/>
    <cellStyle name="Normal 3 3 10 3 12" xfId="10926" xr:uid="{00000000-0005-0000-0000-00009C460000}"/>
    <cellStyle name="Normal 3 3 10 3 12 2" xfId="28457" xr:uid="{00000000-0005-0000-0000-00009D460000}"/>
    <cellStyle name="Normal 3 3 10 3 13" xfId="10927" xr:uid="{00000000-0005-0000-0000-00009E460000}"/>
    <cellStyle name="Normal 3 3 10 3 13 2" xfId="28458" xr:uid="{00000000-0005-0000-0000-00009F460000}"/>
    <cellStyle name="Normal 3 3 10 3 14" xfId="10928" xr:uid="{00000000-0005-0000-0000-0000A0460000}"/>
    <cellStyle name="Normal 3 3 10 3 14 2" xfId="28459" xr:uid="{00000000-0005-0000-0000-0000A1460000}"/>
    <cellStyle name="Normal 3 3 10 3 15" xfId="10929" xr:uid="{00000000-0005-0000-0000-0000A2460000}"/>
    <cellStyle name="Normal 3 3 10 3 15 2" xfId="28460" xr:uid="{00000000-0005-0000-0000-0000A3460000}"/>
    <cellStyle name="Normal 3 3 10 3 16" xfId="28454" xr:uid="{00000000-0005-0000-0000-0000A4460000}"/>
    <cellStyle name="Normal 3 3 10 3 2" xfId="10930" xr:uid="{00000000-0005-0000-0000-0000A5460000}"/>
    <cellStyle name="Normal 3 3 10 3 2 10" xfId="10931" xr:uid="{00000000-0005-0000-0000-0000A6460000}"/>
    <cellStyle name="Normal 3 3 10 3 2 10 2" xfId="28462" xr:uid="{00000000-0005-0000-0000-0000A7460000}"/>
    <cellStyle name="Normal 3 3 10 3 2 11" xfId="10932" xr:uid="{00000000-0005-0000-0000-0000A8460000}"/>
    <cellStyle name="Normal 3 3 10 3 2 11 2" xfId="28463" xr:uid="{00000000-0005-0000-0000-0000A9460000}"/>
    <cellStyle name="Normal 3 3 10 3 2 12" xfId="10933" xr:uid="{00000000-0005-0000-0000-0000AA460000}"/>
    <cellStyle name="Normal 3 3 10 3 2 12 2" xfId="28464" xr:uid="{00000000-0005-0000-0000-0000AB460000}"/>
    <cellStyle name="Normal 3 3 10 3 2 13" xfId="10934" xr:uid="{00000000-0005-0000-0000-0000AC460000}"/>
    <cellStyle name="Normal 3 3 10 3 2 13 2" xfId="28465" xr:uid="{00000000-0005-0000-0000-0000AD460000}"/>
    <cellStyle name="Normal 3 3 10 3 2 14" xfId="10935" xr:uid="{00000000-0005-0000-0000-0000AE460000}"/>
    <cellStyle name="Normal 3 3 10 3 2 14 2" xfId="28466" xr:uid="{00000000-0005-0000-0000-0000AF460000}"/>
    <cellStyle name="Normal 3 3 10 3 2 15" xfId="28461" xr:uid="{00000000-0005-0000-0000-0000B0460000}"/>
    <cellStyle name="Normal 3 3 10 3 2 2" xfId="10936" xr:uid="{00000000-0005-0000-0000-0000B1460000}"/>
    <cellStyle name="Normal 3 3 10 3 2 2 2" xfId="28467" xr:uid="{00000000-0005-0000-0000-0000B2460000}"/>
    <cellStyle name="Normal 3 3 10 3 2 3" xfId="10937" xr:uid="{00000000-0005-0000-0000-0000B3460000}"/>
    <cellStyle name="Normal 3 3 10 3 2 3 2" xfId="28468" xr:uid="{00000000-0005-0000-0000-0000B4460000}"/>
    <cellStyle name="Normal 3 3 10 3 2 4" xfId="10938" xr:uid="{00000000-0005-0000-0000-0000B5460000}"/>
    <cellStyle name="Normal 3 3 10 3 2 4 2" xfId="28469" xr:uid="{00000000-0005-0000-0000-0000B6460000}"/>
    <cellStyle name="Normal 3 3 10 3 2 5" xfId="10939" xr:uid="{00000000-0005-0000-0000-0000B7460000}"/>
    <cellStyle name="Normal 3 3 10 3 2 5 2" xfId="28470" xr:uid="{00000000-0005-0000-0000-0000B8460000}"/>
    <cellStyle name="Normal 3 3 10 3 2 6" xfId="10940" xr:uid="{00000000-0005-0000-0000-0000B9460000}"/>
    <cellStyle name="Normal 3 3 10 3 2 6 2" xfId="28471" xr:uid="{00000000-0005-0000-0000-0000BA460000}"/>
    <cellStyle name="Normal 3 3 10 3 2 7" xfId="10941" xr:uid="{00000000-0005-0000-0000-0000BB460000}"/>
    <cellStyle name="Normal 3 3 10 3 2 7 2" xfId="28472" xr:uid="{00000000-0005-0000-0000-0000BC460000}"/>
    <cellStyle name="Normal 3 3 10 3 2 8" xfId="10942" xr:uid="{00000000-0005-0000-0000-0000BD460000}"/>
    <cellStyle name="Normal 3 3 10 3 2 8 2" xfId="28473" xr:uid="{00000000-0005-0000-0000-0000BE460000}"/>
    <cellStyle name="Normal 3 3 10 3 2 9" xfId="10943" xr:uid="{00000000-0005-0000-0000-0000BF460000}"/>
    <cellStyle name="Normal 3 3 10 3 2 9 2" xfId="28474" xr:uid="{00000000-0005-0000-0000-0000C0460000}"/>
    <cellStyle name="Normal 3 3 10 3 3" xfId="10944" xr:uid="{00000000-0005-0000-0000-0000C1460000}"/>
    <cellStyle name="Normal 3 3 10 3 3 2" xfId="28475" xr:uid="{00000000-0005-0000-0000-0000C2460000}"/>
    <cellStyle name="Normal 3 3 10 3 4" xfId="10945" xr:uid="{00000000-0005-0000-0000-0000C3460000}"/>
    <cellStyle name="Normal 3 3 10 3 4 2" xfId="28476" xr:uid="{00000000-0005-0000-0000-0000C4460000}"/>
    <cellStyle name="Normal 3 3 10 3 5" xfId="10946" xr:uid="{00000000-0005-0000-0000-0000C5460000}"/>
    <cellStyle name="Normal 3 3 10 3 5 2" xfId="28477" xr:uid="{00000000-0005-0000-0000-0000C6460000}"/>
    <cellStyle name="Normal 3 3 10 3 6" xfId="10947" xr:uid="{00000000-0005-0000-0000-0000C7460000}"/>
    <cellStyle name="Normal 3 3 10 3 6 2" xfId="28478" xr:uid="{00000000-0005-0000-0000-0000C8460000}"/>
    <cellStyle name="Normal 3 3 10 3 7" xfId="10948" xr:uid="{00000000-0005-0000-0000-0000C9460000}"/>
    <cellStyle name="Normal 3 3 10 3 7 2" xfId="28479" xr:uid="{00000000-0005-0000-0000-0000CA460000}"/>
    <cellStyle name="Normal 3 3 10 3 8" xfId="10949" xr:uid="{00000000-0005-0000-0000-0000CB460000}"/>
    <cellStyle name="Normal 3 3 10 3 8 2" xfId="28480" xr:uid="{00000000-0005-0000-0000-0000CC460000}"/>
    <cellStyle name="Normal 3 3 10 3 9" xfId="10950" xr:uid="{00000000-0005-0000-0000-0000CD460000}"/>
    <cellStyle name="Normal 3 3 10 3 9 2" xfId="28481" xr:uid="{00000000-0005-0000-0000-0000CE460000}"/>
    <cellStyle name="Normal 3 3 10 4" xfId="10951" xr:uid="{00000000-0005-0000-0000-0000CF460000}"/>
    <cellStyle name="Normal 3 3 10 4 10" xfId="10952" xr:uid="{00000000-0005-0000-0000-0000D0460000}"/>
    <cellStyle name="Normal 3 3 10 4 10 2" xfId="28483" xr:uid="{00000000-0005-0000-0000-0000D1460000}"/>
    <cellStyle name="Normal 3 3 10 4 11" xfId="10953" xr:uid="{00000000-0005-0000-0000-0000D2460000}"/>
    <cellStyle name="Normal 3 3 10 4 11 2" xfId="28484" xr:uid="{00000000-0005-0000-0000-0000D3460000}"/>
    <cellStyle name="Normal 3 3 10 4 12" xfId="10954" xr:uid="{00000000-0005-0000-0000-0000D4460000}"/>
    <cellStyle name="Normal 3 3 10 4 12 2" xfId="28485" xr:uid="{00000000-0005-0000-0000-0000D5460000}"/>
    <cellStyle name="Normal 3 3 10 4 13" xfId="10955" xr:uid="{00000000-0005-0000-0000-0000D6460000}"/>
    <cellStyle name="Normal 3 3 10 4 13 2" xfId="28486" xr:uid="{00000000-0005-0000-0000-0000D7460000}"/>
    <cellStyle name="Normal 3 3 10 4 14" xfId="10956" xr:uid="{00000000-0005-0000-0000-0000D8460000}"/>
    <cellStyle name="Normal 3 3 10 4 14 2" xfId="28487" xr:uid="{00000000-0005-0000-0000-0000D9460000}"/>
    <cellStyle name="Normal 3 3 10 4 15" xfId="10957" xr:uid="{00000000-0005-0000-0000-0000DA460000}"/>
    <cellStyle name="Normal 3 3 10 4 15 2" xfId="28488" xr:uid="{00000000-0005-0000-0000-0000DB460000}"/>
    <cellStyle name="Normal 3 3 10 4 16" xfId="28482" xr:uid="{00000000-0005-0000-0000-0000DC460000}"/>
    <cellStyle name="Normal 3 3 10 4 2" xfId="10958" xr:uid="{00000000-0005-0000-0000-0000DD460000}"/>
    <cellStyle name="Normal 3 3 10 4 2 10" xfId="10959" xr:uid="{00000000-0005-0000-0000-0000DE460000}"/>
    <cellStyle name="Normal 3 3 10 4 2 10 2" xfId="28490" xr:uid="{00000000-0005-0000-0000-0000DF460000}"/>
    <cellStyle name="Normal 3 3 10 4 2 11" xfId="10960" xr:uid="{00000000-0005-0000-0000-0000E0460000}"/>
    <cellStyle name="Normal 3 3 10 4 2 11 2" xfId="28491" xr:uid="{00000000-0005-0000-0000-0000E1460000}"/>
    <cellStyle name="Normal 3 3 10 4 2 12" xfId="10961" xr:uid="{00000000-0005-0000-0000-0000E2460000}"/>
    <cellStyle name="Normal 3 3 10 4 2 12 2" xfId="28492" xr:uid="{00000000-0005-0000-0000-0000E3460000}"/>
    <cellStyle name="Normal 3 3 10 4 2 13" xfId="10962" xr:uid="{00000000-0005-0000-0000-0000E4460000}"/>
    <cellStyle name="Normal 3 3 10 4 2 13 2" xfId="28493" xr:uid="{00000000-0005-0000-0000-0000E5460000}"/>
    <cellStyle name="Normal 3 3 10 4 2 14" xfId="10963" xr:uid="{00000000-0005-0000-0000-0000E6460000}"/>
    <cellStyle name="Normal 3 3 10 4 2 14 2" xfId="28494" xr:uid="{00000000-0005-0000-0000-0000E7460000}"/>
    <cellStyle name="Normal 3 3 10 4 2 15" xfId="28489" xr:uid="{00000000-0005-0000-0000-0000E8460000}"/>
    <cellStyle name="Normal 3 3 10 4 2 2" xfId="10964" xr:uid="{00000000-0005-0000-0000-0000E9460000}"/>
    <cellStyle name="Normal 3 3 10 4 2 2 2" xfId="28495" xr:uid="{00000000-0005-0000-0000-0000EA460000}"/>
    <cellStyle name="Normal 3 3 10 4 2 3" xfId="10965" xr:uid="{00000000-0005-0000-0000-0000EB460000}"/>
    <cellStyle name="Normal 3 3 10 4 2 3 2" xfId="28496" xr:uid="{00000000-0005-0000-0000-0000EC460000}"/>
    <cellStyle name="Normal 3 3 10 4 2 4" xfId="10966" xr:uid="{00000000-0005-0000-0000-0000ED460000}"/>
    <cellStyle name="Normal 3 3 10 4 2 4 2" xfId="28497" xr:uid="{00000000-0005-0000-0000-0000EE460000}"/>
    <cellStyle name="Normal 3 3 10 4 2 5" xfId="10967" xr:uid="{00000000-0005-0000-0000-0000EF460000}"/>
    <cellStyle name="Normal 3 3 10 4 2 5 2" xfId="28498" xr:uid="{00000000-0005-0000-0000-0000F0460000}"/>
    <cellStyle name="Normal 3 3 10 4 2 6" xfId="10968" xr:uid="{00000000-0005-0000-0000-0000F1460000}"/>
    <cellStyle name="Normal 3 3 10 4 2 6 2" xfId="28499" xr:uid="{00000000-0005-0000-0000-0000F2460000}"/>
    <cellStyle name="Normal 3 3 10 4 2 7" xfId="10969" xr:uid="{00000000-0005-0000-0000-0000F3460000}"/>
    <cellStyle name="Normal 3 3 10 4 2 7 2" xfId="28500" xr:uid="{00000000-0005-0000-0000-0000F4460000}"/>
    <cellStyle name="Normal 3 3 10 4 2 8" xfId="10970" xr:uid="{00000000-0005-0000-0000-0000F5460000}"/>
    <cellStyle name="Normal 3 3 10 4 2 8 2" xfId="28501" xr:uid="{00000000-0005-0000-0000-0000F6460000}"/>
    <cellStyle name="Normal 3 3 10 4 2 9" xfId="10971" xr:uid="{00000000-0005-0000-0000-0000F7460000}"/>
    <cellStyle name="Normal 3 3 10 4 2 9 2" xfId="28502" xr:uid="{00000000-0005-0000-0000-0000F8460000}"/>
    <cellStyle name="Normal 3 3 10 4 3" xfId="10972" xr:uid="{00000000-0005-0000-0000-0000F9460000}"/>
    <cellStyle name="Normal 3 3 10 4 3 2" xfId="28503" xr:uid="{00000000-0005-0000-0000-0000FA460000}"/>
    <cellStyle name="Normal 3 3 10 4 4" xfId="10973" xr:uid="{00000000-0005-0000-0000-0000FB460000}"/>
    <cellStyle name="Normal 3 3 10 4 4 2" xfId="28504" xr:uid="{00000000-0005-0000-0000-0000FC460000}"/>
    <cellStyle name="Normal 3 3 10 4 5" xfId="10974" xr:uid="{00000000-0005-0000-0000-0000FD460000}"/>
    <cellStyle name="Normal 3 3 10 4 5 2" xfId="28505" xr:uid="{00000000-0005-0000-0000-0000FE460000}"/>
    <cellStyle name="Normal 3 3 10 4 6" xfId="10975" xr:uid="{00000000-0005-0000-0000-0000FF460000}"/>
    <cellStyle name="Normal 3 3 10 4 6 2" xfId="28506" xr:uid="{00000000-0005-0000-0000-000000470000}"/>
    <cellStyle name="Normal 3 3 10 4 7" xfId="10976" xr:uid="{00000000-0005-0000-0000-000001470000}"/>
    <cellStyle name="Normal 3 3 10 4 7 2" xfId="28507" xr:uid="{00000000-0005-0000-0000-000002470000}"/>
    <cellStyle name="Normal 3 3 10 4 8" xfId="10977" xr:uid="{00000000-0005-0000-0000-000003470000}"/>
    <cellStyle name="Normal 3 3 10 4 8 2" xfId="28508" xr:uid="{00000000-0005-0000-0000-000004470000}"/>
    <cellStyle name="Normal 3 3 10 4 9" xfId="10978" xr:uid="{00000000-0005-0000-0000-000005470000}"/>
    <cellStyle name="Normal 3 3 10 4 9 2" xfId="28509" xr:uid="{00000000-0005-0000-0000-000006470000}"/>
    <cellStyle name="Normal 3 3 10 5" xfId="10979" xr:uid="{00000000-0005-0000-0000-000007470000}"/>
    <cellStyle name="Normal 3 3 10 5 10" xfId="10980" xr:uid="{00000000-0005-0000-0000-000008470000}"/>
    <cellStyle name="Normal 3 3 10 5 10 2" xfId="28511" xr:uid="{00000000-0005-0000-0000-000009470000}"/>
    <cellStyle name="Normal 3 3 10 5 11" xfId="10981" xr:uid="{00000000-0005-0000-0000-00000A470000}"/>
    <cellStyle name="Normal 3 3 10 5 11 2" xfId="28512" xr:uid="{00000000-0005-0000-0000-00000B470000}"/>
    <cellStyle name="Normal 3 3 10 5 12" xfId="10982" xr:uid="{00000000-0005-0000-0000-00000C470000}"/>
    <cellStyle name="Normal 3 3 10 5 12 2" xfId="28513" xr:uid="{00000000-0005-0000-0000-00000D470000}"/>
    <cellStyle name="Normal 3 3 10 5 13" xfId="10983" xr:uid="{00000000-0005-0000-0000-00000E470000}"/>
    <cellStyle name="Normal 3 3 10 5 13 2" xfId="28514" xr:uid="{00000000-0005-0000-0000-00000F470000}"/>
    <cellStyle name="Normal 3 3 10 5 14" xfId="10984" xr:uid="{00000000-0005-0000-0000-000010470000}"/>
    <cellStyle name="Normal 3 3 10 5 14 2" xfId="28515" xr:uid="{00000000-0005-0000-0000-000011470000}"/>
    <cellStyle name="Normal 3 3 10 5 15" xfId="28510" xr:uid="{00000000-0005-0000-0000-000012470000}"/>
    <cellStyle name="Normal 3 3 10 5 2" xfId="10985" xr:uid="{00000000-0005-0000-0000-000013470000}"/>
    <cellStyle name="Normal 3 3 10 5 2 2" xfId="28516" xr:uid="{00000000-0005-0000-0000-000014470000}"/>
    <cellStyle name="Normal 3 3 10 5 3" xfId="10986" xr:uid="{00000000-0005-0000-0000-000015470000}"/>
    <cellStyle name="Normal 3 3 10 5 3 2" xfId="28517" xr:uid="{00000000-0005-0000-0000-000016470000}"/>
    <cellStyle name="Normal 3 3 10 5 4" xfId="10987" xr:uid="{00000000-0005-0000-0000-000017470000}"/>
    <cellStyle name="Normal 3 3 10 5 4 2" xfId="28518" xr:uid="{00000000-0005-0000-0000-000018470000}"/>
    <cellStyle name="Normal 3 3 10 5 5" xfId="10988" xr:uid="{00000000-0005-0000-0000-000019470000}"/>
    <cellStyle name="Normal 3 3 10 5 5 2" xfId="28519" xr:uid="{00000000-0005-0000-0000-00001A470000}"/>
    <cellStyle name="Normal 3 3 10 5 6" xfId="10989" xr:uid="{00000000-0005-0000-0000-00001B470000}"/>
    <cellStyle name="Normal 3 3 10 5 6 2" xfId="28520" xr:uid="{00000000-0005-0000-0000-00001C470000}"/>
    <cellStyle name="Normal 3 3 10 5 7" xfId="10990" xr:uid="{00000000-0005-0000-0000-00001D470000}"/>
    <cellStyle name="Normal 3 3 10 5 7 2" xfId="28521" xr:uid="{00000000-0005-0000-0000-00001E470000}"/>
    <cellStyle name="Normal 3 3 10 5 8" xfId="10991" xr:uid="{00000000-0005-0000-0000-00001F470000}"/>
    <cellStyle name="Normal 3 3 10 5 8 2" xfId="28522" xr:uid="{00000000-0005-0000-0000-000020470000}"/>
    <cellStyle name="Normal 3 3 10 5 9" xfId="10992" xr:uid="{00000000-0005-0000-0000-000021470000}"/>
    <cellStyle name="Normal 3 3 10 5 9 2" xfId="28523" xr:uid="{00000000-0005-0000-0000-000022470000}"/>
    <cellStyle name="Normal 3 3 10 6" xfId="10993" xr:uid="{00000000-0005-0000-0000-000023470000}"/>
    <cellStyle name="Normal 3 3 10 6 10" xfId="10994" xr:uid="{00000000-0005-0000-0000-000024470000}"/>
    <cellStyle name="Normal 3 3 10 6 10 2" xfId="28525" xr:uid="{00000000-0005-0000-0000-000025470000}"/>
    <cellStyle name="Normal 3 3 10 6 11" xfId="10995" xr:uid="{00000000-0005-0000-0000-000026470000}"/>
    <cellStyle name="Normal 3 3 10 6 11 2" xfId="28526" xr:uid="{00000000-0005-0000-0000-000027470000}"/>
    <cellStyle name="Normal 3 3 10 6 12" xfId="10996" xr:uid="{00000000-0005-0000-0000-000028470000}"/>
    <cellStyle name="Normal 3 3 10 6 12 2" xfId="28527" xr:uid="{00000000-0005-0000-0000-000029470000}"/>
    <cellStyle name="Normal 3 3 10 6 13" xfId="10997" xr:uid="{00000000-0005-0000-0000-00002A470000}"/>
    <cellStyle name="Normal 3 3 10 6 13 2" xfId="28528" xr:uid="{00000000-0005-0000-0000-00002B470000}"/>
    <cellStyle name="Normal 3 3 10 6 14" xfId="10998" xr:uid="{00000000-0005-0000-0000-00002C470000}"/>
    <cellStyle name="Normal 3 3 10 6 14 2" xfId="28529" xr:uid="{00000000-0005-0000-0000-00002D470000}"/>
    <cellStyle name="Normal 3 3 10 6 15" xfId="28524" xr:uid="{00000000-0005-0000-0000-00002E470000}"/>
    <cellStyle name="Normal 3 3 10 6 2" xfId="10999" xr:uid="{00000000-0005-0000-0000-00002F470000}"/>
    <cellStyle name="Normal 3 3 10 6 2 2" xfId="28530" xr:uid="{00000000-0005-0000-0000-000030470000}"/>
    <cellStyle name="Normal 3 3 10 6 3" xfId="11000" xr:uid="{00000000-0005-0000-0000-000031470000}"/>
    <cellStyle name="Normal 3 3 10 6 3 2" xfId="28531" xr:uid="{00000000-0005-0000-0000-000032470000}"/>
    <cellStyle name="Normal 3 3 10 6 4" xfId="11001" xr:uid="{00000000-0005-0000-0000-000033470000}"/>
    <cellStyle name="Normal 3 3 10 6 4 2" xfId="28532" xr:uid="{00000000-0005-0000-0000-000034470000}"/>
    <cellStyle name="Normal 3 3 10 6 5" xfId="11002" xr:uid="{00000000-0005-0000-0000-000035470000}"/>
    <cellStyle name="Normal 3 3 10 6 5 2" xfId="28533" xr:uid="{00000000-0005-0000-0000-000036470000}"/>
    <cellStyle name="Normal 3 3 10 6 6" xfId="11003" xr:uid="{00000000-0005-0000-0000-000037470000}"/>
    <cellStyle name="Normal 3 3 10 6 6 2" xfId="28534" xr:uid="{00000000-0005-0000-0000-000038470000}"/>
    <cellStyle name="Normal 3 3 10 6 7" xfId="11004" xr:uid="{00000000-0005-0000-0000-000039470000}"/>
    <cellStyle name="Normal 3 3 10 6 7 2" xfId="28535" xr:uid="{00000000-0005-0000-0000-00003A470000}"/>
    <cellStyle name="Normal 3 3 10 6 8" xfId="11005" xr:uid="{00000000-0005-0000-0000-00003B470000}"/>
    <cellStyle name="Normal 3 3 10 6 8 2" xfId="28536" xr:uid="{00000000-0005-0000-0000-00003C470000}"/>
    <cellStyle name="Normal 3 3 10 6 9" xfId="11006" xr:uid="{00000000-0005-0000-0000-00003D470000}"/>
    <cellStyle name="Normal 3 3 10 6 9 2" xfId="28537" xr:uid="{00000000-0005-0000-0000-00003E470000}"/>
    <cellStyle name="Normal 3 3 10 7" xfId="11007" xr:uid="{00000000-0005-0000-0000-00003F470000}"/>
    <cellStyle name="Normal 3 3 10 7 10" xfId="11008" xr:uid="{00000000-0005-0000-0000-000040470000}"/>
    <cellStyle name="Normal 3 3 10 7 10 2" xfId="28539" xr:uid="{00000000-0005-0000-0000-000041470000}"/>
    <cellStyle name="Normal 3 3 10 7 11" xfId="11009" xr:uid="{00000000-0005-0000-0000-000042470000}"/>
    <cellStyle name="Normal 3 3 10 7 11 2" xfId="28540" xr:uid="{00000000-0005-0000-0000-000043470000}"/>
    <cellStyle name="Normal 3 3 10 7 12" xfId="11010" xr:uid="{00000000-0005-0000-0000-000044470000}"/>
    <cellStyle name="Normal 3 3 10 7 12 2" xfId="28541" xr:uid="{00000000-0005-0000-0000-000045470000}"/>
    <cellStyle name="Normal 3 3 10 7 13" xfId="11011" xr:uid="{00000000-0005-0000-0000-000046470000}"/>
    <cellStyle name="Normal 3 3 10 7 13 2" xfId="28542" xr:uid="{00000000-0005-0000-0000-000047470000}"/>
    <cellStyle name="Normal 3 3 10 7 14" xfId="11012" xr:uid="{00000000-0005-0000-0000-000048470000}"/>
    <cellStyle name="Normal 3 3 10 7 14 2" xfId="28543" xr:uid="{00000000-0005-0000-0000-000049470000}"/>
    <cellStyle name="Normal 3 3 10 7 15" xfId="28538" xr:uid="{00000000-0005-0000-0000-00004A470000}"/>
    <cellStyle name="Normal 3 3 10 7 2" xfId="11013" xr:uid="{00000000-0005-0000-0000-00004B470000}"/>
    <cellStyle name="Normal 3 3 10 7 2 2" xfId="28544" xr:uid="{00000000-0005-0000-0000-00004C470000}"/>
    <cellStyle name="Normal 3 3 10 7 3" xfId="11014" xr:uid="{00000000-0005-0000-0000-00004D470000}"/>
    <cellStyle name="Normal 3 3 10 7 3 2" xfId="28545" xr:uid="{00000000-0005-0000-0000-00004E470000}"/>
    <cellStyle name="Normal 3 3 10 7 4" xfId="11015" xr:uid="{00000000-0005-0000-0000-00004F470000}"/>
    <cellStyle name="Normal 3 3 10 7 4 2" xfId="28546" xr:uid="{00000000-0005-0000-0000-000050470000}"/>
    <cellStyle name="Normal 3 3 10 7 5" xfId="11016" xr:uid="{00000000-0005-0000-0000-000051470000}"/>
    <cellStyle name="Normal 3 3 10 7 5 2" xfId="28547" xr:uid="{00000000-0005-0000-0000-000052470000}"/>
    <cellStyle name="Normal 3 3 10 7 6" xfId="11017" xr:uid="{00000000-0005-0000-0000-000053470000}"/>
    <cellStyle name="Normal 3 3 10 7 6 2" xfId="28548" xr:uid="{00000000-0005-0000-0000-000054470000}"/>
    <cellStyle name="Normal 3 3 10 7 7" xfId="11018" xr:uid="{00000000-0005-0000-0000-000055470000}"/>
    <cellStyle name="Normal 3 3 10 7 7 2" xfId="28549" xr:uid="{00000000-0005-0000-0000-000056470000}"/>
    <cellStyle name="Normal 3 3 10 7 8" xfId="11019" xr:uid="{00000000-0005-0000-0000-000057470000}"/>
    <cellStyle name="Normal 3 3 10 7 8 2" xfId="28550" xr:uid="{00000000-0005-0000-0000-000058470000}"/>
    <cellStyle name="Normal 3 3 10 7 9" xfId="11020" xr:uid="{00000000-0005-0000-0000-000059470000}"/>
    <cellStyle name="Normal 3 3 10 7 9 2" xfId="28551" xr:uid="{00000000-0005-0000-0000-00005A470000}"/>
    <cellStyle name="Normal 3 3 10 8" xfId="11021" xr:uid="{00000000-0005-0000-0000-00005B470000}"/>
    <cellStyle name="Normal 3 3 10 8 10" xfId="11022" xr:uid="{00000000-0005-0000-0000-00005C470000}"/>
    <cellStyle name="Normal 3 3 10 8 10 2" xfId="28553" xr:uid="{00000000-0005-0000-0000-00005D470000}"/>
    <cellStyle name="Normal 3 3 10 8 11" xfId="11023" xr:uid="{00000000-0005-0000-0000-00005E470000}"/>
    <cellStyle name="Normal 3 3 10 8 11 2" xfId="28554" xr:uid="{00000000-0005-0000-0000-00005F470000}"/>
    <cellStyle name="Normal 3 3 10 8 12" xfId="11024" xr:uid="{00000000-0005-0000-0000-000060470000}"/>
    <cellStyle name="Normal 3 3 10 8 12 2" xfId="28555" xr:uid="{00000000-0005-0000-0000-000061470000}"/>
    <cellStyle name="Normal 3 3 10 8 13" xfId="11025" xr:uid="{00000000-0005-0000-0000-000062470000}"/>
    <cellStyle name="Normal 3 3 10 8 13 2" xfId="28556" xr:uid="{00000000-0005-0000-0000-000063470000}"/>
    <cellStyle name="Normal 3 3 10 8 14" xfId="11026" xr:uid="{00000000-0005-0000-0000-000064470000}"/>
    <cellStyle name="Normal 3 3 10 8 14 2" xfId="28557" xr:uid="{00000000-0005-0000-0000-000065470000}"/>
    <cellStyle name="Normal 3 3 10 8 15" xfId="28552" xr:uid="{00000000-0005-0000-0000-000066470000}"/>
    <cellStyle name="Normal 3 3 10 8 2" xfId="11027" xr:uid="{00000000-0005-0000-0000-000067470000}"/>
    <cellStyle name="Normal 3 3 10 8 2 2" xfId="28558" xr:uid="{00000000-0005-0000-0000-000068470000}"/>
    <cellStyle name="Normal 3 3 10 8 3" xfId="11028" xr:uid="{00000000-0005-0000-0000-000069470000}"/>
    <cellStyle name="Normal 3 3 10 8 3 2" xfId="28559" xr:uid="{00000000-0005-0000-0000-00006A470000}"/>
    <cellStyle name="Normal 3 3 10 8 4" xfId="11029" xr:uid="{00000000-0005-0000-0000-00006B470000}"/>
    <cellStyle name="Normal 3 3 10 8 4 2" xfId="28560" xr:uid="{00000000-0005-0000-0000-00006C470000}"/>
    <cellStyle name="Normal 3 3 10 8 5" xfId="11030" xr:uid="{00000000-0005-0000-0000-00006D470000}"/>
    <cellStyle name="Normal 3 3 10 8 5 2" xfId="28561" xr:uid="{00000000-0005-0000-0000-00006E470000}"/>
    <cellStyle name="Normal 3 3 10 8 6" xfId="11031" xr:uid="{00000000-0005-0000-0000-00006F470000}"/>
    <cellStyle name="Normal 3 3 10 8 6 2" xfId="28562" xr:uid="{00000000-0005-0000-0000-000070470000}"/>
    <cellStyle name="Normal 3 3 10 8 7" xfId="11032" xr:uid="{00000000-0005-0000-0000-000071470000}"/>
    <cellStyle name="Normal 3 3 10 8 7 2" xfId="28563" xr:uid="{00000000-0005-0000-0000-000072470000}"/>
    <cellStyle name="Normal 3 3 10 8 8" xfId="11033" xr:uid="{00000000-0005-0000-0000-000073470000}"/>
    <cellStyle name="Normal 3 3 10 8 8 2" xfId="28564" xr:uid="{00000000-0005-0000-0000-000074470000}"/>
    <cellStyle name="Normal 3 3 10 8 9" xfId="11034" xr:uid="{00000000-0005-0000-0000-000075470000}"/>
    <cellStyle name="Normal 3 3 10 8 9 2" xfId="28565" xr:uid="{00000000-0005-0000-0000-000076470000}"/>
    <cellStyle name="Normal 3 3 10 9" xfId="11035" xr:uid="{00000000-0005-0000-0000-000077470000}"/>
    <cellStyle name="Normal 3 3 10 9 10" xfId="11036" xr:uid="{00000000-0005-0000-0000-000078470000}"/>
    <cellStyle name="Normal 3 3 10 9 10 2" xfId="28567" xr:uid="{00000000-0005-0000-0000-000079470000}"/>
    <cellStyle name="Normal 3 3 10 9 11" xfId="11037" xr:uid="{00000000-0005-0000-0000-00007A470000}"/>
    <cellStyle name="Normal 3 3 10 9 11 2" xfId="28568" xr:uid="{00000000-0005-0000-0000-00007B470000}"/>
    <cellStyle name="Normal 3 3 10 9 12" xfId="11038" xr:uid="{00000000-0005-0000-0000-00007C470000}"/>
    <cellStyle name="Normal 3 3 10 9 12 2" xfId="28569" xr:uid="{00000000-0005-0000-0000-00007D470000}"/>
    <cellStyle name="Normal 3 3 10 9 13" xfId="11039" xr:uid="{00000000-0005-0000-0000-00007E470000}"/>
    <cellStyle name="Normal 3 3 10 9 13 2" xfId="28570" xr:uid="{00000000-0005-0000-0000-00007F470000}"/>
    <cellStyle name="Normal 3 3 10 9 14" xfId="11040" xr:uid="{00000000-0005-0000-0000-000080470000}"/>
    <cellStyle name="Normal 3 3 10 9 14 2" xfId="28571" xr:uid="{00000000-0005-0000-0000-000081470000}"/>
    <cellStyle name="Normal 3 3 10 9 15" xfId="28566" xr:uid="{00000000-0005-0000-0000-000082470000}"/>
    <cellStyle name="Normal 3 3 10 9 2" xfId="11041" xr:uid="{00000000-0005-0000-0000-000083470000}"/>
    <cellStyle name="Normal 3 3 10 9 2 2" xfId="28572" xr:uid="{00000000-0005-0000-0000-000084470000}"/>
    <cellStyle name="Normal 3 3 10 9 3" xfId="11042" xr:uid="{00000000-0005-0000-0000-000085470000}"/>
    <cellStyle name="Normal 3 3 10 9 3 2" xfId="28573" xr:uid="{00000000-0005-0000-0000-000086470000}"/>
    <cellStyle name="Normal 3 3 10 9 4" xfId="11043" xr:uid="{00000000-0005-0000-0000-000087470000}"/>
    <cellStyle name="Normal 3 3 10 9 4 2" xfId="28574" xr:uid="{00000000-0005-0000-0000-000088470000}"/>
    <cellStyle name="Normal 3 3 10 9 5" xfId="11044" xr:uid="{00000000-0005-0000-0000-000089470000}"/>
    <cellStyle name="Normal 3 3 10 9 5 2" xfId="28575" xr:uid="{00000000-0005-0000-0000-00008A470000}"/>
    <cellStyle name="Normal 3 3 10 9 6" xfId="11045" xr:uid="{00000000-0005-0000-0000-00008B470000}"/>
    <cellStyle name="Normal 3 3 10 9 6 2" xfId="28576" xr:uid="{00000000-0005-0000-0000-00008C470000}"/>
    <cellStyle name="Normal 3 3 10 9 7" xfId="11046" xr:uid="{00000000-0005-0000-0000-00008D470000}"/>
    <cellStyle name="Normal 3 3 10 9 7 2" xfId="28577" xr:uid="{00000000-0005-0000-0000-00008E470000}"/>
    <cellStyle name="Normal 3 3 10 9 8" xfId="11047" xr:uid="{00000000-0005-0000-0000-00008F470000}"/>
    <cellStyle name="Normal 3 3 10 9 8 2" xfId="28578" xr:uid="{00000000-0005-0000-0000-000090470000}"/>
    <cellStyle name="Normal 3 3 10 9 9" xfId="11048" xr:uid="{00000000-0005-0000-0000-000091470000}"/>
    <cellStyle name="Normal 3 3 10 9 9 2" xfId="28579" xr:uid="{00000000-0005-0000-0000-000092470000}"/>
    <cellStyle name="Normal 3 3 11" xfId="11049" xr:uid="{00000000-0005-0000-0000-000093470000}"/>
    <cellStyle name="Normal 3 3 11 10" xfId="11050" xr:uid="{00000000-0005-0000-0000-000094470000}"/>
    <cellStyle name="Normal 3 3 11 10 10" xfId="11051" xr:uid="{00000000-0005-0000-0000-000095470000}"/>
    <cellStyle name="Normal 3 3 11 10 10 2" xfId="28582" xr:uid="{00000000-0005-0000-0000-000096470000}"/>
    <cellStyle name="Normal 3 3 11 10 11" xfId="11052" xr:uid="{00000000-0005-0000-0000-000097470000}"/>
    <cellStyle name="Normal 3 3 11 10 11 2" xfId="28583" xr:uid="{00000000-0005-0000-0000-000098470000}"/>
    <cellStyle name="Normal 3 3 11 10 12" xfId="11053" xr:uid="{00000000-0005-0000-0000-000099470000}"/>
    <cellStyle name="Normal 3 3 11 10 12 2" xfId="28584" xr:uid="{00000000-0005-0000-0000-00009A470000}"/>
    <cellStyle name="Normal 3 3 11 10 13" xfId="11054" xr:uid="{00000000-0005-0000-0000-00009B470000}"/>
    <cellStyle name="Normal 3 3 11 10 13 2" xfId="28585" xr:uid="{00000000-0005-0000-0000-00009C470000}"/>
    <cellStyle name="Normal 3 3 11 10 14" xfId="11055" xr:uid="{00000000-0005-0000-0000-00009D470000}"/>
    <cellStyle name="Normal 3 3 11 10 14 2" xfId="28586" xr:uid="{00000000-0005-0000-0000-00009E470000}"/>
    <cellStyle name="Normal 3 3 11 10 15" xfId="28581" xr:uid="{00000000-0005-0000-0000-00009F470000}"/>
    <cellStyle name="Normal 3 3 11 10 2" xfId="11056" xr:uid="{00000000-0005-0000-0000-0000A0470000}"/>
    <cellStyle name="Normal 3 3 11 10 2 2" xfId="28587" xr:uid="{00000000-0005-0000-0000-0000A1470000}"/>
    <cellStyle name="Normal 3 3 11 10 3" xfId="11057" xr:uid="{00000000-0005-0000-0000-0000A2470000}"/>
    <cellStyle name="Normal 3 3 11 10 3 2" xfId="28588" xr:uid="{00000000-0005-0000-0000-0000A3470000}"/>
    <cellStyle name="Normal 3 3 11 10 4" xfId="11058" xr:uid="{00000000-0005-0000-0000-0000A4470000}"/>
    <cellStyle name="Normal 3 3 11 10 4 2" xfId="28589" xr:uid="{00000000-0005-0000-0000-0000A5470000}"/>
    <cellStyle name="Normal 3 3 11 10 5" xfId="11059" xr:uid="{00000000-0005-0000-0000-0000A6470000}"/>
    <cellStyle name="Normal 3 3 11 10 5 2" xfId="28590" xr:uid="{00000000-0005-0000-0000-0000A7470000}"/>
    <cellStyle name="Normal 3 3 11 10 6" xfId="11060" xr:uid="{00000000-0005-0000-0000-0000A8470000}"/>
    <cellStyle name="Normal 3 3 11 10 6 2" xfId="28591" xr:uid="{00000000-0005-0000-0000-0000A9470000}"/>
    <cellStyle name="Normal 3 3 11 10 7" xfId="11061" xr:uid="{00000000-0005-0000-0000-0000AA470000}"/>
    <cellStyle name="Normal 3 3 11 10 7 2" xfId="28592" xr:uid="{00000000-0005-0000-0000-0000AB470000}"/>
    <cellStyle name="Normal 3 3 11 10 8" xfId="11062" xr:uid="{00000000-0005-0000-0000-0000AC470000}"/>
    <cellStyle name="Normal 3 3 11 10 8 2" xfId="28593" xr:uid="{00000000-0005-0000-0000-0000AD470000}"/>
    <cellStyle name="Normal 3 3 11 10 9" xfId="11063" xr:uid="{00000000-0005-0000-0000-0000AE470000}"/>
    <cellStyle name="Normal 3 3 11 10 9 2" xfId="28594" xr:uid="{00000000-0005-0000-0000-0000AF470000}"/>
    <cellStyle name="Normal 3 3 11 11" xfId="11064" xr:uid="{00000000-0005-0000-0000-0000B0470000}"/>
    <cellStyle name="Normal 3 3 11 11 2" xfId="28595" xr:uid="{00000000-0005-0000-0000-0000B1470000}"/>
    <cellStyle name="Normal 3 3 11 12" xfId="11065" xr:uid="{00000000-0005-0000-0000-0000B2470000}"/>
    <cellStyle name="Normal 3 3 11 12 2" xfId="28596" xr:uid="{00000000-0005-0000-0000-0000B3470000}"/>
    <cellStyle name="Normal 3 3 11 13" xfId="11066" xr:uid="{00000000-0005-0000-0000-0000B4470000}"/>
    <cellStyle name="Normal 3 3 11 13 2" xfId="28597" xr:uid="{00000000-0005-0000-0000-0000B5470000}"/>
    <cellStyle name="Normal 3 3 11 14" xfId="11067" xr:uid="{00000000-0005-0000-0000-0000B6470000}"/>
    <cellStyle name="Normal 3 3 11 14 2" xfId="28598" xr:uid="{00000000-0005-0000-0000-0000B7470000}"/>
    <cellStyle name="Normal 3 3 11 15" xfId="11068" xr:uid="{00000000-0005-0000-0000-0000B8470000}"/>
    <cellStyle name="Normal 3 3 11 15 2" xfId="28599" xr:uid="{00000000-0005-0000-0000-0000B9470000}"/>
    <cellStyle name="Normal 3 3 11 16" xfId="11069" xr:uid="{00000000-0005-0000-0000-0000BA470000}"/>
    <cellStyle name="Normal 3 3 11 16 2" xfId="28600" xr:uid="{00000000-0005-0000-0000-0000BB470000}"/>
    <cellStyle name="Normal 3 3 11 17" xfId="11070" xr:uid="{00000000-0005-0000-0000-0000BC470000}"/>
    <cellStyle name="Normal 3 3 11 17 2" xfId="28601" xr:uid="{00000000-0005-0000-0000-0000BD470000}"/>
    <cellStyle name="Normal 3 3 11 18" xfId="11071" xr:uid="{00000000-0005-0000-0000-0000BE470000}"/>
    <cellStyle name="Normal 3 3 11 18 2" xfId="28602" xr:uid="{00000000-0005-0000-0000-0000BF470000}"/>
    <cellStyle name="Normal 3 3 11 19" xfId="11072" xr:uid="{00000000-0005-0000-0000-0000C0470000}"/>
    <cellStyle name="Normal 3 3 11 19 2" xfId="28603" xr:uid="{00000000-0005-0000-0000-0000C1470000}"/>
    <cellStyle name="Normal 3 3 11 2" xfId="11073" xr:uid="{00000000-0005-0000-0000-0000C2470000}"/>
    <cellStyle name="Normal 3 3 11 2 10" xfId="11074" xr:uid="{00000000-0005-0000-0000-0000C3470000}"/>
    <cellStyle name="Normal 3 3 11 2 10 2" xfId="28605" xr:uid="{00000000-0005-0000-0000-0000C4470000}"/>
    <cellStyle name="Normal 3 3 11 2 11" xfId="11075" xr:uid="{00000000-0005-0000-0000-0000C5470000}"/>
    <cellStyle name="Normal 3 3 11 2 11 2" xfId="28606" xr:uid="{00000000-0005-0000-0000-0000C6470000}"/>
    <cellStyle name="Normal 3 3 11 2 12" xfId="11076" xr:uid="{00000000-0005-0000-0000-0000C7470000}"/>
    <cellStyle name="Normal 3 3 11 2 12 2" xfId="28607" xr:uid="{00000000-0005-0000-0000-0000C8470000}"/>
    <cellStyle name="Normal 3 3 11 2 13" xfId="11077" xr:uid="{00000000-0005-0000-0000-0000C9470000}"/>
    <cellStyle name="Normal 3 3 11 2 13 2" xfId="28608" xr:uid="{00000000-0005-0000-0000-0000CA470000}"/>
    <cellStyle name="Normal 3 3 11 2 14" xfId="11078" xr:uid="{00000000-0005-0000-0000-0000CB470000}"/>
    <cellStyle name="Normal 3 3 11 2 14 2" xfId="28609" xr:uid="{00000000-0005-0000-0000-0000CC470000}"/>
    <cellStyle name="Normal 3 3 11 2 15" xfId="11079" xr:uid="{00000000-0005-0000-0000-0000CD470000}"/>
    <cellStyle name="Normal 3 3 11 2 15 2" xfId="28610" xr:uid="{00000000-0005-0000-0000-0000CE470000}"/>
    <cellStyle name="Normal 3 3 11 2 16" xfId="28604" xr:uid="{00000000-0005-0000-0000-0000CF470000}"/>
    <cellStyle name="Normal 3 3 11 2 2" xfId="11080" xr:uid="{00000000-0005-0000-0000-0000D0470000}"/>
    <cellStyle name="Normal 3 3 11 2 2 10" xfId="11081" xr:uid="{00000000-0005-0000-0000-0000D1470000}"/>
    <cellStyle name="Normal 3 3 11 2 2 10 2" xfId="28612" xr:uid="{00000000-0005-0000-0000-0000D2470000}"/>
    <cellStyle name="Normal 3 3 11 2 2 11" xfId="11082" xr:uid="{00000000-0005-0000-0000-0000D3470000}"/>
    <cellStyle name="Normal 3 3 11 2 2 11 2" xfId="28613" xr:uid="{00000000-0005-0000-0000-0000D4470000}"/>
    <cellStyle name="Normal 3 3 11 2 2 12" xfId="11083" xr:uid="{00000000-0005-0000-0000-0000D5470000}"/>
    <cellStyle name="Normal 3 3 11 2 2 12 2" xfId="28614" xr:uid="{00000000-0005-0000-0000-0000D6470000}"/>
    <cellStyle name="Normal 3 3 11 2 2 13" xfId="11084" xr:uid="{00000000-0005-0000-0000-0000D7470000}"/>
    <cellStyle name="Normal 3 3 11 2 2 13 2" xfId="28615" xr:uid="{00000000-0005-0000-0000-0000D8470000}"/>
    <cellStyle name="Normal 3 3 11 2 2 14" xfId="11085" xr:uid="{00000000-0005-0000-0000-0000D9470000}"/>
    <cellStyle name="Normal 3 3 11 2 2 14 2" xfId="28616" xr:uid="{00000000-0005-0000-0000-0000DA470000}"/>
    <cellStyle name="Normal 3 3 11 2 2 15" xfId="28611" xr:uid="{00000000-0005-0000-0000-0000DB470000}"/>
    <cellStyle name="Normal 3 3 11 2 2 2" xfId="11086" xr:uid="{00000000-0005-0000-0000-0000DC470000}"/>
    <cellStyle name="Normal 3 3 11 2 2 2 2" xfId="28617" xr:uid="{00000000-0005-0000-0000-0000DD470000}"/>
    <cellStyle name="Normal 3 3 11 2 2 3" xfId="11087" xr:uid="{00000000-0005-0000-0000-0000DE470000}"/>
    <cellStyle name="Normal 3 3 11 2 2 3 2" xfId="28618" xr:uid="{00000000-0005-0000-0000-0000DF470000}"/>
    <cellStyle name="Normal 3 3 11 2 2 4" xfId="11088" xr:uid="{00000000-0005-0000-0000-0000E0470000}"/>
    <cellStyle name="Normal 3 3 11 2 2 4 2" xfId="28619" xr:uid="{00000000-0005-0000-0000-0000E1470000}"/>
    <cellStyle name="Normal 3 3 11 2 2 5" xfId="11089" xr:uid="{00000000-0005-0000-0000-0000E2470000}"/>
    <cellStyle name="Normal 3 3 11 2 2 5 2" xfId="28620" xr:uid="{00000000-0005-0000-0000-0000E3470000}"/>
    <cellStyle name="Normal 3 3 11 2 2 6" xfId="11090" xr:uid="{00000000-0005-0000-0000-0000E4470000}"/>
    <cellStyle name="Normal 3 3 11 2 2 6 2" xfId="28621" xr:uid="{00000000-0005-0000-0000-0000E5470000}"/>
    <cellStyle name="Normal 3 3 11 2 2 7" xfId="11091" xr:uid="{00000000-0005-0000-0000-0000E6470000}"/>
    <cellStyle name="Normal 3 3 11 2 2 7 2" xfId="28622" xr:uid="{00000000-0005-0000-0000-0000E7470000}"/>
    <cellStyle name="Normal 3 3 11 2 2 8" xfId="11092" xr:uid="{00000000-0005-0000-0000-0000E8470000}"/>
    <cellStyle name="Normal 3 3 11 2 2 8 2" xfId="28623" xr:uid="{00000000-0005-0000-0000-0000E9470000}"/>
    <cellStyle name="Normal 3 3 11 2 2 9" xfId="11093" xr:uid="{00000000-0005-0000-0000-0000EA470000}"/>
    <cellStyle name="Normal 3 3 11 2 2 9 2" xfId="28624" xr:uid="{00000000-0005-0000-0000-0000EB470000}"/>
    <cellStyle name="Normal 3 3 11 2 3" xfId="11094" xr:uid="{00000000-0005-0000-0000-0000EC470000}"/>
    <cellStyle name="Normal 3 3 11 2 3 2" xfId="28625" xr:uid="{00000000-0005-0000-0000-0000ED470000}"/>
    <cellStyle name="Normal 3 3 11 2 4" xfId="11095" xr:uid="{00000000-0005-0000-0000-0000EE470000}"/>
    <cellStyle name="Normal 3 3 11 2 4 2" xfId="28626" xr:uid="{00000000-0005-0000-0000-0000EF470000}"/>
    <cellStyle name="Normal 3 3 11 2 5" xfId="11096" xr:uid="{00000000-0005-0000-0000-0000F0470000}"/>
    <cellStyle name="Normal 3 3 11 2 5 2" xfId="28627" xr:uid="{00000000-0005-0000-0000-0000F1470000}"/>
    <cellStyle name="Normal 3 3 11 2 6" xfId="11097" xr:uid="{00000000-0005-0000-0000-0000F2470000}"/>
    <cellStyle name="Normal 3 3 11 2 6 2" xfId="28628" xr:uid="{00000000-0005-0000-0000-0000F3470000}"/>
    <cellStyle name="Normal 3 3 11 2 7" xfId="11098" xr:uid="{00000000-0005-0000-0000-0000F4470000}"/>
    <cellStyle name="Normal 3 3 11 2 7 2" xfId="28629" xr:uid="{00000000-0005-0000-0000-0000F5470000}"/>
    <cellStyle name="Normal 3 3 11 2 8" xfId="11099" xr:uid="{00000000-0005-0000-0000-0000F6470000}"/>
    <cellStyle name="Normal 3 3 11 2 8 2" xfId="28630" xr:uid="{00000000-0005-0000-0000-0000F7470000}"/>
    <cellStyle name="Normal 3 3 11 2 9" xfId="11100" xr:uid="{00000000-0005-0000-0000-0000F8470000}"/>
    <cellStyle name="Normal 3 3 11 2 9 2" xfId="28631" xr:uid="{00000000-0005-0000-0000-0000F9470000}"/>
    <cellStyle name="Normal 3 3 11 20" xfId="11101" xr:uid="{00000000-0005-0000-0000-0000FA470000}"/>
    <cellStyle name="Normal 3 3 11 20 2" xfId="28632" xr:uid="{00000000-0005-0000-0000-0000FB470000}"/>
    <cellStyle name="Normal 3 3 11 21" xfId="11102" xr:uid="{00000000-0005-0000-0000-0000FC470000}"/>
    <cellStyle name="Normal 3 3 11 21 2" xfId="28633" xr:uid="{00000000-0005-0000-0000-0000FD470000}"/>
    <cellStyle name="Normal 3 3 11 22" xfId="11103" xr:uid="{00000000-0005-0000-0000-0000FE470000}"/>
    <cellStyle name="Normal 3 3 11 22 2" xfId="28634" xr:uid="{00000000-0005-0000-0000-0000FF470000}"/>
    <cellStyle name="Normal 3 3 11 23" xfId="11104" xr:uid="{00000000-0005-0000-0000-000000480000}"/>
    <cellStyle name="Normal 3 3 11 23 2" xfId="28635" xr:uid="{00000000-0005-0000-0000-000001480000}"/>
    <cellStyle name="Normal 3 3 11 24" xfId="28580" xr:uid="{00000000-0005-0000-0000-000002480000}"/>
    <cellStyle name="Normal 3 3 11 3" xfId="11105" xr:uid="{00000000-0005-0000-0000-000003480000}"/>
    <cellStyle name="Normal 3 3 11 3 10" xfId="11106" xr:uid="{00000000-0005-0000-0000-000004480000}"/>
    <cellStyle name="Normal 3 3 11 3 10 2" xfId="28637" xr:uid="{00000000-0005-0000-0000-000005480000}"/>
    <cellStyle name="Normal 3 3 11 3 11" xfId="11107" xr:uid="{00000000-0005-0000-0000-000006480000}"/>
    <cellStyle name="Normal 3 3 11 3 11 2" xfId="28638" xr:uid="{00000000-0005-0000-0000-000007480000}"/>
    <cellStyle name="Normal 3 3 11 3 12" xfId="11108" xr:uid="{00000000-0005-0000-0000-000008480000}"/>
    <cellStyle name="Normal 3 3 11 3 12 2" xfId="28639" xr:uid="{00000000-0005-0000-0000-000009480000}"/>
    <cellStyle name="Normal 3 3 11 3 13" xfId="11109" xr:uid="{00000000-0005-0000-0000-00000A480000}"/>
    <cellStyle name="Normal 3 3 11 3 13 2" xfId="28640" xr:uid="{00000000-0005-0000-0000-00000B480000}"/>
    <cellStyle name="Normal 3 3 11 3 14" xfId="11110" xr:uid="{00000000-0005-0000-0000-00000C480000}"/>
    <cellStyle name="Normal 3 3 11 3 14 2" xfId="28641" xr:uid="{00000000-0005-0000-0000-00000D480000}"/>
    <cellStyle name="Normal 3 3 11 3 15" xfId="11111" xr:uid="{00000000-0005-0000-0000-00000E480000}"/>
    <cellStyle name="Normal 3 3 11 3 15 2" xfId="28642" xr:uid="{00000000-0005-0000-0000-00000F480000}"/>
    <cellStyle name="Normal 3 3 11 3 16" xfId="28636" xr:uid="{00000000-0005-0000-0000-000010480000}"/>
    <cellStyle name="Normal 3 3 11 3 2" xfId="11112" xr:uid="{00000000-0005-0000-0000-000011480000}"/>
    <cellStyle name="Normal 3 3 11 3 2 10" xfId="11113" xr:uid="{00000000-0005-0000-0000-000012480000}"/>
    <cellStyle name="Normal 3 3 11 3 2 10 2" xfId="28644" xr:uid="{00000000-0005-0000-0000-000013480000}"/>
    <cellStyle name="Normal 3 3 11 3 2 11" xfId="11114" xr:uid="{00000000-0005-0000-0000-000014480000}"/>
    <cellStyle name="Normal 3 3 11 3 2 11 2" xfId="28645" xr:uid="{00000000-0005-0000-0000-000015480000}"/>
    <cellStyle name="Normal 3 3 11 3 2 12" xfId="11115" xr:uid="{00000000-0005-0000-0000-000016480000}"/>
    <cellStyle name="Normal 3 3 11 3 2 12 2" xfId="28646" xr:uid="{00000000-0005-0000-0000-000017480000}"/>
    <cellStyle name="Normal 3 3 11 3 2 13" xfId="11116" xr:uid="{00000000-0005-0000-0000-000018480000}"/>
    <cellStyle name="Normal 3 3 11 3 2 13 2" xfId="28647" xr:uid="{00000000-0005-0000-0000-000019480000}"/>
    <cellStyle name="Normal 3 3 11 3 2 14" xfId="11117" xr:uid="{00000000-0005-0000-0000-00001A480000}"/>
    <cellStyle name="Normal 3 3 11 3 2 14 2" xfId="28648" xr:uid="{00000000-0005-0000-0000-00001B480000}"/>
    <cellStyle name="Normal 3 3 11 3 2 15" xfId="28643" xr:uid="{00000000-0005-0000-0000-00001C480000}"/>
    <cellStyle name="Normal 3 3 11 3 2 2" xfId="11118" xr:uid="{00000000-0005-0000-0000-00001D480000}"/>
    <cellStyle name="Normal 3 3 11 3 2 2 2" xfId="28649" xr:uid="{00000000-0005-0000-0000-00001E480000}"/>
    <cellStyle name="Normal 3 3 11 3 2 3" xfId="11119" xr:uid="{00000000-0005-0000-0000-00001F480000}"/>
    <cellStyle name="Normal 3 3 11 3 2 3 2" xfId="28650" xr:uid="{00000000-0005-0000-0000-000020480000}"/>
    <cellStyle name="Normal 3 3 11 3 2 4" xfId="11120" xr:uid="{00000000-0005-0000-0000-000021480000}"/>
    <cellStyle name="Normal 3 3 11 3 2 4 2" xfId="28651" xr:uid="{00000000-0005-0000-0000-000022480000}"/>
    <cellStyle name="Normal 3 3 11 3 2 5" xfId="11121" xr:uid="{00000000-0005-0000-0000-000023480000}"/>
    <cellStyle name="Normal 3 3 11 3 2 5 2" xfId="28652" xr:uid="{00000000-0005-0000-0000-000024480000}"/>
    <cellStyle name="Normal 3 3 11 3 2 6" xfId="11122" xr:uid="{00000000-0005-0000-0000-000025480000}"/>
    <cellStyle name="Normal 3 3 11 3 2 6 2" xfId="28653" xr:uid="{00000000-0005-0000-0000-000026480000}"/>
    <cellStyle name="Normal 3 3 11 3 2 7" xfId="11123" xr:uid="{00000000-0005-0000-0000-000027480000}"/>
    <cellStyle name="Normal 3 3 11 3 2 7 2" xfId="28654" xr:uid="{00000000-0005-0000-0000-000028480000}"/>
    <cellStyle name="Normal 3 3 11 3 2 8" xfId="11124" xr:uid="{00000000-0005-0000-0000-000029480000}"/>
    <cellStyle name="Normal 3 3 11 3 2 8 2" xfId="28655" xr:uid="{00000000-0005-0000-0000-00002A480000}"/>
    <cellStyle name="Normal 3 3 11 3 2 9" xfId="11125" xr:uid="{00000000-0005-0000-0000-00002B480000}"/>
    <cellStyle name="Normal 3 3 11 3 2 9 2" xfId="28656" xr:uid="{00000000-0005-0000-0000-00002C480000}"/>
    <cellStyle name="Normal 3 3 11 3 3" xfId="11126" xr:uid="{00000000-0005-0000-0000-00002D480000}"/>
    <cellStyle name="Normal 3 3 11 3 3 2" xfId="28657" xr:uid="{00000000-0005-0000-0000-00002E480000}"/>
    <cellStyle name="Normal 3 3 11 3 4" xfId="11127" xr:uid="{00000000-0005-0000-0000-00002F480000}"/>
    <cellStyle name="Normal 3 3 11 3 4 2" xfId="28658" xr:uid="{00000000-0005-0000-0000-000030480000}"/>
    <cellStyle name="Normal 3 3 11 3 5" xfId="11128" xr:uid="{00000000-0005-0000-0000-000031480000}"/>
    <cellStyle name="Normal 3 3 11 3 5 2" xfId="28659" xr:uid="{00000000-0005-0000-0000-000032480000}"/>
    <cellStyle name="Normal 3 3 11 3 6" xfId="11129" xr:uid="{00000000-0005-0000-0000-000033480000}"/>
    <cellStyle name="Normal 3 3 11 3 6 2" xfId="28660" xr:uid="{00000000-0005-0000-0000-000034480000}"/>
    <cellStyle name="Normal 3 3 11 3 7" xfId="11130" xr:uid="{00000000-0005-0000-0000-000035480000}"/>
    <cellStyle name="Normal 3 3 11 3 7 2" xfId="28661" xr:uid="{00000000-0005-0000-0000-000036480000}"/>
    <cellStyle name="Normal 3 3 11 3 8" xfId="11131" xr:uid="{00000000-0005-0000-0000-000037480000}"/>
    <cellStyle name="Normal 3 3 11 3 8 2" xfId="28662" xr:uid="{00000000-0005-0000-0000-000038480000}"/>
    <cellStyle name="Normal 3 3 11 3 9" xfId="11132" xr:uid="{00000000-0005-0000-0000-000039480000}"/>
    <cellStyle name="Normal 3 3 11 3 9 2" xfId="28663" xr:uid="{00000000-0005-0000-0000-00003A480000}"/>
    <cellStyle name="Normal 3 3 11 4" xfId="11133" xr:uid="{00000000-0005-0000-0000-00003B480000}"/>
    <cellStyle name="Normal 3 3 11 4 10" xfId="11134" xr:uid="{00000000-0005-0000-0000-00003C480000}"/>
    <cellStyle name="Normal 3 3 11 4 10 2" xfId="28665" xr:uid="{00000000-0005-0000-0000-00003D480000}"/>
    <cellStyle name="Normal 3 3 11 4 11" xfId="11135" xr:uid="{00000000-0005-0000-0000-00003E480000}"/>
    <cellStyle name="Normal 3 3 11 4 11 2" xfId="28666" xr:uid="{00000000-0005-0000-0000-00003F480000}"/>
    <cellStyle name="Normal 3 3 11 4 12" xfId="11136" xr:uid="{00000000-0005-0000-0000-000040480000}"/>
    <cellStyle name="Normal 3 3 11 4 12 2" xfId="28667" xr:uid="{00000000-0005-0000-0000-000041480000}"/>
    <cellStyle name="Normal 3 3 11 4 13" xfId="11137" xr:uid="{00000000-0005-0000-0000-000042480000}"/>
    <cellStyle name="Normal 3 3 11 4 13 2" xfId="28668" xr:uid="{00000000-0005-0000-0000-000043480000}"/>
    <cellStyle name="Normal 3 3 11 4 14" xfId="11138" xr:uid="{00000000-0005-0000-0000-000044480000}"/>
    <cellStyle name="Normal 3 3 11 4 14 2" xfId="28669" xr:uid="{00000000-0005-0000-0000-000045480000}"/>
    <cellStyle name="Normal 3 3 11 4 15" xfId="11139" xr:uid="{00000000-0005-0000-0000-000046480000}"/>
    <cellStyle name="Normal 3 3 11 4 15 2" xfId="28670" xr:uid="{00000000-0005-0000-0000-000047480000}"/>
    <cellStyle name="Normal 3 3 11 4 16" xfId="28664" xr:uid="{00000000-0005-0000-0000-000048480000}"/>
    <cellStyle name="Normal 3 3 11 4 2" xfId="11140" xr:uid="{00000000-0005-0000-0000-000049480000}"/>
    <cellStyle name="Normal 3 3 11 4 2 10" xfId="11141" xr:uid="{00000000-0005-0000-0000-00004A480000}"/>
    <cellStyle name="Normal 3 3 11 4 2 10 2" xfId="28672" xr:uid="{00000000-0005-0000-0000-00004B480000}"/>
    <cellStyle name="Normal 3 3 11 4 2 11" xfId="11142" xr:uid="{00000000-0005-0000-0000-00004C480000}"/>
    <cellStyle name="Normal 3 3 11 4 2 11 2" xfId="28673" xr:uid="{00000000-0005-0000-0000-00004D480000}"/>
    <cellStyle name="Normal 3 3 11 4 2 12" xfId="11143" xr:uid="{00000000-0005-0000-0000-00004E480000}"/>
    <cellStyle name="Normal 3 3 11 4 2 12 2" xfId="28674" xr:uid="{00000000-0005-0000-0000-00004F480000}"/>
    <cellStyle name="Normal 3 3 11 4 2 13" xfId="11144" xr:uid="{00000000-0005-0000-0000-000050480000}"/>
    <cellStyle name="Normal 3 3 11 4 2 13 2" xfId="28675" xr:uid="{00000000-0005-0000-0000-000051480000}"/>
    <cellStyle name="Normal 3 3 11 4 2 14" xfId="11145" xr:uid="{00000000-0005-0000-0000-000052480000}"/>
    <cellStyle name="Normal 3 3 11 4 2 14 2" xfId="28676" xr:uid="{00000000-0005-0000-0000-000053480000}"/>
    <cellStyle name="Normal 3 3 11 4 2 15" xfId="28671" xr:uid="{00000000-0005-0000-0000-000054480000}"/>
    <cellStyle name="Normal 3 3 11 4 2 2" xfId="11146" xr:uid="{00000000-0005-0000-0000-000055480000}"/>
    <cellStyle name="Normal 3 3 11 4 2 2 2" xfId="28677" xr:uid="{00000000-0005-0000-0000-000056480000}"/>
    <cellStyle name="Normal 3 3 11 4 2 3" xfId="11147" xr:uid="{00000000-0005-0000-0000-000057480000}"/>
    <cellStyle name="Normal 3 3 11 4 2 3 2" xfId="28678" xr:uid="{00000000-0005-0000-0000-000058480000}"/>
    <cellStyle name="Normal 3 3 11 4 2 4" xfId="11148" xr:uid="{00000000-0005-0000-0000-000059480000}"/>
    <cellStyle name="Normal 3 3 11 4 2 4 2" xfId="28679" xr:uid="{00000000-0005-0000-0000-00005A480000}"/>
    <cellStyle name="Normal 3 3 11 4 2 5" xfId="11149" xr:uid="{00000000-0005-0000-0000-00005B480000}"/>
    <cellStyle name="Normal 3 3 11 4 2 5 2" xfId="28680" xr:uid="{00000000-0005-0000-0000-00005C480000}"/>
    <cellStyle name="Normal 3 3 11 4 2 6" xfId="11150" xr:uid="{00000000-0005-0000-0000-00005D480000}"/>
    <cellStyle name="Normal 3 3 11 4 2 6 2" xfId="28681" xr:uid="{00000000-0005-0000-0000-00005E480000}"/>
    <cellStyle name="Normal 3 3 11 4 2 7" xfId="11151" xr:uid="{00000000-0005-0000-0000-00005F480000}"/>
    <cellStyle name="Normal 3 3 11 4 2 7 2" xfId="28682" xr:uid="{00000000-0005-0000-0000-000060480000}"/>
    <cellStyle name="Normal 3 3 11 4 2 8" xfId="11152" xr:uid="{00000000-0005-0000-0000-000061480000}"/>
    <cellStyle name="Normal 3 3 11 4 2 8 2" xfId="28683" xr:uid="{00000000-0005-0000-0000-000062480000}"/>
    <cellStyle name="Normal 3 3 11 4 2 9" xfId="11153" xr:uid="{00000000-0005-0000-0000-000063480000}"/>
    <cellStyle name="Normal 3 3 11 4 2 9 2" xfId="28684" xr:uid="{00000000-0005-0000-0000-000064480000}"/>
    <cellStyle name="Normal 3 3 11 4 3" xfId="11154" xr:uid="{00000000-0005-0000-0000-000065480000}"/>
    <cellStyle name="Normal 3 3 11 4 3 2" xfId="28685" xr:uid="{00000000-0005-0000-0000-000066480000}"/>
    <cellStyle name="Normal 3 3 11 4 4" xfId="11155" xr:uid="{00000000-0005-0000-0000-000067480000}"/>
    <cellStyle name="Normal 3 3 11 4 4 2" xfId="28686" xr:uid="{00000000-0005-0000-0000-000068480000}"/>
    <cellStyle name="Normal 3 3 11 4 5" xfId="11156" xr:uid="{00000000-0005-0000-0000-000069480000}"/>
    <cellStyle name="Normal 3 3 11 4 5 2" xfId="28687" xr:uid="{00000000-0005-0000-0000-00006A480000}"/>
    <cellStyle name="Normal 3 3 11 4 6" xfId="11157" xr:uid="{00000000-0005-0000-0000-00006B480000}"/>
    <cellStyle name="Normal 3 3 11 4 6 2" xfId="28688" xr:uid="{00000000-0005-0000-0000-00006C480000}"/>
    <cellStyle name="Normal 3 3 11 4 7" xfId="11158" xr:uid="{00000000-0005-0000-0000-00006D480000}"/>
    <cellStyle name="Normal 3 3 11 4 7 2" xfId="28689" xr:uid="{00000000-0005-0000-0000-00006E480000}"/>
    <cellStyle name="Normal 3 3 11 4 8" xfId="11159" xr:uid="{00000000-0005-0000-0000-00006F480000}"/>
    <cellStyle name="Normal 3 3 11 4 8 2" xfId="28690" xr:uid="{00000000-0005-0000-0000-000070480000}"/>
    <cellStyle name="Normal 3 3 11 4 9" xfId="11160" xr:uid="{00000000-0005-0000-0000-000071480000}"/>
    <cellStyle name="Normal 3 3 11 4 9 2" xfId="28691" xr:uid="{00000000-0005-0000-0000-000072480000}"/>
    <cellStyle name="Normal 3 3 11 5" xfId="11161" xr:uid="{00000000-0005-0000-0000-000073480000}"/>
    <cellStyle name="Normal 3 3 11 5 10" xfId="11162" xr:uid="{00000000-0005-0000-0000-000074480000}"/>
    <cellStyle name="Normal 3 3 11 5 10 2" xfId="28693" xr:uid="{00000000-0005-0000-0000-000075480000}"/>
    <cellStyle name="Normal 3 3 11 5 11" xfId="11163" xr:uid="{00000000-0005-0000-0000-000076480000}"/>
    <cellStyle name="Normal 3 3 11 5 11 2" xfId="28694" xr:uid="{00000000-0005-0000-0000-000077480000}"/>
    <cellStyle name="Normal 3 3 11 5 12" xfId="11164" xr:uid="{00000000-0005-0000-0000-000078480000}"/>
    <cellStyle name="Normal 3 3 11 5 12 2" xfId="28695" xr:uid="{00000000-0005-0000-0000-000079480000}"/>
    <cellStyle name="Normal 3 3 11 5 13" xfId="11165" xr:uid="{00000000-0005-0000-0000-00007A480000}"/>
    <cellStyle name="Normal 3 3 11 5 13 2" xfId="28696" xr:uid="{00000000-0005-0000-0000-00007B480000}"/>
    <cellStyle name="Normal 3 3 11 5 14" xfId="11166" xr:uid="{00000000-0005-0000-0000-00007C480000}"/>
    <cellStyle name="Normal 3 3 11 5 14 2" xfId="28697" xr:uid="{00000000-0005-0000-0000-00007D480000}"/>
    <cellStyle name="Normal 3 3 11 5 15" xfId="28692" xr:uid="{00000000-0005-0000-0000-00007E480000}"/>
    <cellStyle name="Normal 3 3 11 5 2" xfId="11167" xr:uid="{00000000-0005-0000-0000-00007F480000}"/>
    <cellStyle name="Normal 3 3 11 5 2 2" xfId="28698" xr:uid="{00000000-0005-0000-0000-000080480000}"/>
    <cellStyle name="Normal 3 3 11 5 3" xfId="11168" xr:uid="{00000000-0005-0000-0000-000081480000}"/>
    <cellStyle name="Normal 3 3 11 5 3 2" xfId="28699" xr:uid="{00000000-0005-0000-0000-000082480000}"/>
    <cellStyle name="Normal 3 3 11 5 4" xfId="11169" xr:uid="{00000000-0005-0000-0000-000083480000}"/>
    <cellStyle name="Normal 3 3 11 5 4 2" xfId="28700" xr:uid="{00000000-0005-0000-0000-000084480000}"/>
    <cellStyle name="Normal 3 3 11 5 5" xfId="11170" xr:uid="{00000000-0005-0000-0000-000085480000}"/>
    <cellStyle name="Normal 3 3 11 5 5 2" xfId="28701" xr:uid="{00000000-0005-0000-0000-000086480000}"/>
    <cellStyle name="Normal 3 3 11 5 6" xfId="11171" xr:uid="{00000000-0005-0000-0000-000087480000}"/>
    <cellStyle name="Normal 3 3 11 5 6 2" xfId="28702" xr:uid="{00000000-0005-0000-0000-000088480000}"/>
    <cellStyle name="Normal 3 3 11 5 7" xfId="11172" xr:uid="{00000000-0005-0000-0000-000089480000}"/>
    <cellStyle name="Normal 3 3 11 5 7 2" xfId="28703" xr:uid="{00000000-0005-0000-0000-00008A480000}"/>
    <cellStyle name="Normal 3 3 11 5 8" xfId="11173" xr:uid="{00000000-0005-0000-0000-00008B480000}"/>
    <cellStyle name="Normal 3 3 11 5 8 2" xfId="28704" xr:uid="{00000000-0005-0000-0000-00008C480000}"/>
    <cellStyle name="Normal 3 3 11 5 9" xfId="11174" xr:uid="{00000000-0005-0000-0000-00008D480000}"/>
    <cellStyle name="Normal 3 3 11 5 9 2" xfId="28705" xr:uid="{00000000-0005-0000-0000-00008E480000}"/>
    <cellStyle name="Normal 3 3 11 6" xfId="11175" xr:uid="{00000000-0005-0000-0000-00008F480000}"/>
    <cellStyle name="Normal 3 3 11 6 10" xfId="11176" xr:uid="{00000000-0005-0000-0000-000090480000}"/>
    <cellStyle name="Normal 3 3 11 6 10 2" xfId="28707" xr:uid="{00000000-0005-0000-0000-000091480000}"/>
    <cellStyle name="Normal 3 3 11 6 11" xfId="11177" xr:uid="{00000000-0005-0000-0000-000092480000}"/>
    <cellStyle name="Normal 3 3 11 6 11 2" xfId="28708" xr:uid="{00000000-0005-0000-0000-000093480000}"/>
    <cellStyle name="Normal 3 3 11 6 12" xfId="11178" xr:uid="{00000000-0005-0000-0000-000094480000}"/>
    <cellStyle name="Normal 3 3 11 6 12 2" xfId="28709" xr:uid="{00000000-0005-0000-0000-000095480000}"/>
    <cellStyle name="Normal 3 3 11 6 13" xfId="11179" xr:uid="{00000000-0005-0000-0000-000096480000}"/>
    <cellStyle name="Normal 3 3 11 6 13 2" xfId="28710" xr:uid="{00000000-0005-0000-0000-000097480000}"/>
    <cellStyle name="Normal 3 3 11 6 14" xfId="11180" xr:uid="{00000000-0005-0000-0000-000098480000}"/>
    <cellStyle name="Normal 3 3 11 6 14 2" xfId="28711" xr:uid="{00000000-0005-0000-0000-000099480000}"/>
    <cellStyle name="Normal 3 3 11 6 15" xfId="28706" xr:uid="{00000000-0005-0000-0000-00009A480000}"/>
    <cellStyle name="Normal 3 3 11 6 2" xfId="11181" xr:uid="{00000000-0005-0000-0000-00009B480000}"/>
    <cellStyle name="Normal 3 3 11 6 2 2" xfId="28712" xr:uid="{00000000-0005-0000-0000-00009C480000}"/>
    <cellStyle name="Normal 3 3 11 6 3" xfId="11182" xr:uid="{00000000-0005-0000-0000-00009D480000}"/>
    <cellStyle name="Normal 3 3 11 6 3 2" xfId="28713" xr:uid="{00000000-0005-0000-0000-00009E480000}"/>
    <cellStyle name="Normal 3 3 11 6 4" xfId="11183" xr:uid="{00000000-0005-0000-0000-00009F480000}"/>
    <cellStyle name="Normal 3 3 11 6 4 2" xfId="28714" xr:uid="{00000000-0005-0000-0000-0000A0480000}"/>
    <cellStyle name="Normal 3 3 11 6 5" xfId="11184" xr:uid="{00000000-0005-0000-0000-0000A1480000}"/>
    <cellStyle name="Normal 3 3 11 6 5 2" xfId="28715" xr:uid="{00000000-0005-0000-0000-0000A2480000}"/>
    <cellStyle name="Normal 3 3 11 6 6" xfId="11185" xr:uid="{00000000-0005-0000-0000-0000A3480000}"/>
    <cellStyle name="Normal 3 3 11 6 6 2" xfId="28716" xr:uid="{00000000-0005-0000-0000-0000A4480000}"/>
    <cellStyle name="Normal 3 3 11 6 7" xfId="11186" xr:uid="{00000000-0005-0000-0000-0000A5480000}"/>
    <cellStyle name="Normal 3 3 11 6 7 2" xfId="28717" xr:uid="{00000000-0005-0000-0000-0000A6480000}"/>
    <cellStyle name="Normal 3 3 11 6 8" xfId="11187" xr:uid="{00000000-0005-0000-0000-0000A7480000}"/>
    <cellStyle name="Normal 3 3 11 6 8 2" xfId="28718" xr:uid="{00000000-0005-0000-0000-0000A8480000}"/>
    <cellStyle name="Normal 3 3 11 6 9" xfId="11188" xr:uid="{00000000-0005-0000-0000-0000A9480000}"/>
    <cellStyle name="Normal 3 3 11 6 9 2" xfId="28719" xr:uid="{00000000-0005-0000-0000-0000AA480000}"/>
    <cellStyle name="Normal 3 3 11 7" xfId="11189" xr:uid="{00000000-0005-0000-0000-0000AB480000}"/>
    <cellStyle name="Normal 3 3 11 7 10" xfId="11190" xr:uid="{00000000-0005-0000-0000-0000AC480000}"/>
    <cellStyle name="Normal 3 3 11 7 10 2" xfId="28721" xr:uid="{00000000-0005-0000-0000-0000AD480000}"/>
    <cellStyle name="Normal 3 3 11 7 11" xfId="11191" xr:uid="{00000000-0005-0000-0000-0000AE480000}"/>
    <cellStyle name="Normal 3 3 11 7 11 2" xfId="28722" xr:uid="{00000000-0005-0000-0000-0000AF480000}"/>
    <cellStyle name="Normal 3 3 11 7 12" xfId="11192" xr:uid="{00000000-0005-0000-0000-0000B0480000}"/>
    <cellStyle name="Normal 3 3 11 7 12 2" xfId="28723" xr:uid="{00000000-0005-0000-0000-0000B1480000}"/>
    <cellStyle name="Normal 3 3 11 7 13" xfId="11193" xr:uid="{00000000-0005-0000-0000-0000B2480000}"/>
    <cellStyle name="Normal 3 3 11 7 13 2" xfId="28724" xr:uid="{00000000-0005-0000-0000-0000B3480000}"/>
    <cellStyle name="Normal 3 3 11 7 14" xfId="11194" xr:uid="{00000000-0005-0000-0000-0000B4480000}"/>
    <cellStyle name="Normal 3 3 11 7 14 2" xfId="28725" xr:uid="{00000000-0005-0000-0000-0000B5480000}"/>
    <cellStyle name="Normal 3 3 11 7 15" xfId="28720" xr:uid="{00000000-0005-0000-0000-0000B6480000}"/>
    <cellStyle name="Normal 3 3 11 7 2" xfId="11195" xr:uid="{00000000-0005-0000-0000-0000B7480000}"/>
    <cellStyle name="Normal 3 3 11 7 2 2" xfId="28726" xr:uid="{00000000-0005-0000-0000-0000B8480000}"/>
    <cellStyle name="Normal 3 3 11 7 3" xfId="11196" xr:uid="{00000000-0005-0000-0000-0000B9480000}"/>
    <cellStyle name="Normal 3 3 11 7 3 2" xfId="28727" xr:uid="{00000000-0005-0000-0000-0000BA480000}"/>
    <cellStyle name="Normal 3 3 11 7 4" xfId="11197" xr:uid="{00000000-0005-0000-0000-0000BB480000}"/>
    <cellStyle name="Normal 3 3 11 7 4 2" xfId="28728" xr:uid="{00000000-0005-0000-0000-0000BC480000}"/>
    <cellStyle name="Normal 3 3 11 7 5" xfId="11198" xr:uid="{00000000-0005-0000-0000-0000BD480000}"/>
    <cellStyle name="Normal 3 3 11 7 5 2" xfId="28729" xr:uid="{00000000-0005-0000-0000-0000BE480000}"/>
    <cellStyle name="Normal 3 3 11 7 6" xfId="11199" xr:uid="{00000000-0005-0000-0000-0000BF480000}"/>
    <cellStyle name="Normal 3 3 11 7 6 2" xfId="28730" xr:uid="{00000000-0005-0000-0000-0000C0480000}"/>
    <cellStyle name="Normal 3 3 11 7 7" xfId="11200" xr:uid="{00000000-0005-0000-0000-0000C1480000}"/>
    <cellStyle name="Normal 3 3 11 7 7 2" xfId="28731" xr:uid="{00000000-0005-0000-0000-0000C2480000}"/>
    <cellStyle name="Normal 3 3 11 7 8" xfId="11201" xr:uid="{00000000-0005-0000-0000-0000C3480000}"/>
    <cellStyle name="Normal 3 3 11 7 8 2" xfId="28732" xr:uid="{00000000-0005-0000-0000-0000C4480000}"/>
    <cellStyle name="Normal 3 3 11 7 9" xfId="11202" xr:uid="{00000000-0005-0000-0000-0000C5480000}"/>
    <cellStyle name="Normal 3 3 11 7 9 2" xfId="28733" xr:uid="{00000000-0005-0000-0000-0000C6480000}"/>
    <cellStyle name="Normal 3 3 11 8" xfId="11203" xr:uid="{00000000-0005-0000-0000-0000C7480000}"/>
    <cellStyle name="Normal 3 3 11 8 10" xfId="11204" xr:uid="{00000000-0005-0000-0000-0000C8480000}"/>
    <cellStyle name="Normal 3 3 11 8 10 2" xfId="28735" xr:uid="{00000000-0005-0000-0000-0000C9480000}"/>
    <cellStyle name="Normal 3 3 11 8 11" xfId="11205" xr:uid="{00000000-0005-0000-0000-0000CA480000}"/>
    <cellStyle name="Normal 3 3 11 8 11 2" xfId="28736" xr:uid="{00000000-0005-0000-0000-0000CB480000}"/>
    <cellStyle name="Normal 3 3 11 8 12" xfId="11206" xr:uid="{00000000-0005-0000-0000-0000CC480000}"/>
    <cellStyle name="Normal 3 3 11 8 12 2" xfId="28737" xr:uid="{00000000-0005-0000-0000-0000CD480000}"/>
    <cellStyle name="Normal 3 3 11 8 13" xfId="11207" xr:uid="{00000000-0005-0000-0000-0000CE480000}"/>
    <cellStyle name="Normal 3 3 11 8 13 2" xfId="28738" xr:uid="{00000000-0005-0000-0000-0000CF480000}"/>
    <cellStyle name="Normal 3 3 11 8 14" xfId="11208" xr:uid="{00000000-0005-0000-0000-0000D0480000}"/>
    <cellStyle name="Normal 3 3 11 8 14 2" xfId="28739" xr:uid="{00000000-0005-0000-0000-0000D1480000}"/>
    <cellStyle name="Normal 3 3 11 8 15" xfId="28734" xr:uid="{00000000-0005-0000-0000-0000D2480000}"/>
    <cellStyle name="Normal 3 3 11 8 2" xfId="11209" xr:uid="{00000000-0005-0000-0000-0000D3480000}"/>
    <cellStyle name="Normal 3 3 11 8 2 2" xfId="28740" xr:uid="{00000000-0005-0000-0000-0000D4480000}"/>
    <cellStyle name="Normal 3 3 11 8 3" xfId="11210" xr:uid="{00000000-0005-0000-0000-0000D5480000}"/>
    <cellStyle name="Normal 3 3 11 8 3 2" xfId="28741" xr:uid="{00000000-0005-0000-0000-0000D6480000}"/>
    <cellStyle name="Normal 3 3 11 8 4" xfId="11211" xr:uid="{00000000-0005-0000-0000-0000D7480000}"/>
    <cellStyle name="Normal 3 3 11 8 4 2" xfId="28742" xr:uid="{00000000-0005-0000-0000-0000D8480000}"/>
    <cellStyle name="Normal 3 3 11 8 5" xfId="11212" xr:uid="{00000000-0005-0000-0000-0000D9480000}"/>
    <cellStyle name="Normal 3 3 11 8 5 2" xfId="28743" xr:uid="{00000000-0005-0000-0000-0000DA480000}"/>
    <cellStyle name="Normal 3 3 11 8 6" xfId="11213" xr:uid="{00000000-0005-0000-0000-0000DB480000}"/>
    <cellStyle name="Normal 3 3 11 8 6 2" xfId="28744" xr:uid="{00000000-0005-0000-0000-0000DC480000}"/>
    <cellStyle name="Normal 3 3 11 8 7" xfId="11214" xr:uid="{00000000-0005-0000-0000-0000DD480000}"/>
    <cellStyle name="Normal 3 3 11 8 7 2" xfId="28745" xr:uid="{00000000-0005-0000-0000-0000DE480000}"/>
    <cellStyle name="Normal 3 3 11 8 8" xfId="11215" xr:uid="{00000000-0005-0000-0000-0000DF480000}"/>
    <cellStyle name="Normal 3 3 11 8 8 2" xfId="28746" xr:uid="{00000000-0005-0000-0000-0000E0480000}"/>
    <cellStyle name="Normal 3 3 11 8 9" xfId="11216" xr:uid="{00000000-0005-0000-0000-0000E1480000}"/>
    <cellStyle name="Normal 3 3 11 8 9 2" xfId="28747" xr:uid="{00000000-0005-0000-0000-0000E2480000}"/>
    <cellStyle name="Normal 3 3 11 9" xfId="11217" xr:uid="{00000000-0005-0000-0000-0000E3480000}"/>
    <cellStyle name="Normal 3 3 11 9 10" xfId="11218" xr:uid="{00000000-0005-0000-0000-0000E4480000}"/>
    <cellStyle name="Normal 3 3 11 9 10 2" xfId="28749" xr:uid="{00000000-0005-0000-0000-0000E5480000}"/>
    <cellStyle name="Normal 3 3 11 9 11" xfId="11219" xr:uid="{00000000-0005-0000-0000-0000E6480000}"/>
    <cellStyle name="Normal 3 3 11 9 11 2" xfId="28750" xr:uid="{00000000-0005-0000-0000-0000E7480000}"/>
    <cellStyle name="Normal 3 3 11 9 12" xfId="11220" xr:uid="{00000000-0005-0000-0000-0000E8480000}"/>
    <cellStyle name="Normal 3 3 11 9 12 2" xfId="28751" xr:uid="{00000000-0005-0000-0000-0000E9480000}"/>
    <cellStyle name="Normal 3 3 11 9 13" xfId="11221" xr:uid="{00000000-0005-0000-0000-0000EA480000}"/>
    <cellStyle name="Normal 3 3 11 9 13 2" xfId="28752" xr:uid="{00000000-0005-0000-0000-0000EB480000}"/>
    <cellStyle name="Normal 3 3 11 9 14" xfId="11222" xr:uid="{00000000-0005-0000-0000-0000EC480000}"/>
    <cellStyle name="Normal 3 3 11 9 14 2" xfId="28753" xr:uid="{00000000-0005-0000-0000-0000ED480000}"/>
    <cellStyle name="Normal 3 3 11 9 15" xfId="28748" xr:uid="{00000000-0005-0000-0000-0000EE480000}"/>
    <cellStyle name="Normal 3 3 11 9 2" xfId="11223" xr:uid="{00000000-0005-0000-0000-0000EF480000}"/>
    <cellStyle name="Normal 3 3 11 9 2 2" xfId="28754" xr:uid="{00000000-0005-0000-0000-0000F0480000}"/>
    <cellStyle name="Normal 3 3 11 9 3" xfId="11224" xr:uid="{00000000-0005-0000-0000-0000F1480000}"/>
    <cellStyle name="Normal 3 3 11 9 3 2" xfId="28755" xr:uid="{00000000-0005-0000-0000-0000F2480000}"/>
    <cellStyle name="Normal 3 3 11 9 4" xfId="11225" xr:uid="{00000000-0005-0000-0000-0000F3480000}"/>
    <cellStyle name="Normal 3 3 11 9 4 2" xfId="28756" xr:uid="{00000000-0005-0000-0000-0000F4480000}"/>
    <cellStyle name="Normal 3 3 11 9 5" xfId="11226" xr:uid="{00000000-0005-0000-0000-0000F5480000}"/>
    <cellStyle name="Normal 3 3 11 9 5 2" xfId="28757" xr:uid="{00000000-0005-0000-0000-0000F6480000}"/>
    <cellStyle name="Normal 3 3 11 9 6" xfId="11227" xr:uid="{00000000-0005-0000-0000-0000F7480000}"/>
    <cellStyle name="Normal 3 3 11 9 6 2" xfId="28758" xr:uid="{00000000-0005-0000-0000-0000F8480000}"/>
    <cellStyle name="Normal 3 3 11 9 7" xfId="11228" xr:uid="{00000000-0005-0000-0000-0000F9480000}"/>
    <cellStyle name="Normal 3 3 11 9 7 2" xfId="28759" xr:uid="{00000000-0005-0000-0000-0000FA480000}"/>
    <cellStyle name="Normal 3 3 11 9 8" xfId="11229" xr:uid="{00000000-0005-0000-0000-0000FB480000}"/>
    <cellStyle name="Normal 3 3 11 9 8 2" xfId="28760" xr:uid="{00000000-0005-0000-0000-0000FC480000}"/>
    <cellStyle name="Normal 3 3 11 9 9" xfId="11230" xr:uid="{00000000-0005-0000-0000-0000FD480000}"/>
    <cellStyle name="Normal 3 3 11 9 9 2" xfId="28761" xr:uid="{00000000-0005-0000-0000-0000FE480000}"/>
    <cellStyle name="Normal 3 3 12" xfId="11231" xr:uid="{00000000-0005-0000-0000-0000FF480000}"/>
    <cellStyle name="Normal 3 3 12 10" xfId="11232" xr:uid="{00000000-0005-0000-0000-000000490000}"/>
    <cellStyle name="Normal 3 3 12 10 10" xfId="11233" xr:uid="{00000000-0005-0000-0000-000001490000}"/>
    <cellStyle name="Normal 3 3 12 10 10 2" xfId="28764" xr:uid="{00000000-0005-0000-0000-000002490000}"/>
    <cellStyle name="Normal 3 3 12 10 11" xfId="11234" xr:uid="{00000000-0005-0000-0000-000003490000}"/>
    <cellStyle name="Normal 3 3 12 10 11 2" xfId="28765" xr:uid="{00000000-0005-0000-0000-000004490000}"/>
    <cellStyle name="Normal 3 3 12 10 12" xfId="11235" xr:uid="{00000000-0005-0000-0000-000005490000}"/>
    <cellStyle name="Normal 3 3 12 10 12 2" xfId="28766" xr:uid="{00000000-0005-0000-0000-000006490000}"/>
    <cellStyle name="Normal 3 3 12 10 13" xfId="11236" xr:uid="{00000000-0005-0000-0000-000007490000}"/>
    <cellStyle name="Normal 3 3 12 10 13 2" xfId="28767" xr:uid="{00000000-0005-0000-0000-000008490000}"/>
    <cellStyle name="Normal 3 3 12 10 14" xfId="11237" xr:uid="{00000000-0005-0000-0000-000009490000}"/>
    <cellStyle name="Normal 3 3 12 10 14 2" xfId="28768" xr:uid="{00000000-0005-0000-0000-00000A490000}"/>
    <cellStyle name="Normal 3 3 12 10 15" xfId="28763" xr:uid="{00000000-0005-0000-0000-00000B490000}"/>
    <cellStyle name="Normal 3 3 12 10 2" xfId="11238" xr:uid="{00000000-0005-0000-0000-00000C490000}"/>
    <cellStyle name="Normal 3 3 12 10 2 2" xfId="28769" xr:uid="{00000000-0005-0000-0000-00000D490000}"/>
    <cellStyle name="Normal 3 3 12 10 3" xfId="11239" xr:uid="{00000000-0005-0000-0000-00000E490000}"/>
    <cellStyle name="Normal 3 3 12 10 3 2" xfId="28770" xr:uid="{00000000-0005-0000-0000-00000F490000}"/>
    <cellStyle name="Normal 3 3 12 10 4" xfId="11240" xr:uid="{00000000-0005-0000-0000-000010490000}"/>
    <cellStyle name="Normal 3 3 12 10 4 2" xfId="28771" xr:uid="{00000000-0005-0000-0000-000011490000}"/>
    <cellStyle name="Normal 3 3 12 10 5" xfId="11241" xr:uid="{00000000-0005-0000-0000-000012490000}"/>
    <cellStyle name="Normal 3 3 12 10 5 2" xfId="28772" xr:uid="{00000000-0005-0000-0000-000013490000}"/>
    <cellStyle name="Normal 3 3 12 10 6" xfId="11242" xr:uid="{00000000-0005-0000-0000-000014490000}"/>
    <cellStyle name="Normal 3 3 12 10 6 2" xfId="28773" xr:uid="{00000000-0005-0000-0000-000015490000}"/>
    <cellStyle name="Normal 3 3 12 10 7" xfId="11243" xr:uid="{00000000-0005-0000-0000-000016490000}"/>
    <cellStyle name="Normal 3 3 12 10 7 2" xfId="28774" xr:uid="{00000000-0005-0000-0000-000017490000}"/>
    <cellStyle name="Normal 3 3 12 10 8" xfId="11244" xr:uid="{00000000-0005-0000-0000-000018490000}"/>
    <cellStyle name="Normal 3 3 12 10 8 2" xfId="28775" xr:uid="{00000000-0005-0000-0000-000019490000}"/>
    <cellStyle name="Normal 3 3 12 10 9" xfId="11245" xr:uid="{00000000-0005-0000-0000-00001A490000}"/>
    <cellStyle name="Normal 3 3 12 10 9 2" xfId="28776" xr:uid="{00000000-0005-0000-0000-00001B490000}"/>
    <cellStyle name="Normal 3 3 12 11" xfId="11246" xr:uid="{00000000-0005-0000-0000-00001C490000}"/>
    <cellStyle name="Normal 3 3 12 11 2" xfId="28777" xr:uid="{00000000-0005-0000-0000-00001D490000}"/>
    <cellStyle name="Normal 3 3 12 12" xfId="11247" xr:uid="{00000000-0005-0000-0000-00001E490000}"/>
    <cellStyle name="Normal 3 3 12 12 2" xfId="28778" xr:uid="{00000000-0005-0000-0000-00001F490000}"/>
    <cellStyle name="Normal 3 3 12 13" xfId="11248" xr:uid="{00000000-0005-0000-0000-000020490000}"/>
    <cellStyle name="Normal 3 3 12 13 2" xfId="28779" xr:uid="{00000000-0005-0000-0000-000021490000}"/>
    <cellStyle name="Normal 3 3 12 14" xfId="11249" xr:uid="{00000000-0005-0000-0000-000022490000}"/>
    <cellStyle name="Normal 3 3 12 14 2" xfId="28780" xr:uid="{00000000-0005-0000-0000-000023490000}"/>
    <cellStyle name="Normal 3 3 12 15" xfId="11250" xr:uid="{00000000-0005-0000-0000-000024490000}"/>
    <cellStyle name="Normal 3 3 12 15 2" xfId="28781" xr:uid="{00000000-0005-0000-0000-000025490000}"/>
    <cellStyle name="Normal 3 3 12 16" xfId="11251" xr:uid="{00000000-0005-0000-0000-000026490000}"/>
    <cellStyle name="Normal 3 3 12 16 2" xfId="28782" xr:uid="{00000000-0005-0000-0000-000027490000}"/>
    <cellStyle name="Normal 3 3 12 17" xfId="11252" xr:uid="{00000000-0005-0000-0000-000028490000}"/>
    <cellStyle name="Normal 3 3 12 17 2" xfId="28783" xr:uid="{00000000-0005-0000-0000-000029490000}"/>
    <cellStyle name="Normal 3 3 12 18" xfId="11253" xr:uid="{00000000-0005-0000-0000-00002A490000}"/>
    <cellStyle name="Normal 3 3 12 18 2" xfId="28784" xr:uid="{00000000-0005-0000-0000-00002B490000}"/>
    <cellStyle name="Normal 3 3 12 19" xfId="11254" xr:uid="{00000000-0005-0000-0000-00002C490000}"/>
    <cellStyle name="Normal 3 3 12 19 2" xfId="28785" xr:uid="{00000000-0005-0000-0000-00002D490000}"/>
    <cellStyle name="Normal 3 3 12 2" xfId="11255" xr:uid="{00000000-0005-0000-0000-00002E490000}"/>
    <cellStyle name="Normal 3 3 12 2 10" xfId="11256" xr:uid="{00000000-0005-0000-0000-00002F490000}"/>
    <cellStyle name="Normal 3 3 12 2 10 2" xfId="28787" xr:uid="{00000000-0005-0000-0000-000030490000}"/>
    <cellStyle name="Normal 3 3 12 2 11" xfId="11257" xr:uid="{00000000-0005-0000-0000-000031490000}"/>
    <cellStyle name="Normal 3 3 12 2 11 2" xfId="28788" xr:uid="{00000000-0005-0000-0000-000032490000}"/>
    <cellStyle name="Normal 3 3 12 2 12" xfId="11258" xr:uid="{00000000-0005-0000-0000-000033490000}"/>
    <cellStyle name="Normal 3 3 12 2 12 2" xfId="28789" xr:uid="{00000000-0005-0000-0000-000034490000}"/>
    <cellStyle name="Normal 3 3 12 2 13" xfId="11259" xr:uid="{00000000-0005-0000-0000-000035490000}"/>
    <cellStyle name="Normal 3 3 12 2 13 2" xfId="28790" xr:uid="{00000000-0005-0000-0000-000036490000}"/>
    <cellStyle name="Normal 3 3 12 2 14" xfId="11260" xr:uid="{00000000-0005-0000-0000-000037490000}"/>
    <cellStyle name="Normal 3 3 12 2 14 2" xfId="28791" xr:uid="{00000000-0005-0000-0000-000038490000}"/>
    <cellStyle name="Normal 3 3 12 2 15" xfId="11261" xr:uid="{00000000-0005-0000-0000-000039490000}"/>
    <cellStyle name="Normal 3 3 12 2 15 2" xfId="28792" xr:uid="{00000000-0005-0000-0000-00003A490000}"/>
    <cellStyle name="Normal 3 3 12 2 16" xfId="28786" xr:uid="{00000000-0005-0000-0000-00003B490000}"/>
    <cellStyle name="Normal 3 3 12 2 2" xfId="11262" xr:uid="{00000000-0005-0000-0000-00003C490000}"/>
    <cellStyle name="Normal 3 3 12 2 2 10" xfId="11263" xr:uid="{00000000-0005-0000-0000-00003D490000}"/>
    <cellStyle name="Normal 3 3 12 2 2 10 2" xfId="28794" xr:uid="{00000000-0005-0000-0000-00003E490000}"/>
    <cellStyle name="Normal 3 3 12 2 2 11" xfId="11264" xr:uid="{00000000-0005-0000-0000-00003F490000}"/>
    <cellStyle name="Normal 3 3 12 2 2 11 2" xfId="28795" xr:uid="{00000000-0005-0000-0000-000040490000}"/>
    <cellStyle name="Normal 3 3 12 2 2 12" xfId="11265" xr:uid="{00000000-0005-0000-0000-000041490000}"/>
    <cellStyle name="Normal 3 3 12 2 2 12 2" xfId="28796" xr:uid="{00000000-0005-0000-0000-000042490000}"/>
    <cellStyle name="Normal 3 3 12 2 2 13" xfId="11266" xr:uid="{00000000-0005-0000-0000-000043490000}"/>
    <cellStyle name="Normal 3 3 12 2 2 13 2" xfId="28797" xr:uid="{00000000-0005-0000-0000-000044490000}"/>
    <cellStyle name="Normal 3 3 12 2 2 14" xfId="11267" xr:uid="{00000000-0005-0000-0000-000045490000}"/>
    <cellStyle name="Normal 3 3 12 2 2 14 2" xfId="28798" xr:uid="{00000000-0005-0000-0000-000046490000}"/>
    <cellStyle name="Normal 3 3 12 2 2 15" xfId="28793" xr:uid="{00000000-0005-0000-0000-000047490000}"/>
    <cellStyle name="Normal 3 3 12 2 2 2" xfId="11268" xr:uid="{00000000-0005-0000-0000-000048490000}"/>
    <cellStyle name="Normal 3 3 12 2 2 2 2" xfId="28799" xr:uid="{00000000-0005-0000-0000-000049490000}"/>
    <cellStyle name="Normal 3 3 12 2 2 3" xfId="11269" xr:uid="{00000000-0005-0000-0000-00004A490000}"/>
    <cellStyle name="Normal 3 3 12 2 2 3 2" xfId="28800" xr:uid="{00000000-0005-0000-0000-00004B490000}"/>
    <cellStyle name="Normal 3 3 12 2 2 4" xfId="11270" xr:uid="{00000000-0005-0000-0000-00004C490000}"/>
    <cellStyle name="Normal 3 3 12 2 2 4 2" xfId="28801" xr:uid="{00000000-0005-0000-0000-00004D490000}"/>
    <cellStyle name="Normal 3 3 12 2 2 5" xfId="11271" xr:uid="{00000000-0005-0000-0000-00004E490000}"/>
    <cellStyle name="Normal 3 3 12 2 2 5 2" xfId="28802" xr:uid="{00000000-0005-0000-0000-00004F490000}"/>
    <cellStyle name="Normal 3 3 12 2 2 6" xfId="11272" xr:uid="{00000000-0005-0000-0000-000050490000}"/>
    <cellStyle name="Normal 3 3 12 2 2 6 2" xfId="28803" xr:uid="{00000000-0005-0000-0000-000051490000}"/>
    <cellStyle name="Normal 3 3 12 2 2 7" xfId="11273" xr:uid="{00000000-0005-0000-0000-000052490000}"/>
    <cellStyle name="Normal 3 3 12 2 2 7 2" xfId="28804" xr:uid="{00000000-0005-0000-0000-000053490000}"/>
    <cellStyle name="Normal 3 3 12 2 2 8" xfId="11274" xr:uid="{00000000-0005-0000-0000-000054490000}"/>
    <cellStyle name="Normal 3 3 12 2 2 8 2" xfId="28805" xr:uid="{00000000-0005-0000-0000-000055490000}"/>
    <cellStyle name="Normal 3 3 12 2 2 9" xfId="11275" xr:uid="{00000000-0005-0000-0000-000056490000}"/>
    <cellStyle name="Normal 3 3 12 2 2 9 2" xfId="28806" xr:uid="{00000000-0005-0000-0000-000057490000}"/>
    <cellStyle name="Normal 3 3 12 2 3" xfId="11276" xr:uid="{00000000-0005-0000-0000-000058490000}"/>
    <cellStyle name="Normal 3 3 12 2 3 2" xfId="28807" xr:uid="{00000000-0005-0000-0000-000059490000}"/>
    <cellStyle name="Normal 3 3 12 2 4" xfId="11277" xr:uid="{00000000-0005-0000-0000-00005A490000}"/>
    <cellStyle name="Normal 3 3 12 2 4 2" xfId="28808" xr:uid="{00000000-0005-0000-0000-00005B490000}"/>
    <cellStyle name="Normal 3 3 12 2 5" xfId="11278" xr:uid="{00000000-0005-0000-0000-00005C490000}"/>
    <cellStyle name="Normal 3 3 12 2 5 2" xfId="28809" xr:uid="{00000000-0005-0000-0000-00005D490000}"/>
    <cellStyle name="Normal 3 3 12 2 6" xfId="11279" xr:uid="{00000000-0005-0000-0000-00005E490000}"/>
    <cellStyle name="Normal 3 3 12 2 6 2" xfId="28810" xr:uid="{00000000-0005-0000-0000-00005F490000}"/>
    <cellStyle name="Normal 3 3 12 2 7" xfId="11280" xr:uid="{00000000-0005-0000-0000-000060490000}"/>
    <cellStyle name="Normal 3 3 12 2 7 2" xfId="28811" xr:uid="{00000000-0005-0000-0000-000061490000}"/>
    <cellStyle name="Normal 3 3 12 2 8" xfId="11281" xr:uid="{00000000-0005-0000-0000-000062490000}"/>
    <cellStyle name="Normal 3 3 12 2 8 2" xfId="28812" xr:uid="{00000000-0005-0000-0000-000063490000}"/>
    <cellStyle name="Normal 3 3 12 2 9" xfId="11282" xr:uid="{00000000-0005-0000-0000-000064490000}"/>
    <cellStyle name="Normal 3 3 12 2 9 2" xfId="28813" xr:uid="{00000000-0005-0000-0000-000065490000}"/>
    <cellStyle name="Normal 3 3 12 20" xfId="11283" xr:uid="{00000000-0005-0000-0000-000066490000}"/>
    <cellStyle name="Normal 3 3 12 20 2" xfId="28814" xr:uid="{00000000-0005-0000-0000-000067490000}"/>
    <cellStyle name="Normal 3 3 12 21" xfId="11284" xr:uid="{00000000-0005-0000-0000-000068490000}"/>
    <cellStyle name="Normal 3 3 12 21 2" xfId="28815" xr:uid="{00000000-0005-0000-0000-000069490000}"/>
    <cellStyle name="Normal 3 3 12 22" xfId="11285" xr:uid="{00000000-0005-0000-0000-00006A490000}"/>
    <cellStyle name="Normal 3 3 12 22 2" xfId="28816" xr:uid="{00000000-0005-0000-0000-00006B490000}"/>
    <cellStyle name="Normal 3 3 12 23" xfId="11286" xr:uid="{00000000-0005-0000-0000-00006C490000}"/>
    <cellStyle name="Normal 3 3 12 23 2" xfId="28817" xr:uid="{00000000-0005-0000-0000-00006D490000}"/>
    <cellStyle name="Normal 3 3 12 24" xfId="28762" xr:uid="{00000000-0005-0000-0000-00006E490000}"/>
    <cellStyle name="Normal 3 3 12 3" xfId="11287" xr:uid="{00000000-0005-0000-0000-00006F490000}"/>
    <cellStyle name="Normal 3 3 12 3 10" xfId="11288" xr:uid="{00000000-0005-0000-0000-000070490000}"/>
    <cellStyle name="Normal 3 3 12 3 10 2" xfId="28819" xr:uid="{00000000-0005-0000-0000-000071490000}"/>
    <cellStyle name="Normal 3 3 12 3 11" xfId="11289" xr:uid="{00000000-0005-0000-0000-000072490000}"/>
    <cellStyle name="Normal 3 3 12 3 11 2" xfId="28820" xr:uid="{00000000-0005-0000-0000-000073490000}"/>
    <cellStyle name="Normal 3 3 12 3 12" xfId="11290" xr:uid="{00000000-0005-0000-0000-000074490000}"/>
    <cellStyle name="Normal 3 3 12 3 12 2" xfId="28821" xr:uid="{00000000-0005-0000-0000-000075490000}"/>
    <cellStyle name="Normal 3 3 12 3 13" xfId="11291" xr:uid="{00000000-0005-0000-0000-000076490000}"/>
    <cellStyle name="Normal 3 3 12 3 13 2" xfId="28822" xr:uid="{00000000-0005-0000-0000-000077490000}"/>
    <cellStyle name="Normal 3 3 12 3 14" xfId="11292" xr:uid="{00000000-0005-0000-0000-000078490000}"/>
    <cellStyle name="Normal 3 3 12 3 14 2" xfId="28823" xr:uid="{00000000-0005-0000-0000-000079490000}"/>
    <cellStyle name="Normal 3 3 12 3 15" xfId="11293" xr:uid="{00000000-0005-0000-0000-00007A490000}"/>
    <cellStyle name="Normal 3 3 12 3 15 2" xfId="28824" xr:uid="{00000000-0005-0000-0000-00007B490000}"/>
    <cellStyle name="Normal 3 3 12 3 16" xfId="28818" xr:uid="{00000000-0005-0000-0000-00007C490000}"/>
    <cellStyle name="Normal 3 3 12 3 2" xfId="11294" xr:uid="{00000000-0005-0000-0000-00007D490000}"/>
    <cellStyle name="Normal 3 3 12 3 2 10" xfId="11295" xr:uid="{00000000-0005-0000-0000-00007E490000}"/>
    <cellStyle name="Normal 3 3 12 3 2 10 2" xfId="28826" xr:uid="{00000000-0005-0000-0000-00007F490000}"/>
    <cellStyle name="Normal 3 3 12 3 2 11" xfId="11296" xr:uid="{00000000-0005-0000-0000-000080490000}"/>
    <cellStyle name="Normal 3 3 12 3 2 11 2" xfId="28827" xr:uid="{00000000-0005-0000-0000-000081490000}"/>
    <cellStyle name="Normal 3 3 12 3 2 12" xfId="11297" xr:uid="{00000000-0005-0000-0000-000082490000}"/>
    <cellStyle name="Normal 3 3 12 3 2 12 2" xfId="28828" xr:uid="{00000000-0005-0000-0000-000083490000}"/>
    <cellStyle name="Normal 3 3 12 3 2 13" xfId="11298" xr:uid="{00000000-0005-0000-0000-000084490000}"/>
    <cellStyle name="Normal 3 3 12 3 2 13 2" xfId="28829" xr:uid="{00000000-0005-0000-0000-000085490000}"/>
    <cellStyle name="Normal 3 3 12 3 2 14" xfId="11299" xr:uid="{00000000-0005-0000-0000-000086490000}"/>
    <cellStyle name="Normal 3 3 12 3 2 14 2" xfId="28830" xr:uid="{00000000-0005-0000-0000-000087490000}"/>
    <cellStyle name="Normal 3 3 12 3 2 15" xfId="28825" xr:uid="{00000000-0005-0000-0000-000088490000}"/>
    <cellStyle name="Normal 3 3 12 3 2 2" xfId="11300" xr:uid="{00000000-0005-0000-0000-000089490000}"/>
    <cellStyle name="Normal 3 3 12 3 2 2 2" xfId="28831" xr:uid="{00000000-0005-0000-0000-00008A490000}"/>
    <cellStyle name="Normal 3 3 12 3 2 3" xfId="11301" xr:uid="{00000000-0005-0000-0000-00008B490000}"/>
    <cellStyle name="Normal 3 3 12 3 2 3 2" xfId="28832" xr:uid="{00000000-0005-0000-0000-00008C490000}"/>
    <cellStyle name="Normal 3 3 12 3 2 4" xfId="11302" xr:uid="{00000000-0005-0000-0000-00008D490000}"/>
    <cellStyle name="Normal 3 3 12 3 2 4 2" xfId="28833" xr:uid="{00000000-0005-0000-0000-00008E490000}"/>
    <cellStyle name="Normal 3 3 12 3 2 5" xfId="11303" xr:uid="{00000000-0005-0000-0000-00008F490000}"/>
    <cellStyle name="Normal 3 3 12 3 2 5 2" xfId="28834" xr:uid="{00000000-0005-0000-0000-000090490000}"/>
    <cellStyle name="Normal 3 3 12 3 2 6" xfId="11304" xr:uid="{00000000-0005-0000-0000-000091490000}"/>
    <cellStyle name="Normal 3 3 12 3 2 6 2" xfId="28835" xr:uid="{00000000-0005-0000-0000-000092490000}"/>
    <cellStyle name="Normal 3 3 12 3 2 7" xfId="11305" xr:uid="{00000000-0005-0000-0000-000093490000}"/>
    <cellStyle name="Normal 3 3 12 3 2 7 2" xfId="28836" xr:uid="{00000000-0005-0000-0000-000094490000}"/>
    <cellStyle name="Normal 3 3 12 3 2 8" xfId="11306" xr:uid="{00000000-0005-0000-0000-000095490000}"/>
    <cellStyle name="Normal 3 3 12 3 2 8 2" xfId="28837" xr:uid="{00000000-0005-0000-0000-000096490000}"/>
    <cellStyle name="Normal 3 3 12 3 2 9" xfId="11307" xr:uid="{00000000-0005-0000-0000-000097490000}"/>
    <cellStyle name="Normal 3 3 12 3 2 9 2" xfId="28838" xr:uid="{00000000-0005-0000-0000-000098490000}"/>
    <cellStyle name="Normal 3 3 12 3 3" xfId="11308" xr:uid="{00000000-0005-0000-0000-000099490000}"/>
    <cellStyle name="Normal 3 3 12 3 3 2" xfId="28839" xr:uid="{00000000-0005-0000-0000-00009A490000}"/>
    <cellStyle name="Normal 3 3 12 3 4" xfId="11309" xr:uid="{00000000-0005-0000-0000-00009B490000}"/>
    <cellStyle name="Normal 3 3 12 3 4 2" xfId="28840" xr:uid="{00000000-0005-0000-0000-00009C490000}"/>
    <cellStyle name="Normal 3 3 12 3 5" xfId="11310" xr:uid="{00000000-0005-0000-0000-00009D490000}"/>
    <cellStyle name="Normal 3 3 12 3 5 2" xfId="28841" xr:uid="{00000000-0005-0000-0000-00009E490000}"/>
    <cellStyle name="Normal 3 3 12 3 6" xfId="11311" xr:uid="{00000000-0005-0000-0000-00009F490000}"/>
    <cellStyle name="Normal 3 3 12 3 6 2" xfId="28842" xr:uid="{00000000-0005-0000-0000-0000A0490000}"/>
    <cellStyle name="Normal 3 3 12 3 7" xfId="11312" xr:uid="{00000000-0005-0000-0000-0000A1490000}"/>
    <cellStyle name="Normal 3 3 12 3 7 2" xfId="28843" xr:uid="{00000000-0005-0000-0000-0000A2490000}"/>
    <cellStyle name="Normal 3 3 12 3 8" xfId="11313" xr:uid="{00000000-0005-0000-0000-0000A3490000}"/>
    <cellStyle name="Normal 3 3 12 3 8 2" xfId="28844" xr:uid="{00000000-0005-0000-0000-0000A4490000}"/>
    <cellStyle name="Normal 3 3 12 3 9" xfId="11314" xr:uid="{00000000-0005-0000-0000-0000A5490000}"/>
    <cellStyle name="Normal 3 3 12 3 9 2" xfId="28845" xr:uid="{00000000-0005-0000-0000-0000A6490000}"/>
    <cellStyle name="Normal 3 3 12 4" xfId="11315" xr:uid="{00000000-0005-0000-0000-0000A7490000}"/>
    <cellStyle name="Normal 3 3 12 4 10" xfId="11316" xr:uid="{00000000-0005-0000-0000-0000A8490000}"/>
    <cellStyle name="Normal 3 3 12 4 10 2" xfId="28847" xr:uid="{00000000-0005-0000-0000-0000A9490000}"/>
    <cellStyle name="Normal 3 3 12 4 11" xfId="11317" xr:uid="{00000000-0005-0000-0000-0000AA490000}"/>
    <cellStyle name="Normal 3 3 12 4 11 2" xfId="28848" xr:uid="{00000000-0005-0000-0000-0000AB490000}"/>
    <cellStyle name="Normal 3 3 12 4 12" xfId="11318" xr:uid="{00000000-0005-0000-0000-0000AC490000}"/>
    <cellStyle name="Normal 3 3 12 4 12 2" xfId="28849" xr:uid="{00000000-0005-0000-0000-0000AD490000}"/>
    <cellStyle name="Normal 3 3 12 4 13" xfId="11319" xr:uid="{00000000-0005-0000-0000-0000AE490000}"/>
    <cellStyle name="Normal 3 3 12 4 13 2" xfId="28850" xr:uid="{00000000-0005-0000-0000-0000AF490000}"/>
    <cellStyle name="Normal 3 3 12 4 14" xfId="11320" xr:uid="{00000000-0005-0000-0000-0000B0490000}"/>
    <cellStyle name="Normal 3 3 12 4 14 2" xfId="28851" xr:uid="{00000000-0005-0000-0000-0000B1490000}"/>
    <cellStyle name="Normal 3 3 12 4 15" xfId="11321" xr:uid="{00000000-0005-0000-0000-0000B2490000}"/>
    <cellStyle name="Normal 3 3 12 4 15 2" xfId="28852" xr:uid="{00000000-0005-0000-0000-0000B3490000}"/>
    <cellStyle name="Normal 3 3 12 4 16" xfId="28846" xr:uid="{00000000-0005-0000-0000-0000B4490000}"/>
    <cellStyle name="Normal 3 3 12 4 2" xfId="11322" xr:uid="{00000000-0005-0000-0000-0000B5490000}"/>
    <cellStyle name="Normal 3 3 12 4 2 10" xfId="11323" xr:uid="{00000000-0005-0000-0000-0000B6490000}"/>
    <cellStyle name="Normal 3 3 12 4 2 10 2" xfId="28854" xr:uid="{00000000-0005-0000-0000-0000B7490000}"/>
    <cellStyle name="Normal 3 3 12 4 2 11" xfId="11324" xr:uid="{00000000-0005-0000-0000-0000B8490000}"/>
    <cellStyle name="Normal 3 3 12 4 2 11 2" xfId="28855" xr:uid="{00000000-0005-0000-0000-0000B9490000}"/>
    <cellStyle name="Normal 3 3 12 4 2 12" xfId="11325" xr:uid="{00000000-0005-0000-0000-0000BA490000}"/>
    <cellStyle name="Normal 3 3 12 4 2 12 2" xfId="28856" xr:uid="{00000000-0005-0000-0000-0000BB490000}"/>
    <cellStyle name="Normal 3 3 12 4 2 13" xfId="11326" xr:uid="{00000000-0005-0000-0000-0000BC490000}"/>
    <cellStyle name="Normal 3 3 12 4 2 13 2" xfId="28857" xr:uid="{00000000-0005-0000-0000-0000BD490000}"/>
    <cellStyle name="Normal 3 3 12 4 2 14" xfId="11327" xr:uid="{00000000-0005-0000-0000-0000BE490000}"/>
    <cellStyle name="Normal 3 3 12 4 2 14 2" xfId="28858" xr:uid="{00000000-0005-0000-0000-0000BF490000}"/>
    <cellStyle name="Normal 3 3 12 4 2 15" xfId="28853" xr:uid="{00000000-0005-0000-0000-0000C0490000}"/>
    <cellStyle name="Normal 3 3 12 4 2 2" xfId="11328" xr:uid="{00000000-0005-0000-0000-0000C1490000}"/>
    <cellStyle name="Normal 3 3 12 4 2 2 2" xfId="28859" xr:uid="{00000000-0005-0000-0000-0000C2490000}"/>
    <cellStyle name="Normal 3 3 12 4 2 3" xfId="11329" xr:uid="{00000000-0005-0000-0000-0000C3490000}"/>
    <cellStyle name="Normal 3 3 12 4 2 3 2" xfId="28860" xr:uid="{00000000-0005-0000-0000-0000C4490000}"/>
    <cellStyle name="Normal 3 3 12 4 2 4" xfId="11330" xr:uid="{00000000-0005-0000-0000-0000C5490000}"/>
    <cellStyle name="Normal 3 3 12 4 2 4 2" xfId="28861" xr:uid="{00000000-0005-0000-0000-0000C6490000}"/>
    <cellStyle name="Normal 3 3 12 4 2 5" xfId="11331" xr:uid="{00000000-0005-0000-0000-0000C7490000}"/>
    <cellStyle name="Normal 3 3 12 4 2 5 2" xfId="28862" xr:uid="{00000000-0005-0000-0000-0000C8490000}"/>
    <cellStyle name="Normal 3 3 12 4 2 6" xfId="11332" xr:uid="{00000000-0005-0000-0000-0000C9490000}"/>
    <cellStyle name="Normal 3 3 12 4 2 6 2" xfId="28863" xr:uid="{00000000-0005-0000-0000-0000CA490000}"/>
    <cellStyle name="Normal 3 3 12 4 2 7" xfId="11333" xr:uid="{00000000-0005-0000-0000-0000CB490000}"/>
    <cellStyle name="Normal 3 3 12 4 2 7 2" xfId="28864" xr:uid="{00000000-0005-0000-0000-0000CC490000}"/>
    <cellStyle name="Normal 3 3 12 4 2 8" xfId="11334" xr:uid="{00000000-0005-0000-0000-0000CD490000}"/>
    <cellStyle name="Normal 3 3 12 4 2 8 2" xfId="28865" xr:uid="{00000000-0005-0000-0000-0000CE490000}"/>
    <cellStyle name="Normal 3 3 12 4 2 9" xfId="11335" xr:uid="{00000000-0005-0000-0000-0000CF490000}"/>
    <cellStyle name="Normal 3 3 12 4 2 9 2" xfId="28866" xr:uid="{00000000-0005-0000-0000-0000D0490000}"/>
    <cellStyle name="Normal 3 3 12 4 3" xfId="11336" xr:uid="{00000000-0005-0000-0000-0000D1490000}"/>
    <cellStyle name="Normal 3 3 12 4 3 2" xfId="28867" xr:uid="{00000000-0005-0000-0000-0000D2490000}"/>
    <cellStyle name="Normal 3 3 12 4 4" xfId="11337" xr:uid="{00000000-0005-0000-0000-0000D3490000}"/>
    <cellStyle name="Normal 3 3 12 4 4 2" xfId="28868" xr:uid="{00000000-0005-0000-0000-0000D4490000}"/>
    <cellStyle name="Normal 3 3 12 4 5" xfId="11338" xr:uid="{00000000-0005-0000-0000-0000D5490000}"/>
    <cellStyle name="Normal 3 3 12 4 5 2" xfId="28869" xr:uid="{00000000-0005-0000-0000-0000D6490000}"/>
    <cellStyle name="Normal 3 3 12 4 6" xfId="11339" xr:uid="{00000000-0005-0000-0000-0000D7490000}"/>
    <cellStyle name="Normal 3 3 12 4 6 2" xfId="28870" xr:uid="{00000000-0005-0000-0000-0000D8490000}"/>
    <cellStyle name="Normal 3 3 12 4 7" xfId="11340" xr:uid="{00000000-0005-0000-0000-0000D9490000}"/>
    <cellStyle name="Normal 3 3 12 4 7 2" xfId="28871" xr:uid="{00000000-0005-0000-0000-0000DA490000}"/>
    <cellStyle name="Normal 3 3 12 4 8" xfId="11341" xr:uid="{00000000-0005-0000-0000-0000DB490000}"/>
    <cellStyle name="Normal 3 3 12 4 8 2" xfId="28872" xr:uid="{00000000-0005-0000-0000-0000DC490000}"/>
    <cellStyle name="Normal 3 3 12 4 9" xfId="11342" xr:uid="{00000000-0005-0000-0000-0000DD490000}"/>
    <cellStyle name="Normal 3 3 12 4 9 2" xfId="28873" xr:uid="{00000000-0005-0000-0000-0000DE490000}"/>
    <cellStyle name="Normal 3 3 12 5" xfId="11343" xr:uid="{00000000-0005-0000-0000-0000DF490000}"/>
    <cellStyle name="Normal 3 3 12 5 10" xfId="11344" xr:uid="{00000000-0005-0000-0000-0000E0490000}"/>
    <cellStyle name="Normal 3 3 12 5 10 2" xfId="28875" xr:uid="{00000000-0005-0000-0000-0000E1490000}"/>
    <cellStyle name="Normal 3 3 12 5 11" xfId="11345" xr:uid="{00000000-0005-0000-0000-0000E2490000}"/>
    <cellStyle name="Normal 3 3 12 5 11 2" xfId="28876" xr:uid="{00000000-0005-0000-0000-0000E3490000}"/>
    <cellStyle name="Normal 3 3 12 5 12" xfId="11346" xr:uid="{00000000-0005-0000-0000-0000E4490000}"/>
    <cellStyle name="Normal 3 3 12 5 12 2" xfId="28877" xr:uid="{00000000-0005-0000-0000-0000E5490000}"/>
    <cellStyle name="Normal 3 3 12 5 13" xfId="11347" xr:uid="{00000000-0005-0000-0000-0000E6490000}"/>
    <cellStyle name="Normal 3 3 12 5 13 2" xfId="28878" xr:uid="{00000000-0005-0000-0000-0000E7490000}"/>
    <cellStyle name="Normal 3 3 12 5 14" xfId="11348" xr:uid="{00000000-0005-0000-0000-0000E8490000}"/>
    <cellStyle name="Normal 3 3 12 5 14 2" xfId="28879" xr:uid="{00000000-0005-0000-0000-0000E9490000}"/>
    <cellStyle name="Normal 3 3 12 5 15" xfId="28874" xr:uid="{00000000-0005-0000-0000-0000EA490000}"/>
    <cellStyle name="Normal 3 3 12 5 2" xfId="11349" xr:uid="{00000000-0005-0000-0000-0000EB490000}"/>
    <cellStyle name="Normal 3 3 12 5 2 2" xfId="28880" xr:uid="{00000000-0005-0000-0000-0000EC490000}"/>
    <cellStyle name="Normal 3 3 12 5 3" xfId="11350" xr:uid="{00000000-0005-0000-0000-0000ED490000}"/>
    <cellStyle name="Normal 3 3 12 5 3 2" xfId="28881" xr:uid="{00000000-0005-0000-0000-0000EE490000}"/>
    <cellStyle name="Normal 3 3 12 5 4" xfId="11351" xr:uid="{00000000-0005-0000-0000-0000EF490000}"/>
    <cellStyle name="Normal 3 3 12 5 4 2" xfId="28882" xr:uid="{00000000-0005-0000-0000-0000F0490000}"/>
    <cellStyle name="Normal 3 3 12 5 5" xfId="11352" xr:uid="{00000000-0005-0000-0000-0000F1490000}"/>
    <cellStyle name="Normal 3 3 12 5 5 2" xfId="28883" xr:uid="{00000000-0005-0000-0000-0000F2490000}"/>
    <cellStyle name="Normal 3 3 12 5 6" xfId="11353" xr:uid="{00000000-0005-0000-0000-0000F3490000}"/>
    <cellStyle name="Normal 3 3 12 5 6 2" xfId="28884" xr:uid="{00000000-0005-0000-0000-0000F4490000}"/>
    <cellStyle name="Normal 3 3 12 5 7" xfId="11354" xr:uid="{00000000-0005-0000-0000-0000F5490000}"/>
    <cellStyle name="Normal 3 3 12 5 7 2" xfId="28885" xr:uid="{00000000-0005-0000-0000-0000F6490000}"/>
    <cellStyle name="Normal 3 3 12 5 8" xfId="11355" xr:uid="{00000000-0005-0000-0000-0000F7490000}"/>
    <cellStyle name="Normal 3 3 12 5 8 2" xfId="28886" xr:uid="{00000000-0005-0000-0000-0000F8490000}"/>
    <cellStyle name="Normal 3 3 12 5 9" xfId="11356" xr:uid="{00000000-0005-0000-0000-0000F9490000}"/>
    <cellStyle name="Normal 3 3 12 5 9 2" xfId="28887" xr:uid="{00000000-0005-0000-0000-0000FA490000}"/>
    <cellStyle name="Normal 3 3 12 6" xfId="11357" xr:uid="{00000000-0005-0000-0000-0000FB490000}"/>
    <cellStyle name="Normal 3 3 12 6 10" xfId="11358" xr:uid="{00000000-0005-0000-0000-0000FC490000}"/>
    <cellStyle name="Normal 3 3 12 6 10 2" xfId="28889" xr:uid="{00000000-0005-0000-0000-0000FD490000}"/>
    <cellStyle name="Normal 3 3 12 6 11" xfId="11359" xr:uid="{00000000-0005-0000-0000-0000FE490000}"/>
    <cellStyle name="Normal 3 3 12 6 11 2" xfId="28890" xr:uid="{00000000-0005-0000-0000-0000FF490000}"/>
    <cellStyle name="Normal 3 3 12 6 12" xfId="11360" xr:uid="{00000000-0005-0000-0000-0000004A0000}"/>
    <cellStyle name="Normal 3 3 12 6 12 2" xfId="28891" xr:uid="{00000000-0005-0000-0000-0000014A0000}"/>
    <cellStyle name="Normal 3 3 12 6 13" xfId="11361" xr:uid="{00000000-0005-0000-0000-0000024A0000}"/>
    <cellStyle name="Normal 3 3 12 6 13 2" xfId="28892" xr:uid="{00000000-0005-0000-0000-0000034A0000}"/>
    <cellStyle name="Normal 3 3 12 6 14" xfId="11362" xr:uid="{00000000-0005-0000-0000-0000044A0000}"/>
    <cellStyle name="Normal 3 3 12 6 14 2" xfId="28893" xr:uid="{00000000-0005-0000-0000-0000054A0000}"/>
    <cellStyle name="Normal 3 3 12 6 15" xfId="28888" xr:uid="{00000000-0005-0000-0000-0000064A0000}"/>
    <cellStyle name="Normal 3 3 12 6 2" xfId="11363" xr:uid="{00000000-0005-0000-0000-0000074A0000}"/>
    <cellStyle name="Normal 3 3 12 6 2 2" xfId="28894" xr:uid="{00000000-0005-0000-0000-0000084A0000}"/>
    <cellStyle name="Normal 3 3 12 6 3" xfId="11364" xr:uid="{00000000-0005-0000-0000-0000094A0000}"/>
    <cellStyle name="Normal 3 3 12 6 3 2" xfId="28895" xr:uid="{00000000-0005-0000-0000-00000A4A0000}"/>
    <cellStyle name="Normal 3 3 12 6 4" xfId="11365" xr:uid="{00000000-0005-0000-0000-00000B4A0000}"/>
    <cellStyle name="Normal 3 3 12 6 4 2" xfId="28896" xr:uid="{00000000-0005-0000-0000-00000C4A0000}"/>
    <cellStyle name="Normal 3 3 12 6 5" xfId="11366" xr:uid="{00000000-0005-0000-0000-00000D4A0000}"/>
    <cellStyle name="Normal 3 3 12 6 5 2" xfId="28897" xr:uid="{00000000-0005-0000-0000-00000E4A0000}"/>
    <cellStyle name="Normal 3 3 12 6 6" xfId="11367" xr:uid="{00000000-0005-0000-0000-00000F4A0000}"/>
    <cellStyle name="Normal 3 3 12 6 6 2" xfId="28898" xr:uid="{00000000-0005-0000-0000-0000104A0000}"/>
    <cellStyle name="Normal 3 3 12 6 7" xfId="11368" xr:uid="{00000000-0005-0000-0000-0000114A0000}"/>
    <cellStyle name="Normal 3 3 12 6 7 2" xfId="28899" xr:uid="{00000000-0005-0000-0000-0000124A0000}"/>
    <cellStyle name="Normal 3 3 12 6 8" xfId="11369" xr:uid="{00000000-0005-0000-0000-0000134A0000}"/>
    <cellStyle name="Normal 3 3 12 6 8 2" xfId="28900" xr:uid="{00000000-0005-0000-0000-0000144A0000}"/>
    <cellStyle name="Normal 3 3 12 6 9" xfId="11370" xr:uid="{00000000-0005-0000-0000-0000154A0000}"/>
    <cellStyle name="Normal 3 3 12 6 9 2" xfId="28901" xr:uid="{00000000-0005-0000-0000-0000164A0000}"/>
    <cellStyle name="Normal 3 3 12 7" xfId="11371" xr:uid="{00000000-0005-0000-0000-0000174A0000}"/>
    <cellStyle name="Normal 3 3 12 7 10" xfId="11372" xr:uid="{00000000-0005-0000-0000-0000184A0000}"/>
    <cellStyle name="Normal 3 3 12 7 10 2" xfId="28903" xr:uid="{00000000-0005-0000-0000-0000194A0000}"/>
    <cellStyle name="Normal 3 3 12 7 11" xfId="11373" xr:uid="{00000000-0005-0000-0000-00001A4A0000}"/>
    <cellStyle name="Normal 3 3 12 7 11 2" xfId="28904" xr:uid="{00000000-0005-0000-0000-00001B4A0000}"/>
    <cellStyle name="Normal 3 3 12 7 12" xfId="11374" xr:uid="{00000000-0005-0000-0000-00001C4A0000}"/>
    <cellStyle name="Normal 3 3 12 7 12 2" xfId="28905" xr:uid="{00000000-0005-0000-0000-00001D4A0000}"/>
    <cellStyle name="Normal 3 3 12 7 13" xfId="11375" xr:uid="{00000000-0005-0000-0000-00001E4A0000}"/>
    <cellStyle name="Normal 3 3 12 7 13 2" xfId="28906" xr:uid="{00000000-0005-0000-0000-00001F4A0000}"/>
    <cellStyle name="Normal 3 3 12 7 14" xfId="11376" xr:uid="{00000000-0005-0000-0000-0000204A0000}"/>
    <cellStyle name="Normal 3 3 12 7 14 2" xfId="28907" xr:uid="{00000000-0005-0000-0000-0000214A0000}"/>
    <cellStyle name="Normal 3 3 12 7 15" xfId="28902" xr:uid="{00000000-0005-0000-0000-0000224A0000}"/>
    <cellStyle name="Normal 3 3 12 7 2" xfId="11377" xr:uid="{00000000-0005-0000-0000-0000234A0000}"/>
    <cellStyle name="Normal 3 3 12 7 2 2" xfId="28908" xr:uid="{00000000-0005-0000-0000-0000244A0000}"/>
    <cellStyle name="Normal 3 3 12 7 3" xfId="11378" xr:uid="{00000000-0005-0000-0000-0000254A0000}"/>
    <cellStyle name="Normal 3 3 12 7 3 2" xfId="28909" xr:uid="{00000000-0005-0000-0000-0000264A0000}"/>
    <cellStyle name="Normal 3 3 12 7 4" xfId="11379" xr:uid="{00000000-0005-0000-0000-0000274A0000}"/>
    <cellStyle name="Normal 3 3 12 7 4 2" xfId="28910" xr:uid="{00000000-0005-0000-0000-0000284A0000}"/>
    <cellStyle name="Normal 3 3 12 7 5" xfId="11380" xr:uid="{00000000-0005-0000-0000-0000294A0000}"/>
    <cellStyle name="Normal 3 3 12 7 5 2" xfId="28911" xr:uid="{00000000-0005-0000-0000-00002A4A0000}"/>
    <cellStyle name="Normal 3 3 12 7 6" xfId="11381" xr:uid="{00000000-0005-0000-0000-00002B4A0000}"/>
    <cellStyle name="Normal 3 3 12 7 6 2" xfId="28912" xr:uid="{00000000-0005-0000-0000-00002C4A0000}"/>
    <cellStyle name="Normal 3 3 12 7 7" xfId="11382" xr:uid="{00000000-0005-0000-0000-00002D4A0000}"/>
    <cellStyle name="Normal 3 3 12 7 7 2" xfId="28913" xr:uid="{00000000-0005-0000-0000-00002E4A0000}"/>
    <cellStyle name="Normal 3 3 12 7 8" xfId="11383" xr:uid="{00000000-0005-0000-0000-00002F4A0000}"/>
    <cellStyle name="Normal 3 3 12 7 8 2" xfId="28914" xr:uid="{00000000-0005-0000-0000-0000304A0000}"/>
    <cellStyle name="Normal 3 3 12 7 9" xfId="11384" xr:uid="{00000000-0005-0000-0000-0000314A0000}"/>
    <cellStyle name="Normal 3 3 12 7 9 2" xfId="28915" xr:uid="{00000000-0005-0000-0000-0000324A0000}"/>
    <cellStyle name="Normal 3 3 12 8" xfId="11385" xr:uid="{00000000-0005-0000-0000-0000334A0000}"/>
    <cellStyle name="Normal 3 3 12 8 10" xfId="11386" xr:uid="{00000000-0005-0000-0000-0000344A0000}"/>
    <cellStyle name="Normal 3 3 12 8 10 2" xfId="28917" xr:uid="{00000000-0005-0000-0000-0000354A0000}"/>
    <cellStyle name="Normal 3 3 12 8 11" xfId="11387" xr:uid="{00000000-0005-0000-0000-0000364A0000}"/>
    <cellStyle name="Normal 3 3 12 8 11 2" xfId="28918" xr:uid="{00000000-0005-0000-0000-0000374A0000}"/>
    <cellStyle name="Normal 3 3 12 8 12" xfId="11388" xr:uid="{00000000-0005-0000-0000-0000384A0000}"/>
    <cellStyle name="Normal 3 3 12 8 12 2" xfId="28919" xr:uid="{00000000-0005-0000-0000-0000394A0000}"/>
    <cellStyle name="Normal 3 3 12 8 13" xfId="11389" xr:uid="{00000000-0005-0000-0000-00003A4A0000}"/>
    <cellStyle name="Normal 3 3 12 8 13 2" xfId="28920" xr:uid="{00000000-0005-0000-0000-00003B4A0000}"/>
    <cellStyle name="Normal 3 3 12 8 14" xfId="11390" xr:uid="{00000000-0005-0000-0000-00003C4A0000}"/>
    <cellStyle name="Normal 3 3 12 8 14 2" xfId="28921" xr:uid="{00000000-0005-0000-0000-00003D4A0000}"/>
    <cellStyle name="Normal 3 3 12 8 15" xfId="28916" xr:uid="{00000000-0005-0000-0000-00003E4A0000}"/>
    <cellStyle name="Normal 3 3 12 8 2" xfId="11391" xr:uid="{00000000-0005-0000-0000-00003F4A0000}"/>
    <cellStyle name="Normal 3 3 12 8 2 2" xfId="28922" xr:uid="{00000000-0005-0000-0000-0000404A0000}"/>
    <cellStyle name="Normal 3 3 12 8 3" xfId="11392" xr:uid="{00000000-0005-0000-0000-0000414A0000}"/>
    <cellStyle name="Normal 3 3 12 8 3 2" xfId="28923" xr:uid="{00000000-0005-0000-0000-0000424A0000}"/>
    <cellStyle name="Normal 3 3 12 8 4" xfId="11393" xr:uid="{00000000-0005-0000-0000-0000434A0000}"/>
    <cellStyle name="Normal 3 3 12 8 4 2" xfId="28924" xr:uid="{00000000-0005-0000-0000-0000444A0000}"/>
    <cellStyle name="Normal 3 3 12 8 5" xfId="11394" xr:uid="{00000000-0005-0000-0000-0000454A0000}"/>
    <cellStyle name="Normal 3 3 12 8 5 2" xfId="28925" xr:uid="{00000000-0005-0000-0000-0000464A0000}"/>
    <cellStyle name="Normal 3 3 12 8 6" xfId="11395" xr:uid="{00000000-0005-0000-0000-0000474A0000}"/>
    <cellStyle name="Normal 3 3 12 8 6 2" xfId="28926" xr:uid="{00000000-0005-0000-0000-0000484A0000}"/>
    <cellStyle name="Normal 3 3 12 8 7" xfId="11396" xr:uid="{00000000-0005-0000-0000-0000494A0000}"/>
    <cellStyle name="Normal 3 3 12 8 7 2" xfId="28927" xr:uid="{00000000-0005-0000-0000-00004A4A0000}"/>
    <cellStyle name="Normal 3 3 12 8 8" xfId="11397" xr:uid="{00000000-0005-0000-0000-00004B4A0000}"/>
    <cellStyle name="Normal 3 3 12 8 8 2" xfId="28928" xr:uid="{00000000-0005-0000-0000-00004C4A0000}"/>
    <cellStyle name="Normal 3 3 12 8 9" xfId="11398" xr:uid="{00000000-0005-0000-0000-00004D4A0000}"/>
    <cellStyle name="Normal 3 3 12 8 9 2" xfId="28929" xr:uid="{00000000-0005-0000-0000-00004E4A0000}"/>
    <cellStyle name="Normal 3 3 12 9" xfId="11399" xr:uid="{00000000-0005-0000-0000-00004F4A0000}"/>
    <cellStyle name="Normal 3 3 12 9 10" xfId="11400" xr:uid="{00000000-0005-0000-0000-0000504A0000}"/>
    <cellStyle name="Normal 3 3 12 9 10 2" xfId="28931" xr:uid="{00000000-0005-0000-0000-0000514A0000}"/>
    <cellStyle name="Normal 3 3 12 9 11" xfId="11401" xr:uid="{00000000-0005-0000-0000-0000524A0000}"/>
    <cellStyle name="Normal 3 3 12 9 11 2" xfId="28932" xr:uid="{00000000-0005-0000-0000-0000534A0000}"/>
    <cellStyle name="Normal 3 3 12 9 12" xfId="11402" xr:uid="{00000000-0005-0000-0000-0000544A0000}"/>
    <cellStyle name="Normal 3 3 12 9 12 2" xfId="28933" xr:uid="{00000000-0005-0000-0000-0000554A0000}"/>
    <cellStyle name="Normal 3 3 12 9 13" xfId="11403" xr:uid="{00000000-0005-0000-0000-0000564A0000}"/>
    <cellStyle name="Normal 3 3 12 9 13 2" xfId="28934" xr:uid="{00000000-0005-0000-0000-0000574A0000}"/>
    <cellStyle name="Normal 3 3 12 9 14" xfId="11404" xr:uid="{00000000-0005-0000-0000-0000584A0000}"/>
    <cellStyle name="Normal 3 3 12 9 14 2" xfId="28935" xr:uid="{00000000-0005-0000-0000-0000594A0000}"/>
    <cellStyle name="Normal 3 3 12 9 15" xfId="28930" xr:uid="{00000000-0005-0000-0000-00005A4A0000}"/>
    <cellStyle name="Normal 3 3 12 9 2" xfId="11405" xr:uid="{00000000-0005-0000-0000-00005B4A0000}"/>
    <cellStyle name="Normal 3 3 12 9 2 2" xfId="28936" xr:uid="{00000000-0005-0000-0000-00005C4A0000}"/>
    <cellStyle name="Normal 3 3 12 9 3" xfId="11406" xr:uid="{00000000-0005-0000-0000-00005D4A0000}"/>
    <cellStyle name="Normal 3 3 12 9 3 2" xfId="28937" xr:uid="{00000000-0005-0000-0000-00005E4A0000}"/>
    <cellStyle name="Normal 3 3 12 9 4" xfId="11407" xr:uid="{00000000-0005-0000-0000-00005F4A0000}"/>
    <cellStyle name="Normal 3 3 12 9 4 2" xfId="28938" xr:uid="{00000000-0005-0000-0000-0000604A0000}"/>
    <cellStyle name="Normal 3 3 12 9 5" xfId="11408" xr:uid="{00000000-0005-0000-0000-0000614A0000}"/>
    <cellStyle name="Normal 3 3 12 9 5 2" xfId="28939" xr:uid="{00000000-0005-0000-0000-0000624A0000}"/>
    <cellStyle name="Normal 3 3 12 9 6" xfId="11409" xr:uid="{00000000-0005-0000-0000-0000634A0000}"/>
    <cellStyle name="Normal 3 3 12 9 6 2" xfId="28940" xr:uid="{00000000-0005-0000-0000-0000644A0000}"/>
    <cellStyle name="Normal 3 3 12 9 7" xfId="11410" xr:uid="{00000000-0005-0000-0000-0000654A0000}"/>
    <cellStyle name="Normal 3 3 12 9 7 2" xfId="28941" xr:uid="{00000000-0005-0000-0000-0000664A0000}"/>
    <cellStyle name="Normal 3 3 12 9 8" xfId="11411" xr:uid="{00000000-0005-0000-0000-0000674A0000}"/>
    <cellStyle name="Normal 3 3 12 9 8 2" xfId="28942" xr:uid="{00000000-0005-0000-0000-0000684A0000}"/>
    <cellStyle name="Normal 3 3 12 9 9" xfId="11412" xr:uid="{00000000-0005-0000-0000-0000694A0000}"/>
    <cellStyle name="Normal 3 3 12 9 9 2" xfId="28943" xr:uid="{00000000-0005-0000-0000-00006A4A0000}"/>
    <cellStyle name="Normal 3 3 13" xfId="11413" xr:uid="{00000000-0005-0000-0000-00006B4A0000}"/>
    <cellStyle name="Normal 3 3 13 10" xfId="11414" xr:uid="{00000000-0005-0000-0000-00006C4A0000}"/>
    <cellStyle name="Normal 3 3 13 10 10" xfId="11415" xr:uid="{00000000-0005-0000-0000-00006D4A0000}"/>
    <cellStyle name="Normal 3 3 13 10 10 2" xfId="28946" xr:uid="{00000000-0005-0000-0000-00006E4A0000}"/>
    <cellStyle name="Normal 3 3 13 10 11" xfId="11416" xr:uid="{00000000-0005-0000-0000-00006F4A0000}"/>
    <cellStyle name="Normal 3 3 13 10 11 2" xfId="28947" xr:uid="{00000000-0005-0000-0000-0000704A0000}"/>
    <cellStyle name="Normal 3 3 13 10 12" xfId="11417" xr:uid="{00000000-0005-0000-0000-0000714A0000}"/>
    <cellStyle name="Normal 3 3 13 10 12 2" xfId="28948" xr:uid="{00000000-0005-0000-0000-0000724A0000}"/>
    <cellStyle name="Normal 3 3 13 10 13" xfId="11418" xr:uid="{00000000-0005-0000-0000-0000734A0000}"/>
    <cellStyle name="Normal 3 3 13 10 13 2" xfId="28949" xr:uid="{00000000-0005-0000-0000-0000744A0000}"/>
    <cellStyle name="Normal 3 3 13 10 14" xfId="11419" xr:uid="{00000000-0005-0000-0000-0000754A0000}"/>
    <cellStyle name="Normal 3 3 13 10 14 2" xfId="28950" xr:uid="{00000000-0005-0000-0000-0000764A0000}"/>
    <cellStyle name="Normal 3 3 13 10 15" xfId="28945" xr:uid="{00000000-0005-0000-0000-0000774A0000}"/>
    <cellStyle name="Normal 3 3 13 10 2" xfId="11420" xr:uid="{00000000-0005-0000-0000-0000784A0000}"/>
    <cellStyle name="Normal 3 3 13 10 2 2" xfId="28951" xr:uid="{00000000-0005-0000-0000-0000794A0000}"/>
    <cellStyle name="Normal 3 3 13 10 3" xfId="11421" xr:uid="{00000000-0005-0000-0000-00007A4A0000}"/>
    <cellStyle name="Normal 3 3 13 10 3 2" xfId="28952" xr:uid="{00000000-0005-0000-0000-00007B4A0000}"/>
    <cellStyle name="Normal 3 3 13 10 4" xfId="11422" xr:uid="{00000000-0005-0000-0000-00007C4A0000}"/>
    <cellStyle name="Normal 3 3 13 10 4 2" xfId="28953" xr:uid="{00000000-0005-0000-0000-00007D4A0000}"/>
    <cellStyle name="Normal 3 3 13 10 5" xfId="11423" xr:uid="{00000000-0005-0000-0000-00007E4A0000}"/>
    <cellStyle name="Normal 3 3 13 10 5 2" xfId="28954" xr:uid="{00000000-0005-0000-0000-00007F4A0000}"/>
    <cellStyle name="Normal 3 3 13 10 6" xfId="11424" xr:uid="{00000000-0005-0000-0000-0000804A0000}"/>
    <cellStyle name="Normal 3 3 13 10 6 2" xfId="28955" xr:uid="{00000000-0005-0000-0000-0000814A0000}"/>
    <cellStyle name="Normal 3 3 13 10 7" xfId="11425" xr:uid="{00000000-0005-0000-0000-0000824A0000}"/>
    <cellStyle name="Normal 3 3 13 10 7 2" xfId="28956" xr:uid="{00000000-0005-0000-0000-0000834A0000}"/>
    <cellStyle name="Normal 3 3 13 10 8" xfId="11426" xr:uid="{00000000-0005-0000-0000-0000844A0000}"/>
    <cellStyle name="Normal 3 3 13 10 8 2" xfId="28957" xr:uid="{00000000-0005-0000-0000-0000854A0000}"/>
    <cellStyle name="Normal 3 3 13 10 9" xfId="11427" xr:uid="{00000000-0005-0000-0000-0000864A0000}"/>
    <cellStyle name="Normal 3 3 13 10 9 2" xfId="28958" xr:uid="{00000000-0005-0000-0000-0000874A0000}"/>
    <cellStyle name="Normal 3 3 13 11" xfId="11428" xr:uid="{00000000-0005-0000-0000-0000884A0000}"/>
    <cellStyle name="Normal 3 3 13 11 2" xfId="28959" xr:uid="{00000000-0005-0000-0000-0000894A0000}"/>
    <cellStyle name="Normal 3 3 13 12" xfId="11429" xr:uid="{00000000-0005-0000-0000-00008A4A0000}"/>
    <cellStyle name="Normal 3 3 13 12 2" xfId="28960" xr:uid="{00000000-0005-0000-0000-00008B4A0000}"/>
    <cellStyle name="Normal 3 3 13 13" xfId="11430" xr:uid="{00000000-0005-0000-0000-00008C4A0000}"/>
    <cellStyle name="Normal 3 3 13 13 2" xfId="28961" xr:uid="{00000000-0005-0000-0000-00008D4A0000}"/>
    <cellStyle name="Normal 3 3 13 14" xfId="11431" xr:uid="{00000000-0005-0000-0000-00008E4A0000}"/>
    <cellStyle name="Normal 3 3 13 14 2" xfId="28962" xr:uid="{00000000-0005-0000-0000-00008F4A0000}"/>
    <cellStyle name="Normal 3 3 13 15" xfId="11432" xr:uid="{00000000-0005-0000-0000-0000904A0000}"/>
    <cellStyle name="Normal 3 3 13 15 2" xfId="28963" xr:uid="{00000000-0005-0000-0000-0000914A0000}"/>
    <cellStyle name="Normal 3 3 13 16" xfId="11433" xr:uid="{00000000-0005-0000-0000-0000924A0000}"/>
    <cellStyle name="Normal 3 3 13 16 2" xfId="28964" xr:uid="{00000000-0005-0000-0000-0000934A0000}"/>
    <cellStyle name="Normal 3 3 13 17" xfId="11434" xr:uid="{00000000-0005-0000-0000-0000944A0000}"/>
    <cellStyle name="Normal 3 3 13 17 2" xfId="28965" xr:uid="{00000000-0005-0000-0000-0000954A0000}"/>
    <cellStyle name="Normal 3 3 13 18" xfId="11435" xr:uid="{00000000-0005-0000-0000-0000964A0000}"/>
    <cellStyle name="Normal 3 3 13 18 2" xfId="28966" xr:uid="{00000000-0005-0000-0000-0000974A0000}"/>
    <cellStyle name="Normal 3 3 13 19" xfId="11436" xr:uid="{00000000-0005-0000-0000-0000984A0000}"/>
    <cellStyle name="Normal 3 3 13 19 2" xfId="28967" xr:uid="{00000000-0005-0000-0000-0000994A0000}"/>
    <cellStyle name="Normal 3 3 13 2" xfId="11437" xr:uid="{00000000-0005-0000-0000-00009A4A0000}"/>
    <cellStyle name="Normal 3 3 13 2 10" xfId="11438" xr:uid="{00000000-0005-0000-0000-00009B4A0000}"/>
    <cellStyle name="Normal 3 3 13 2 10 2" xfId="28969" xr:uid="{00000000-0005-0000-0000-00009C4A0000}"/>
    <cellStyle name="Normal 3 3 13 2 11" xfId="11439" xr:uid="{00000000-0005-0000-0000-00009D4A0000}"/>
    <cellStyle name="Normal 3 3 13 2 11 2" xfId="28970" xr:uid="{00000000-0005-0000-0000-00009E4A0000}"/>
    <cellStyle name="Normal 3 3 13 2 12" xfId="11440" xr:uid="{00000000-0005-0000-0000-00009F4A0000}"/>
    <cellStyle name="Normal 3 3 13 2 12 2" xfId="28971" xr:uid="{00000000-0005-0000-0000-0000A04A0000}"/>
    <cellStyle name="Normal 3 3 13 2 13" xfId="11441" xr:uid="{00000000-0005-0000-0000-0000A14A0000}"/>
    <cellStyle name="Normal 3 3 13 2 13 2" xfId="28972" xr:uid="{00000000-0005-0000-0000-0000A24A0000}"/>
    <cellStyle name="Normal 3 3 13 2 14" xfId="11442" xr:uid="{00000000-0005-0000-0000-0000A34A0000}"/>
    <cellStyle name="Normal 3 3 13 2 14 2" xfId="28973" xr:uid="{00000000-0005-0000-0000-0000A44A0000}"/>
    <cellStyle name="Normal 3 3 13 2 15" xfId="11443" xr:uid="{00000000-0005-0000-0000-0000A54A0000}"/>
    <cellStyle name="Normal 3 3 13 2 15 2" xfId="28974" xr:uid="{00000000-0005-0000-0000-0000A64A0000}"/>
    <cellStyle name="Normal 3 3 13 2 16" xfId="28968" xr:uid="{00000000-0005-0000-0000-0000A74A0000}"/>
    <cellStyle name="Normal 3 3 13 2 2" xfId="11444" xr:uid="{00000000-0005-0000-0000-0000A84A0000}"/>
    <cellStyle name="Normal 3 3 13 2 2 10" xfId="11445" xr:uid="{00000000-0005-0000-0000-0000A94A0000}"/>
    <cellStyle name="Normal 3 3 13 2 2 10 2" xfId="28976" xr:uid="{00000000-0005-0000-0000-0000AA4A0000}"/>
    <cellStyle name="Normal 3 3 13 2 2 11" xfId="11446" xr:uid="{00000000-0005-0000-0000-0000AB4A0000}"/>
    <cellStyle name="Normal 3 3 13 2 2 11 2" xfId="28977" xr:uid="{00000000-0005-0000-0000-0000AC4A0000}"/>
    <cellStyle name="Normal 3 3 13 2 2 12" xfId="11447" xr:uid="{00000000-0005-0000-0000-0000AD4A0000}"/>
    <cellStyle name="Normal 3 3 13 2 2 12 2" xfId="28978" xr:uid="{00000000-0005-0000-0000-0000AE4A0000}"/>
    <cellStyle name="Normal 3 3 13 2 2 13" xfId="11448" xr:uid="{00000000-0005-0000-0000-0000AF4A0000}"/>
    <cellStyle name="Normal 3 3 13 2 2 13 2" xfId="28979" xr:uid="{00000000-0005-0000-0000-0000B04A0000}"/>
    <cellStyle name="Normal 3 3 13 2 2 14" xfId="11449" xr:uid="{00000000-0005-0000-0000-0000B14A0000}"/>
    <cellStyle name="Normal 3 3 13 2 2 14 2" xfId="28980" xr:uid="{00000000-0005-0000-0000-0000B24A0000}"/>
    <cellStyle name="Normal 3 3 13 2 2 15" xfId="28975" xr:uid="{00000000-0005-0000-0000-0000B34A0000}"/>
    <cellStyle name="Normal 3 3 13 2 2 2" xfId="11450" xr:uid="{00000000-0005-0000-0000-0000B44A0000}"/>
    <cellStyle name="Normal 3 3 13 2 2 2 2" xfId="28981" xr:uid="{00000000-0005-0000-0000-0000B54A0000}"/>
    <cellStyle name="Normal 3 3 13 2 2 3" xfId="11451" xr:uid="{00000000-0005-0000-0000-0000B64A0000}"/>
    <cellStyle name="Normal 3 3 13 2 2 3 2" xfId="28982" xr:uid="{00000000-0005-0000-0000-0000B74A0000}"/>
    <cellStyle name="Normal 3 3 13 2 2 4" xfId="11452" xr:uid="{00000000-0005-0000-0000-0000B84A0000}"/>
    <cellStyle name="Normal 3 3 13 2 2 4 2" xfId="28983" xr:uid="{00000000-0005-0000-0000-0000B94A0000}"/>
    <cellStyle name="Normal 3 3 13 2 2 5" xfId="11453" xr:uid="{00000000-0005-0000-0000-0000BA4A0000}"/>
    <cellStyle name="Normal 3 3 13 2 2 5 2" xfId="28984" xr:uid="{00000000-0005-0000-0000-0000BB4A0000}"/>
    <cellStyle name="Normal 3 3 13 2 2 6" xfId="11454" xr:uid="{00000000-0005-0000-0000-0000BC4A0000}"/>
    <cellStyle name="Normal 3 3 13 2 2 6 2" xfId="28985" xr:uid="{00000000-0005-0000-0000-0000BD4A0000}"/>
    <cellStyle name="Normal 3 3 13 2 2 7" xfId="11455" xr:uid="{00000000-0005-0000-0000-0000BE4A0000}"/>
    <cellStyle name="Normal 3 3 13 2 2 7 2" xfId="28986" xr:uid="{00000000-0005-0000-0000-0000BF4A0000}"/>
    <cellStyle name="Normal 3 3 13 2 2 8" xfId="11456" xr:uid="{00000000-0005-0000-0000-0000C04A0000}"/>
    <cellStyle name="Normal 3 3 13 2 2 8 2" xfId="28987" xr:uid="{00000000-0005-0000-0000-0000C14A0000}"/>
    <cellStyle name="Normal 3 3 13 2 2 9" xfId="11457" xr:uid="{00000000-0005-0000-0000-0000C24A0000}"/>
    <cellStyle name="Normal 3 3 13 2 2 9 2" xfId="28988" xr:uid="{00000000-0005-0000-0000-0000C34A0000}"/>
    <cellStyle name="Normal 3 3 13 2 3" xfId="11458" xr:uid="{00000000-0005-0000-0000-0000C44A0000}"/>
    <cellStyle name="Normal 3 3 13 2 3 2" xfId="28989" xr:uid="{00000000-0005-0000-0000-0000C54A0000}"/>
    <cellStyle name="Normal 3 3 13 2 4" xfId="11459" xr:uid="{00000000-0005-0000-0000-0000C64A0000}"/>
    <cellStyle name="Normal 3 3 13 2 4 2" xfId="28990" xr:uid="{00000000-0005-0000-0000-0000C74A0000}"/>
    <cellStyle name="Normal 3 3 13 2 5" xfId="11460" xr:uid="{00000000-0005-0000-0000-0000C84A0000}"/>
    <cellStyle name="Normal 3 3 13 2 5 2" xfId="28991" xr:uid="{00000000-0005-0000-0000-0000C94A0000}"/>
    <cellStyle name="Normal 3 3 13 2 6" xfId="11461" xr:uid="{00000000-0005-0000-0000-0000CA4A0000}"/>
    <cellStyle name="Normal 3 3 13 2 6 2" xfId="28992" xr:uid="{00000000-0005-0000-0000-0000CB4A0000}"/>
    <cellStyle name="Normal 3 3 13 2 7" xfId="11462" xr:uid="{00000000-0005-0000-0000-0000CC4A0000}"/>
    <cellStyle name="Normal 3 3 13 2 7 2" xfId="28993" xr:uid="{00000000-0005-0000-0000-0000CD4A0000}"/>
    <cellStyle name="Normal 3 3 13 2 8" xfId="11463" xr:uid="{00000000-0005-0000-0000-0000CE4A0000}"/>
    <cellStyle name="Normal 3 3 13 2 8 2" xfId="28994" xr:uid="{00000000-0005-0000-0000-0000CF4A0000}"/>
    <cellStyle name="Normal 3 3 13 2 9" xfId="11464" xr:uid="{00000000-0005-0000-0000-0000D04A0000}"/>
    <cellStyle name="Normal 3 3 13 2 9 2" xfId="28995" xr:uid="{00000000-0005-0000-0000-0000D14A0000}"/>
    <cellStyle name="Normal 3 3 13 20" xfId="11465" xr:uid="{00000000-0005-0000-0000-0000D24A0000}"/>
    <cellStyle name="Normal 3 3 13 20 2" xfId="28996" xr:uid="{00000000-0005-0000-0000-0000D34A0000}"/>
    <cellStyle name="Normal 3 3 13 21" xfId="11466" xr:uid="{00000000-0005-0000-0000-0000D44A0000}"/>
    <cellStyle name="Normal 3 3 13 21 2" xfId="28997" xr:uid="{00000000-0005-0000-0000-0000D54A0000}"/>
    <cellStyle name="Normal 3 3 13 22" xfId="11467" xr:uid="{00000000-0005-0000-0000-0000D64A0000}"/>
    <cellStyle name="Normal 3 3 13 22 2" xfId="28998" xr:uid="{00000000-0005-0000-0000-0000D74A0000}"/>
    <cellStyle name="Normal 3 3 13 23" xfId="11468" xr:uid="{00000000-0005-0000-0000-0000D84A0000}"/>
    <cellStyle name="Normal 3 3 13 23 2" xfId="28999" xr:uid="{00000000-0005-0000-0000-0000D94A0000}"/>
    <cellStyle name="Normal 3 3 13 24" xfId="28944" xr:uid="{00000000-0005-0000-0000-0000DA4A0000}"/>
    <cellStyle name="Normal 3 3 13 3" xfId="11469" xr:uid="{00000000-0005-0000-0000-0000DB4A0000}"/>
    <cellStyle name="Normal 3 3 13 3 10" xfId="11470" xr:uid="{00000000-0005-0000-0000-0000DC4A0000}"/>
    <cellStyle name="Normal 3 3 13 3 10 2" xfId="29001" xr:uid="{00000000-0005-0000-0000-0000DD4A0000}"/>
    <cellStyle name="Normal 3 3 13 3 11" xfId="11471" xr:uid="{00000000-0005-0000-0000-0000DE4A0000}"/>
    <cellStyle name="Normal 3 3 13 3 11 2" xfId="29002" xr:uid="{00000000-0005-0000-0000-0000DF4A0000}"/>
    <cellStyle name="Normal 3 3 13 3 12" xfId="11472" xr:uid="{00000000-0005-0000-0000-0000E04A0000}"/>
    <cellStyle name="Normal 3 3 13 3 12 2" xfId="29003" xr:uid="{00000000-0005-0000-0000-0000E14A0000}"/>
    <cellStyle name="Normal 3 3 13 3 13" xfId="11473" xr:uid="{00000000-0005-0000-0000-0000E24A0000}"/>
    <cellStyle name="Normal 3 3 13 3 13 2" xfId="29004" xr:uid="{00000000-0005-0000-0000-0000E34A0000}"/>
    <cellStyle name="Normal 3 3 13 3 14" xfId="11474" xr:uid="{00000000-0005-0000-0000-0000E44A0000}"/>
    <cellStyle name="Normal 3 3 13 3 14 2" xfId="29005" xr:uid="{00000000-0005-0000-0000-0000E54A0000}"/>
    <cellStyle name="Normal 3 3 13 3 15" xfId="11475" xr:uid="{00000000-0005-0000-0000-0000E64A0000}"/>
    <cellStyle name="Normal 3 3 13 3 15 2" xfId="29006" xr:uid="{00000000-0005-0000-0000-0000E74A0000}"/>
    <cellStyle name="Normal 3 3 13 3 16" xfId="29000" xr:uid="{00000000-0005-0000-0000-0000E84A0000}"/>
    <cellStyle name="Normal 3 3 13 3 2" xfId="11476" xr:uid="{00000000-0005-0000-0000-0000E94A0000}"/>
    <cellStyle name="Normal 3 3 13 3 2 10" xfId="11477" xr:uid="{00000000-0005-0000-0000-0000EA4A0000}"/>
    <cellStyle name="Normal 3 3 13 3 2 10 2" xfId="29008" xr:uid="{00000000-0005-0000-0000-0000EB4A0000}"/>
    <cellStyle name="Normal 3 3 13 3 2 11" xfId="11478" xr:uid="{00000000-0005-0000-0000-0000EC4A0000}"/>
    <cellStyle name="Normal 3 3 13 3 2 11 2" xfId="29009" xr:uid="{00000000-0005-0000-0000-0000ED4A0000}"/>
    <cellStyle name="Normal 3 3 13 3 2 12" xfId="11479" xr:uid="{00000000-0005-0000-0000-0000EE4A0000}"/>
    <cellStyle name="Normal 3 3 13 3 2 12 2" xfId="29010" xr:uid="{00000000-0005-0000-0000-0000EF4A0000}"/>
    <cellStyle name="Normal 3 3 13 3 2 13" xfId="11480" xr:uid="{00000000-0005-0000-0000-0000F04A0000}"/>
    <cellStyle name="Normal 3 3 13 3 2 13 2" xfId="29011" xr:uid="{00000000-0005-0000-0000-0000F14A0000}"/>
    <cellStyle name="Normal 3 3 13 3 2 14" xfId="11481" xr:uid="{00000000-0005-0000-0000-0000F24A0000}"/>
    <cellStyle name="Normal 3 3 13 3 2 14 2" xfId="29012" xr:uid="{00000000-0005-0000-0000-0000F34A0000}"/>
    <cellStyle name="Normal 3 3 13 3 2 15" xfId="29007" xr:uid="{00000000-0005-0000-0000-0000F44A0000}"/>
    <cellStyle name="Normal 3 3 13 3 2 2" xfId="11482" xr:uid="{00000000-0005-0000-0000-0000F54A0000}"/>
    <cellStyle name="Normal 3 3 13 3 2 2 2" xfId="29013" xr:uid="{00000000-0005-0000-0000-0000F64A0000}"/>
    <cellStyle name="Normal 3 3 13 3 2 3" xfId="11483" xr:uid="{00000000-0005-0000-0000-0000F74A0000}"/>
    <cellStyle name="Normal 3 3 13 3 2 3 2" xfId="29014" xr:uid="{00000000-0005-0000-0000-0000F84A0000}"/>
    <cellStyle name="Normal 3 3 13 3 2 4" xfId="11484" xr:uid="{00000000-0005-0000-0000-0000F94A0000}"/>
    <cellStyle name="Normal 3 3 13 3 2 4 2" xfId="29015" xr:uid="{00000000-0005-0000-0000-0000FA4A0000}"/>
    <cellStyle name="Normal 3 3 13 3 2 5" xfId="11485" xr:uid="{00000000-0005-0000-0000-0000FB4A0000}"/>
    <cellStyle name="Normal 3 3 13 3 2 5 2" xfId="29016" xr:uid="{00000000-0005-0000-0000-0000FC4A0000}"/>
    <cellStyle name="Normal 3 3 13 3 2 6" xfId="11486" xr:uid="{00000000-0005-0000-0000-0000FD4A0000}"/>
    <cellStyle name="Normal 3 3 13 3 2 6 2" xfId="29017" xr:uid="{00000000-0005-0000-0000-0000FE4A0000}"/>
    <cellStyle name="Normal 3 3 13 3 2 7" xfId="11487" xr:uid="{00000000-0005-0000-0000-0000FF4A0000}"/>
    <cellStyle name="Normal 3 3 13 3 2 7 2" xfId="29018" xr:uid="{00000000-0005-0000-0000-0000004B0000}"/>
    <cellStyle name="Normal 3 3 13 3 2 8" xfId="11488" xr:uid="{00000000-0005-0000-0000-0000014B0000}"/>
    <cellStyle name="Normal 3 3 13 3 2 8 2" xfId="29019" xr:uid="{00000000-0005-0000-0000-0000024B0000}"/>
    <cellStyle name="Normal 3 3 13 3 2 9" xfId="11489" xr:uid="{00000000-0005-0000-0000-0000034B0000}"/>
    <cellStyle name="Normal 3 3 13 3 2 9 2" xfId="29020" xr:uid="{00000000-0005-0000-0000-0000044B0000}"/>
    <cellStyle name="Normal 3 3 13 3 3" xfId="11490" xr:uid="{00000000-0005-0000-0000-0000054B0000}"/>
    <cellStyle name="Normal 3 3 13 3 3 2" xfId="29021" xr:uid="{00000000-0005-0000-0000-0000064B0000}"/>
    <cellStyle name="Normal 3 3 13 3 4" xfId="11491" xr:uid="{00000000-0005-0000-0000-0000074B0000}"/>
    <cellStyle name="Normal 3 3 13 3 4 2" xfId="29022" xr:uid="{00000000-0005-0000-0000-0000084B0000}"/>
    <cellStyle name="Normal 3 3 13 3 5" xfId="11492" xr:uid="{00000000-0005-0000-0000-0000094B0000}"/>
    <cellStyle name="Normal 3 3 13 3 5 2" xfId="29023" xr:uid="{00000000-0005-0000-0000-00000A4B0000}"/>
    <cellStyle name="Normal 3 3 13 3 6" xfId="11493" xr:uid="{00000000-0005-0000-0000-00000B4B0000}"/>
    <cellStyle name="Normal 3 3 13 3 6 2" xfId="29024" xr:uid="{00000000-0005-0000-0000-00000C4B0000}"/>
    <cellStyle name="Normal 3 3 13 3 7" xfId="11494" xr:uid="{00000000-0005-0000-0000-00000D4B0000}"/>
    <cellStyle name="Normal 3 3 13 3 7 2" xfId="29025" xr:uid="{00000000-0005-0000-0000-00000E4B0000}"/>
    <cellStyle name="Normal 3 3 13 3 8" xfId="11495" xr:uid="{00000000-0005-0000-0000-00000F4B0000}"/>
    <cellStyle name="Normal 3 3 13 3 8 2" xfId="29026" xr:uid="{00000000-0005-0000-0000-0000104B0000}"/>
    <cellStyle name="Normal 3 3 13 3 9" xfId="11496" xr:uid="{00000000-0005-0000-0000-0000114B0000}"/>
    <cellStyle name="Normal 3 3 13 3 9 2" xfId="29027" xr:uid="{00000000-0005-0000-0000-0000124B0000}"/>
    <cellStyle name="Normal 3 3 13 4" xfId="11497" xr:uid="{00000000-0005-0000-0000-0000134B0000}"/>
    <cellStyle name="Normal 3 3 13 4 10" xfId="11498" xr:uid="{00000000-0005-0000-0000-0000144B0000}"/>
    <cellStyle name="Normal 3 3 13 4 10 2" xfId="29029" xr:uid="{00000000-0005-0000-0000-0000154B0000}"/>
    <cellStyle name="Normal 3 3 13 4 11" xfId="11499" xr:uid="{00000000-0005-0000-0000-0000164B0000}"/>
    <cellStyle name="Normal 3 3 13 4 11 2" xfId="29030" xr:uid="{00000000-0005-0000-0000-0000174B0000}"/>
    <cellStyle name="Normal 3 3 13 4 12" xfId="11500" xr:uid="{00000000-0005-0000-0000-0000184B0000}"/>
    <cellStyle name="Normal 3 3 13 4 12 2" xfId="29031" xr:uid="{00000000-0005-0000-0000-0000194B0000}"/>
    <cellStyle name="Normal 3 3 13 4 13" xfId="11501" xr:uid="{00000000-0005-0000-0000-00001A4B0000}"/>
    <cellStyle name="Normal 3 3 13 4 13 2" xfId="29032" xr:uid="{00000000-0005-0000-0000-00001B4B0000}"/>
    <cellStyle name="Normal 3 3 13 4 14" xfId="11502" xr:uid="{00000000-0005-0000-0000-00001C4B0000}"/>
    <cellStyle name="Normal 3 3 13 4 14 2" xfId="29033" xr:uid="{00000000-0005-0000-0000-00001D4B0000}"/>
    <cellStyle name="Normal 3 3 13 4 15" xfId="11503" xr:uid="{00000000-0005-0000-0000-00001E4B0000}"/>
    <cellStyle name="Normal 3 3 13 4 15 2" xfId="29034" xr:uid="{00000000-0005-0000-0000-00001F4B0000}"/>
    <cellStyle name="Normal 3 3 13 4 16" xfId="29028" xr:uid="{00000000-0005-0000-0000-0000204B0000}"/>
    <cellStyle name="Normal 3 3 13 4 2" xfId="11504" xr:uid="{00000000-0005-0000-0000-0000214B0000}"/>
    <cellStyle name="Normal 3 3 13 4 2 10" xfId="11505" xr:uid="{00000000-0005-0000-0000-0000224B0000}"/>
    <cellStyle name="Normal 3 3 13 4 2 10 2" xfId="29036" xr:uid="{00000000-0005-0000-0000-0000234B0000}"/>
    <cellStyle name="Normal 3 3 13 4 2 11" xfId="11506" xr:uid="{00000000-0005-0000-0000-0000244B0000}"/>
    <cellStyle name="Normal 3 3 13 4 2 11 2" xfId="29037" xr:uid="{00000000-0005-0000-0000-0000254B0000}"/>
    <cellStyle name="Normal 3 3 13 4 2 12" xfId="11507" xr:uid="{00000000-0005-0000-0000-0000264B0000}"/>
    <cellStyle name="Normal 3 3 13 4 2 12 2" xfId="29038" xr:uid="{00000000-0005-0000-0000-0000274B0000}"/>
    <cellStyle name="Normal 3 3 13 4 2 13" xfId="11508" xr:uid="{00000000-0005-0000-0000-0000284B0000}"/>
    <cellStyle name="Normal 3 3 13 4 2 13 2" xfId="29039" xr:uid="{00000000-0005-0000-0000-0000294B0000}"/>
    <cellStyle name="Normal 3 3 13 4 2 14" xfId="11509" xr:uid="{00000000-0005-0000-0000-00002A4B0000}"/>
    <cellStyle name="Normal 3 3 13 4 2 14 2" xfId="29040" xr:uid="{00000000-0005-0000-0000-00002B4B0000}"/>
    <cellStyle name="Normal 3 3 13 4 2 15" xfId="29035" xr:uid="{00000000-0005-0000-0000-00002C4B0000}"/>
    <cellStyle name="Normal 3 3 13 4 2 2" xfId="11510" xr:uid="{00000000-0005-0000-0000-00002D4B0000}"/>
    <cellStyle name="Normal 3 3 13 4 2 2 2" xfId="29041" xr:uid="{00000000-0005-0000-0000-00002E4B0000}"/>
    <cellStyle name="Normal 3 3 13 4 2 3" xfId="11511" xr:uid="{00000000-0005-0000-0000-00002F4B0000}"/>
    <cellStyle name="Normal 3 3 13 4 2 3 2" xfId="29042" xr:uid="{00000000-0005-0000-0000-0000304B0000}"/>
    <cellStyle name="Normal 3 3 13 4 2 4" xfId="11512" xr:uid="{00000000-0005-0000-0000-0000314B0000}"/>
    <cellStyle name="Normal 3 3 13 4 2 4 2" xfId="29043" xr:uid="{00000000-0005-0000-0000-0000324B0000}"/>
    <cellStyle name="Normal 3 3 13 4 2 5" xfId="11513" xr:uid="{00000000-0005-0000-0000-0000334B0000}"/>
    <cellStyle name="Normal 3 3 13 4 2 5 2" xfId="29044" xr:uid="{00000000-0005-0000-0000-0000344B0000}"/>
    <cellStyle name="Normal 3 3 13 4 2 6" xfId="11514" xr:uid="{00000000-0005-0000-0000-0000354B0000}"/>
    <cellStyle name="Normal 3 3 13 4 2 6 2" xfId="29045" xr:uid="{00000000-0005-0000-0000-0000364B0000}"/>
    <cellStyle name="Normal 3 3 13 4 2 7" xfId="11515" xr:uid="{00000000-0005-0000-0000-0000374B0000}"/>
    <cellStyle name="Normal 3 3 13 4 2 7 2" xfId="29046" xr:uid="{00000000-0005-0000-0000-0000384B0000}"/>
    <cellStyle name="Normal 3 3 13 4 2 8" xfId="11516" xr:uid="{00000000-0005-0000-0000-0000394B0000}"/>
    <cellStyle name="Normal 3 3 13 4 2 8 2" xfId="29047" xr:uid="{00000000-0005-0000-0000-00003A4B0000}"/>
    <cellStyle name="Normal 3 3 13 4 2 9" xfId="11517" xr:uid="{00000000-0005-0000-0000-00003B4B0000}"/>
    <cellStyle name="Normal 3 3 13 4 2 9 2" xfId="29048" xr:uid="{00000000-0005-0000-0000-00003C4B0000}"/>
    <cellStyle name="Normal 3 3 13 4 3" xfId="11518" xr:uid="{00000000-0005-0000-0000-00003D4B0000}"/>
    <cellStyle name="Normal 3 3 13 4 3 2" xfId="29049" xr:uid="{00000000-0005-0000-0000-00003E4B0000}"/>
    <cellStyle name="Normal 3 3 13 4 4" xfId="11519" xr:uid="{00000000-0005-0000-0000-00003F4B0000}"/>
    <cellStyle name="Normal 3 3 13 4 4 2" xfId="29050" xr:uid="{00000000-0005-0000-0000-0000404B0000}"/>
    <cellStyle name="Normal 3 3 13 4 5" xfId="11520" xr:uid="{00000000-0005-0000-0000-0000414B0000}"/>
    <cellStyle name="Normal 3 3 13 4 5 2" xfId="29051" xr:uid="{00000000-0005-0000-0000-0000424B0000}"/>
    <cellStyle name="Normal 3 3 13 4 6" xfId="11521" xr:uid="{00000000-0005-0000-0000-0000434B0000}"/>
    <cellStyle name="Normal 3 3 13 4 6 2" xfId="29052" xr:uid="{00000000-0005-0000-0000-0000444B0000}"/>
    <cellStyle name="Normal 3 3 13 4 7" xfId="11522" xr:uid="{00000000-0005-0000-0000-0000454B0000}"/>
    <cellStyle name="Normal 3 3 13 4 7 2" xfId="29053" xr:uid="{00000000-0005-0000-0000-0000464B0000}"/>
    <cellStyle name="Normal 3 3 13 4 8" xfId="11523" xr:uid="{00000000-0005-0000-0000-0000474B0000}"/>
    <cellStyle name="Normal 3 3 13 4 8 2" xfId="29054" xr:uid="{00000000-0005-0000-0000-0000484B0000}"/>
    <cellStyle name="Normal 3 3 13 4 9" xfId="11524" xr:uid="{00000000-0005-0000-0000-0000494B0000}"/>
    <cellStyle name="Normal 3 3 13 4 9 2" xfId="29055" xr:uid="{00000000-0005-0000-0000-00004A4B0000}"/>
    <cellStyle name="Normal 3 3 13 5" xfId="11525" xr:uid="{00000000-0005-0000-0000-00004B4B0000}"/>
    <cellStyle name="Normal 3 3 13 5 10" xfId="11526" xr:uid="{00000000-0005-0000-0000-00004C4B0000}"/>
    <cellStyle name="Normal 3 3 13 5 10 2" xfId="29057" xr:uid="{00000000-0005-0000-0000-00004D4B0000}"/>
    <cellStyle name="Normal 3 3 13 5 11" xfId="11527" xr:uid="{00000000-0005-0000-0000-00004E4B0000}"/>
    <cellStyle name="Normal 3 3 13 5 11 2" xfId="29058" xr:uid="{00000000-0005-0000-0000-00004F4B0000}"/>
    <cellStyle name="Normal 3 3 13 5 12" xfId="11528" xr:uid="{00000000-0005-0000-0000-0000504B0000}"/>
    <cellStyle name="Normal 3 3 13 5 12 2" xfId="29059" xr:uid="{00000000-0005-0000-0000-0000514B0000}"/>
    <cellStyle name="Normal 3 3 13 5 13" xfId="11529" xr:uid="{00000000-0005-0000-0000-0000524B0000}"/>
    <cellStyle name="Normal 3 3 13 5 13 2" xfId="29060" xr:uid="{00000000-0005-0000-0000-0000534B0000}"/>
    <cellStyle name="Normal 3 3 13 5 14" xfId="11530" xr:uid="{00000000-0005-0000-0000-0000544B0000}"/>
    <cellStyle name="Normal 3 3 13 5 14 2" xfId="29061" xr:uid="{00000000-0005-0000-0000-0000554B0000}"/>
    <cellStyle name="Normal 3 3 13 5 15" xfId="29056" xr:uid="{00000000-0005-0000-0000-0000564B0000}"/>
    <cellStyle name="Normal 3 3 13 5 2" xfId="11531" xr:uid="{00000000-0005-0000-0000-0000574B0000}"/>
    <cellStyle name="Normal 3 3 13 5 2 2" xfId="29062" xr:uid="{00000000-0005-0000-0000-0000584B0000}"/>
    <cellStyle name="Normal 3 3 13 5 3" xfId="11532" xr:uid="{00000000-0005-0000-0000-0000594B0000}"/>
    <cellStyle name="Normal 3 3 13 5 3 2" xfId="29063" xr:uid="{00000000-0005-0000-0000-00005A4B0000}"/>
    <cellStyle name="Normal 3 3 13 5 4" xfId="11533" xr:uid="{00000000-0005-0000-0000-00005B4B0000}"/>
    <cellStyle name="Normal 3 3 13 5 4 2" xfId="29064" xr:uid="{00000000-0005-0000-0000-00005C4B0000}"/>
    <cellStyle name="Normal 3 3 13 5 5" xfId="11534" xr:uid="{00000000-0005-0000-0000-00005D4B0000}"/>
    <cellStyle name="Normal 3 3 13 5 5 2" xfId="29065" xr:uid="{00000000-0005-0000-0000-00005E4B0000}"/>
    <cellStyle name="Normal 3 3 13 5 6" xfId="11535" xr:uid="{00000000-0005-0000-0000-00005F4B0000}"/>
    <cellStyle name="Normal 3 3 13 5 6 2" xfId="29066" xr:uid="{00000000-0005-0000-0000-0000604B0000}"/>
    <cellStyle name="Normal 3 3 13 5 7" xfId="11536" xr:uid="{00000000-0005-0000-0000-0000614B0000}"/>
    <cellStyle name="Normal 3 3 13 5 7 2" xfId="29067" xr:uid="{00000000-0005-0000-0000-0000624B0000}"/>
    <cellStyle name="Normal 3 3 13 5 8" xfId="11537" xr:uid="{00000000-0005-0000-0000-0000634B0000}"/>
    <cellStyle name="Normal 3 3 13 5 8 2" xfId="29068" xr:uid="{00000000-0005-0000-0000-0000644B0000}"/>
    <cellStyle name="Normal 3 3 13 5 9" xfId="11538" xr:uid="{00000000-0005-0000-0000-0000654B0000}"/>
    <cellStyle name="Normal 3 3 13 5 9 2" xfId="29069" xr:uid="{00000000-0005-0000-0000-0000664B0000}"/>
    <cellStyle name="Normal 3 3 13 6" xfId="11539" xr:uid="{00000000-0005-0000-0000-0000674B0000}"/>
    <cellStyle name="Normal 3 3 13 6 10" xfId="11540" xr:uid="{00000000-0005-0000-0000-0000684B0000}"/>
    <cellStyle name="Normal 3 3 13 6 10 2" xfId="29071" xr:uid="{00000000-0005-0000-0000-0000694B0000}"/>
    <cellStyle name="Normal 3 3 13 6 11" xfId="11541" xr:uid="{00000000-0005-0000-0000-00006A4B0000}"/>
    <cellStyle name="Normal 3 3 13 6 11 2" xfId="29072" xr:uid="{00000000-0005-0000-0000-00006B4B0000}"/>
    <cellStyle name="Normal 3 3 13 6 12" xfId="11542" xr:uid="{00000000-0005-0000-0000-00006C4B0000}"/>
    <cellStyle name="Normal 3 3 13 6 12 2" xfId="29073" xr:uid="{00000000-0005-0000-0000-00006D4B0000}"/>
    <cellStyle name="Normal 3 3 13 6 13" xfId="11543" xr:uid="{00000000-0005-0000-0000-00006E4B0000}"/>
    <cellStyle name="Normal 3 3 13 6 13 2" xfId="29074" xr:uid="{00000000-0005-0000-0000-00006F4B0000}"/>
    <cellStyle name="Normal 3 3 13 6 14" xfId="11544" xr:uid="{00000000-0005-0000-0000-0000704B0000}"/>
    <cellStyle name="Normal 3 3 13 6 14 2" xfId="29075" xr:uid="{00000000-0005-0000-0000-0000714B0000}"/>
    <cellStyle name="Normal 3 3 13 6 15" xfId="29070" xr:uid="{00000000-0005-0000-0000-0000724B0000}"/>
    <cellStyle name="Normal 3 3 13 6 2" xfId="11545" xr:uid="{00000000-0005-0000-0000-0000734B0000}"/>
    <cellStyle name="Normal 3 3 13 6 2 2" xfId="29076" xr:uid="{00000000-0005-0000-0000-0000744B0000}"/>
    <cellStyle name="Normal 3 3 13 6 3" xfId="11546" xr:uid="{00000000-0005-0000-0000-0000754B0000}"/>
    <cellStyle name="Normal 3 3 13 6 3 2" xfId="29077" xr:uid="{00000000-0005-0000-0000-0000764B0000}"/>
    <cellStyle name="Normal 3 3 13 6 4" xfId="11547" xr:uid="{00000000-0005-0000-0000-0000774B0000}"/>
    <cellStyle name="Normal 3 3 13 6 4 2" xfId="29078" xr:uid="{00000000-0005-0000-0000-0000784B0000}"/>
    <cellStyle name="Normal 3 3 13 6 5" xfId="11548" xr:uid="{00000000-0005-0000-0000-0000794B0000}"/>
    <cellStyle name="Normal 3 3 13 6 5 2" xfId="29079" xr:uid="{00000000-0005-0000-0000-00007A4B0000}"/>
    <cellStyle name="Normal 3 3 13 6 6" xfId="11549" xr:uid="{00000000-0005-0000-0000-00007B4B0000}"/>
    <cellStyle name="Normal 3 3 13 6 6 2" xfId="29080" xr:uid="{00000000-0005-0000-0000-00007C4B0000}"/>
    <cellStyle name="Normal 3 3 13 6 7" xfId="11550" xr:uid="{00000000-0005-0000-0000-00007D4B0000}"/>
    <cellStyle name="Normal 3 3 13 6 7 2" xfId="29081" xr:uid="{00000000-0005-0000-0000-00007E4B0000}"/>
    <cellStyle name="Normal 3 3 13 6 8" xfId="11551" xr:uid="{00000000-0005-0000-0000-00007F4B0000}"/>
    <cellStyle name="Normal 3 3 13 6 8 2" xfId="29082" xr:uid="{00000000-0005-0000-0000-0000804B0000}"/>
    <cellStyle name="Normal 3 3 13 6 9" xfId="11552" xr:uid="{00000000-0005-0000-0000-0000814B0000}"/>
    <cellStyle name="Normal 3 3 13 6 9 2" xfId="29083" xr:uid="{00000000-0005-0000-0000-0000824B0000}"/>
    <cellStyle name="Normal 3 3 13 7" xfId="11553" xr:uid="{00000000-0005-0000-0000-0000834B0000}"/>
    <cellStyle name="Normal 3 3 13 7 10" xfId="11554" xr:uid="{00000000-0005-0000-0000-0000844B0000}"/>
    <cellStyle name="Normal 3 3 13 7 10 2" xfId="29085" xr:uid="{00000000-0005-0000-0000-0000854B0000}"/>
    <cellStyle name="Normal 3 3 13 7 11" xfId="11555" xr:uid="{00000000-0005-0000-0000-0000864B0000}"/>
    <cellStyle name="Normal 3 3 13 7 11 2" xfId="29086" xr:uid="{00000000-0005-0000-0000-0000874B0000}"/>
    <cellStyle name="Normal 3 3 13 7 12" xfId="11556" xr:uid="{00000000-0005-0000-0000-0000884B0000}"/>
    <cellStyle name="Normal 3 3 13 7 12 2" xfId="29087" xr:uid="{00000000-0005-0000-0000-0000894B0000}"/>
    <cellStyle name="Normal 3 3 13 7 13" xfId="11557" xr:uid="{00000000-0005-0000-0000-00008A4B0000}"/>
    <cellStyle name="Normal 3 3 13 7 13 2" xfId="29088" xr:uid="{00000000-0005-0000-0000-00008B4B0000}"/>
    <cellStyle name="Normal 3 3 13 7 14" xfId="11558" xr:uid="{00000000-0005-0000-0000-00008C4B0000}"/>
    <cellStyle name="Normal 3 3 13 7 14 2" xfId="29089" xr:uid="{00000000-0005-0000-0000-00008D4B0000}"/>
    <cellStyle name="Normal 3 3 13 7 15" xfId="29084" xr:uid="{00000000-0005-0000-0000-00008E4B0000}"/>
    <cellStyle name="Normal 3 3 13 7 2" xfId="11559" xr:uid="{00000000-0005-0000-0000-00008F4B0000}"/>
    <cellStyle name="Normal 3 3 13 7 2 2" xfId="29090" xr:uid="{00000000-0005-0000-0000-0000904B0000}"/>
    <cellStyle name="Normal 3 3 13 7 3" xfId="11560" xr:uid="{00000000-0005-0000-0000-0000914B0000}"/>
    <cellStyle name="Normal 3 3 13 7 3 2" xfId="29091" xr:uid="{00000000-0005-0000-0000-0000924B0000}"/>
    <cellStyle name="Normal 3 3 13 7 4" xfId="11561" xr:uid="{00000000-0005-0000-0000-0000934B0000}"/>
    <cellStyle name="Normal 3 3 13 7 4 2" xfId="29092" xr:uid="{00000000-0005-0000-0000-0000944B0000}"/>
    <cellStyle name="Normal 3 3 13 7 5" xfId="11562" xr:uid="{00000000-0005-0000-0000-0000954B0000}"/>
    <cellStyle name="Normal 3 3 13 7 5 2" xfId="29093" xr:uid="{00000000-0005-0000-0000-0000964B0000}"/>
    <cellStyle name="Normal 3 3 13 7 6" xfId="11563" xr:uid="{00000000-0005-0000-0000-0000974B0000}"/>
    <cellStyle name="Normal 3 3 13 7 6 2" xfId="29094" xr:uid="{00000000-0005-0000-0000-0000984B0000}"/>
    <cellStyle name="Normal 3 3 13 7 7" xfId="11564" xr:uid="{00000000-0005-0000-0000-0000994B0000}"/>
    <cellStyle name="Normal 3 3 13 7 7 2" xfId="29095" xr:uid="{00000000-0005-0000-0000-00009A4B0000}"/>
    <cellStyle name="Normal 3 3 13 7 8" xfId="11565" xr:uid="{00000000-0005-0000-0000-00009B4B0000}"/>
    <cellStyle name="Normal 3 3 13 7 8 2" xfId="29096" xr:uid="{00000000-0005-0000-0000-00009C4B0000}"/>
    <cellStyle name="Normal 3 3 13 7 9" xfId="11566" xr:uid="{00000000-0005-0000-0000-00009D4B0000}"/>
    <cellStyle name="Normal 3 3 13 7 9 2" xfId="29097" xr:uid="{00000000-0005-0000-0000-00009E4B0000}"/>
    <cellStyle name="Normal 3 3 13 8" xfId="11567" xr:uid="{00000000-0005-0000-0000-00009F4B0000}"/>
    <cellStyle name="Normal 3 3 13 8 10" xfId="11568" xr:uid="{00000000-0005-0000-0000-0000A04B0000}"/>
    <cellStyle name="Normal 3 3 13 8 10 2" xfId="29099" xr:uid="{00000000-0005-0000-0000-0000A14B0000}"/>
    <cellStyle name="Normal 3 3 13 8 11" xfId="11569" xr:uid="{00000000-0005-0000-0000-0000A24B0000}"/>
    <cellStyle name="Normal 3 3 13 8 11 2" xfId="29100" xr:uid="{00000000-0005-0000-0000-0000A34B0000}"/>
    <cellStyle name="Normal 3 3 13 8 12" xfId="11570" xr:uid="{00000000-0005-0000-0000-0000A44B0000}"/>
    <cellStyle name="Normal 3 3 13 8 12 2" xfId="29101" xr:uid="{00000000-0005-0000-0000-0000A54B0000}"/>
    <cellStyle name="Normal 3 3 13 8 13" xfId="11571" xr:uid="{00000000-0005-0000-0000-0000A64B0000}"/>
    <cellStyle name="Normal 3 3 13 8 13 2" xfId="29102" xr:uid="{00000000-0005-0000-0000-0000A74B0000}"/>
    <cellStyle name="Normal 3 3 13 8 14" xfId="11572" xr:uid="{00000000-0005-0000-0000-0000A84B0000}"/>
    <cellStyle name="Normal 3 3 13 8 14 2" xfId="29103" xr:uid="{00000000-0005-0000-0000-0000A94B0000}"/>
    <cellStyle name="Normal 3 3 13 8 15" xfId="29098" xr:uid="{00000000-0005-0000-0000-0000AA4B0000}"/>
    <cellStyle name="Normal 3 3 13 8 2" xfId="11573" xr:uid="{00000000-0005-0000-0000-0000AB4B0000}"/>
    <cellStyle name="Normal 3 3 13 8 2 2" xfId="29104" xr:uid="{00000000-0005-0000-0000-0000AC4B0000}"/>
    <cellStyle name="Normal 3 3 13 8 3" xfId="11574" xr:uid="{00000000-0005-0000-0000-0000AD4B0000}"/>
    <cellStyle name="Normal 3 3 13 8 3 2" xfId="29105" xr:uid="{00000000-0005-0000-0000-0000AE4B0000}"/>
    <cellStyle name="Normal 3 3 13 8 4" xfId="11575" xr:uid="{00000000-0005-0000-0000-0000AF4B0000}"/>
    <cellStyle name="Normal 3 3 13 8 4 2" xfId="29106" xr:uid="{00000000-0005-0000-0000-0000B04B0000}"/>
    <cellStyle name="Normal 3 3 13 8 5" xfId="11576" xr:uid="{00000000-0005-0000-0000-0000B14B0000}"/>
    <cellStyle name="Normal 3 3 13 8 5 2" xfId="29107" xr:uid="{00000000-0005-0000-0000-0000B24B0000}"/>
    <cellStyle name="Normal 3 3 13 8 6" xfId="11577" xr:uid="{00000000-0005-0000-0000-0000B34B0000}"/>
    <cellStyle name="Normal 3 3 13 8 6 2" xfId="29108" xr:uid="{00000000-0005-0000-0000-0000B44B0000}"/>
    <cellStyle name="Normal 3 3 13 8 7" xfId="11578" xr:uid="{00000000-0005-0000-0000-0000B54B0000}"/>
    <cellStyle name="Normal 3 3 13 8 7 2" xfId="29109" xr:uid="{00000000-0005-0000-0000-0000B64B0000}"/>
    <cellStyle name="Normal 3 3 13 8 8" xfId="11579" xr:uid="{00000000-0005-0000-0000-0000B74B0000}"/>
    <cellStyle name="Normal 3 3 13 8 8 2" xfId="29110" xr:uid="{00000000-0005-0000-0000-0000B84B0000}"/>
    <cellStyle name="Normal 3 3 13 8 9" xfId="11580" xr:uid="{00000000-0005-0000-0000-0000B94B0000}"/>
    <cellStyle name="Normal 3 3 13 8 9 2" xfId="29111" xr:uid="{00000000-0005-0000-0000-0000BA4B0000}"/>
    <cellStyle name="Normal 3 3 13 9" xfId="11581" xr:uid="{00000000-0005-0000-0000-0000BB4B0000}"/>
    <cellStyle name="Normal 3 3 13 9 10" xfId="11582" xr:uid="{00000000-0005-0000-0000-0000BC4B0000}"/>
    <cellStyle name="Normal 3 3 13 9 10 2" xfId="29113" xr:uid="{00000000-0005-0000-0000-0000BD4B0000}"/>
    <cellStyle name="Normal 3 3 13 9 11" xfId="11583" xr:uid="{00000000-0005-0000-0000-0000BE4B0000}"/>
    <cellStyle name="Normal 3 3 13 9 11 2" xfId="29114" xr:uid="{00000000-0005-0000-0000-0000BF4B0000}"/>
    <cellStyle name="Normal 3 3 13 9 12" xfId="11584" xr:uid="{00000000-0005-0000-0000-0000C04B0000}"/>
    <cellStyle name="Normal 3 3 13 9 12 2" xfId="29115" xr:uid="{00000000-0005-0000-0000-0000C14B0000}"/>
    <cellStyle name="Normal 3 3 13 9 13" xfId="11585" xr:uid="{00000000-0005-0000-0000-0000C24B0000}"/>
    <cellStyle name="Normal 3 3 13 9 13 2" xfId="29116" xr:uid="{00000000-0005-0000-0000-0000C34B0000}"/>
    <cellStyle name="Normal 3 3 13 9 14" xfId="11586" xr:uid="{00000000-0005-0000-0000-0000C44B0000}"/>
    <cellStyle name="Normal 3 3 13 9 14 2" xfId="29117" xr:uid="{00000000-0005-0000-0000-0000C54B0000}"/>
    <cellStyle name="Normal 3 3 13 9 15" xfId="29112" xr:uid="{00000000-0005-0000-0000-0000C64B0000}"/>
    <cellStyle name="Normal 3 3 13 9 2" xfId="11587" xr:uid="{00000000-0005-0000-0000-0000C74B0000}"/>
    <cellStyle name="Normal 3 3 13 9 2 2" xfId="29118" xr:uid="{00000000-0005-0000-0000-0000C84B0000}"/>
    <cellStyle name="Normal 3 3 13 9 3" xfId="11588" xr:uid="{00000000-0005-0000-0000-0000C94B0000}"/>
    <cellStyle name="Normal 3 3 13 9 3 2" xfId="29119" xr:uid="{00000000-0005-0000-0000-0000CA4B0000}"/>
    <cellStyle name="Normal 3 3 13 9 4" xfId="11589" xr:uid="{00000000-0005-0000-0000-0000CB4B0000}"/>
    <cellStyle name="Normal 3 3 13 9 4 2" xfId="29120" xr:uid="{00000000-0005-0000-0000-0000CC4B0000}"/>
    <cellStyle name="Normal 3 3 13 9 5" xfId="11590" xr:uid="{00000000-0005-0000-0000-0000CD4B0000}"/>
    <cellStyle name="Normal 3 3 13 9 5 2" xfId="29121" xr:uid="{00000000-0005-0000-0000-0000CE4B0000}"/>
    <cellStyle name="Normal 3 3 13 9 6" xfId="11591" xr:uid="{00000000-0005-0000-0000-0000CF4B0000}"/>
    <cellStyle name="Normal 3 3 13 9 6 2" xfId="29122" xr:uid="{00000000-0005-0000-0000-0000D04B0000}"/>
    <cellStyle name="Normal 3 3 13 9 7" xfId="11592" xr:uid="{00000000-0005-0000-0000-0000D14B0000}"/>
    <cellStyle name="Normal 3 3 13 9 7 2" xfId="29123" xr:uid="{00000000-0005-0000-0000-0000D24B0000}"/>
    <cellStyle name="Normal 3 3 13 9 8" xfId="11593" xr:uid="{00000000-0005-0000-0000-0000D34B0000}"/>
    <cellStyle name="Normal 3 3 13 9 8 2" xfId="29124" xr:uid="{00000000-0005-0000-0000-0000D44B0000}"/>
    <cellStyle name="Normal 3 3 13 9 9" xfId="11594" xr:uid="{00000000-0005-0000-0000-0000D54B0000}"/>
    <cellStyle name="Normal 3 3 13 9 9 2" xfId="29125" xr:uid="{00000000-0005-0000-0000-0000D64B0000}"/>
    <cellStyle name="Normal 3 3 14" xfId="11595" xr:uid="{00000000-0005-0000-0000-0000D74B0000}"/>
    <cellStyle name="Normal 3 3 14 10" xfId="11596" xr:uid="{00000000-0005-0000-0000-0000D84B0000}"/>
    <cellStyle name="Normal 3 3 14 10 10" xfId="11597" xr:uid="{00000000-0005-0000-0000-0000D94B0000}"/>
    <cellStyle name="Normal 3 3 14 10 10 2" xfId="29128" xr:uid="{00000000-0005-0000-0000-0000DA4B0000}"/>
    <cellStyle name="Normal 3 3 14 10 11" xfId="11598" xr:uid="{00000000-0005-0000-0000-0000DB4B0000}"/>
    <cellStyle name="Normal 3 3 14 10 11 2" xfId="29129" xr:uid="{00000000-0005-0000-0000-0000DC4B0000}"/>
    <cellStyle name="Normal 3 3 14 10 12" xfId="11599" xr:uid="{00000000-0005-0000-0000-0000DD4B0000}"/>
    <cellStyle name="Normal 3 3 14 10 12 2" xfId="29130" xr:uid="{00000000-0005-0000-0000-0000DE4B0000}"/>
    <cellStyle name="Normal 3 3 14 10 13" xfId="11600" xr:uid="{00000000-0005-0000-0000-0000DF4B0000}"/>
    <cellStyle name="Normal 3 3 14 10 13 2" xfId="29131" xr:uid="{00000000-0005-0000-0000-0000E04B0000}"/>
    <cellStyle name="Normal 3 3 14 10 14" xfId="11601" xr:uid="{00000000-0005-0000-0000-0000E14B0000}"/>
    <cellStyle name="Normal 3 3 14 10 14 2" xfId="29132" xr:uid="{00000000-0005-0000-0000-0000E24B0000}"/>
    <cellStyle name="Normal 3 3 14 10 15" xfId="29127" xr:uid="{00000000-0005-0000-0000-0000E34B0000}"/>
    <cellStyle name="Normal 3 3 14 10 2" xfId="11602" xr:uid="{00000000-0005-0000-0000-0000E44B0000}"/>
    <cellStyle name="Normal 3 3 14 10 2 2" xfId="29133" xr:uid="{00000000-0005-0000-0000-0000E54B0000}"/>
    <cellStyle name="Normal 3 3 14 10 3" xfId="11603" xr:uid="{00000000-0005-0000-0000-0000E64B0000}"/>
    <cellStyle name="Normal 3 3 14 10 3 2" xfId="29134" xr:uid="{00000000-0005-0000-0000-0000E74B0000}"/>
    <cellStyle name="Normal 3 3 14 10 4" xfId="11604" xr:uid="{00000000-0005-0000-0000-0000E84B0000}"/>
    <cellStyle name="Normal 3 3 14 10 4 2" xfId="29135" xr:uid="{00000000-0005-0000-0000-0000E94B0000}"/>
    <cellStyle name="Normal 3 3 14 10 5" xfId="11605" xr:uid="{00000000-0005-0000-0000-0000EA4B0000}"/>
    <cellStyle name="Normal 3 3 14 10 5 2" xfId="29136" xr:uid="{00000000-0005-0000-0000-0000EB4B0000}"/>
    <cellStyle name="Normal 3 3 14 10 6" xfId="11606" xr:uid="{00000000-0005-0000-0000-0000EC4B0000}"/>
    <cellStyle name="Normal 3 3 14 10 6 2" xfId="29137" xr:uid="{00000000-0005-0000-0000-0000ED4B0000}"/>
    <cellStyle name="Normal 3 3 14 10 7" xfId="11607" xr:uid="{00000000-0005-0000-0000-0000EE4B0000}"/>
    <cellStyle name="Normal 3 3 14 10 7 2" xfId="29138" xr:uid="{00000000-0005-0000-0000-0000EF4B0000}"/>
    <cellStyle name="Normal 3 3 14 10 8" xfId="11608" xr:uid="{00000000-0005-0000-0000-0000F04B0000}"/>
    <cellStyle name="Normal 3 3 14 10 8 2" xfId="29139" xr:uid="{00000000-0005-0000-0000-0000F14B0000}"/>
    <cellStyle name="Normal 3 3 14 10 9" xfId="11609" xr:uid="{00000000-0005-0000-0000-0000F24B0000}"/>
    <cellStyle name="Normal 3 3 14 10 9 2" xfId="29140" xr:uid="{00000000-0005-0000-0000-0000F34B0000}"/>
    <cellStyle name="Normal 3 3 14 11" xfId="11610" xr:uid="{00000000-0005-0000-0000-0000F44B0000}"/>
    <cellStyle name="Normal 3 3 14 11 2" xfId="29141" xr:uid="{00000000-0005-0000-0000-0000F54B0000}"/>
    <cellStyle name="Normal 3 3 14 12" xfId="11611" xr:uid="{00000000-0005-0000-0000-0000F64B0000}"/>
    <cellStyle name="Normal 3 3 14 12 2" xfId="29142" xr:uid="{00000000-0005-0000-0000-0000F74B0000}"/>
    <cellStyle name="Normal 3 3 14 13" xfId="11612" xr:uid="{00000000-0005-0000-0000-0000F84B0000}"/>
    <cellStyle name="Normal 3 3 14 13 2" xfId="29143" xr:uid="{00000000-0005-0000-0000-0000F94B0000}"/>
    <cellStyle name="Normal 3 3 14 14" xfId="11613" xr:uid="{00000000-0005-0000-0000-0000FA4B0000}"/>
    <cellStyle name="Normal 3 3 14 14 2" xfId="29144" xr:uid="{00000000-0005-0000-0000-0000FB4B0000}"/>
    <cellStyle name="Normal 3 3 14 15" xfId="11614" xr:uid="{00000000-0005-0000-0000-0000FC4B0000}"/>
    <cellStyle name="Normal 3 3 14 15 2" xfId="29145" xr:uid="{00000000-0005-0000-0000-0000FD4B0000}"/>
    <cellStyle name="Normal 3 3 14 16" xfId="11615" xr:uid="{00000000-0005-0000-0000-0000FE4B0000}"/>
    <cellStyle name="Normal 3 3 14 16 2" xfId="29146" xr:uid="{00000000-0005-0000-0000-0000FF4B0000}"/>
    <cellStyle name="Normal 3 3 14 17" xfId="11616" xr:uid="{00000000-0005-0000-0000-0000004C0000}"/>
    <cellStyle name="Normal 3 3 14 17 2" xfId="29147" xr:uid="{00000000-0005-0000-0000-0000014C0000}"/>
    <cellStyle name="Normal 3 3 14 18" xfId="11617" xr:uid="{00000000-0005-0000-0000-0000024C0000}"/>
    <cellStyle name="Normal 3 3 14 18 2" xfId="29148" xr:uid="{00000000-0005-0000-0000-0000034C0000}"/>
    <cellStyle name="Normal 3 3 14 19" xfId="11618" xr:uid="{00000000-0005-0000-0000-0000044C0000}"/>
    <cellStyle name="Normal 3 3 14 19 2" xfId="29149" xr:uid="{00000000-0005-0000-0000-0000054C0000}"/>
    <cellStyle name="Normal 3 3 14 2" xfId="11619" xr:uid="{00000000-0005-0000-0000-0000064C0000}"/>
    <cellStyle name="Normal 3 3 14 2 10" xfId="11620" xr:uid="{00000000-0005-0000-0000-0000074C0000}"/>
    <cellStyle name="Normal 3 3 14 2 10 2" xfId="29151" xr:uid="{00000000-0005-0000-0000-0000084C0000}"/>
    <cellStyle name="Normal 3 3 14 2 11" xfId="11621" xr:uid="{00000000-0005-0000-0000-0000094C0000}"/>
    <cellStyle name="Normal 3 3 14 2 11 2" xfId="29152" xr:uid="{00000000-0005-0000-0000-00000A4C0000}"/>
    <cellStyle name="Normal 3 3 14 2 12" xfId="11622" xr:uid="{00000000-0005-0000-0000-00000B4C0000}"/>
    <cellStyle name="Normal 3 3 14 2 12 2" xfId="29153" xr:uid="{00000000-0005-0000-0000-00000C4C0000}"/>
    <cellStyle name="Normal 3 3 14 2 13" xfId="11623" xr:uid="{00000000-0005-0000-0000-00000D4C0000}"/>
    <cellStyle name="Normal 3 3 14 2 13 2" xfId="29154" xr:uid="{00000000-0005-0000-0000-00000E4C0000}"/>
    <cellStyle name="Normal 3 3 14 2 14" xfId="11624" xr:uid="{00000000-0005-0000-0000-00000F4C0000}"/>
    <cellStyle name="Normal 3 3 14 2 14 2" xfId="29155" xr:uid="{00000000-0005-0000-0000-0000104C0000}"/>
    <cellStyle name="Normal 3 3 14 2 15" xfId="11625" xr:uid="{00000000-0005-0000-0000-0000114C0000}"/>
    <cellStyle name="Normal 3 3 14 2 15 2" xfId="29156" xr:uid="{00000000-0005-0000-0000-0000124C0000}"/>
    <cellStyle name="Normal 3 3 14 2 16" xfId="29150" xr:uid="{00000000-0005-0000-0000-0000134C0000}"/>
    <cellStyle name="Normal 3 3 14 2 2" xfId="11626" xr:uid="{00000000-0005-0000-0000-0000144C0000}"/>
    <cellStyle name="Normal 3 3 14 2 2 10" xfId="11627" xr:uid="{00000000-0005-0000-0000-0000154C0000}"/>
    <cellStyle name="Normal 3 3 14 2 2 10 2" xfId="29158" xr:uid="{00000000-0005-0000-0000-0000164C0000}"/>
    <cellStyle name="Normal 3 3 14 2 2 11" xfId="11628" xr:uid="{00000000-0005-0000-0000-0000174C0000}"/>
    <cellStyle name="Normal 3 3 14 2 2 11 2" xfId="29159" xr:uid="{00000000-0005-0000-0000-0000184C0000}"/>
    <cellStyle name="Normal 3 3 14 2 2 12" xfId="11629" xr:uid="{00000000-0005-0000-0000-0000194C0000}"/>
    <cellStyle name="Normal 3 3 14 2 2 12 2" xfId="29160" xr:uid="{00000000-0005-0000-0000-00001A4C0000}"/>
    <cellStyle name="Normal 3 3 14 2 2 13" xfId="11630" xr:uid="{00000000-0005-0000-0000-00001B4C0000}"/>
    <cellStyle name="Normal 3 3 14 2 2 13 2" xfId="29161" xr:uid="{00000000-0005-0000-0000-00001C4C0000}"/>
    <cellStyle name="Normal 3 3 14 2 2 14" xfId="11631" xr:uid="{00000000-0005-0000-0000-00001D4C0000}"/>
    <cellStyle name="Normal 3 3 14 2 2 14 2" xfId="29162" xr:uid="{00000000-0005-0000-0000-00001E4C0000}"/>
    <cellStyle name="Normal 3 3 14 2 2 15" xfId="29157" xr:uid="{00000000-0005-0000-0000-00001F4C0000}"/>
    <cellStyle name="Normal 3 3 14 2 2 2" xfId="11632" xr:uid="{00000000-0005-0000-0000-0000204C0000}"/>
    <cellStyle name="Normal 3 3 14 2 2 2 2" xfId="29163" xr:uid="{00000000-0005-0000-0000-0000214C0000}"/>
    <cellStyle name="Normal 3 3 14 2 2 3" xfId="11633" xr:uid="{00000000-0005-0000-0000-0000224C0000}"/>
    <cellStyle name="Normal 3 3 14 2 2 3 2" xfId="29164" xr:uid="{00000000-0005-0000-0000-0000234C0000}"/>
    <cellStyle name="Normal 3 3 14 2 2 4" xfId="11634" xr:uid="{00000000-0005-0000-0000-0000244C0000}"/>
    <cellStyle name="Normal 3 3 14 2 2 4 2" xfId="29165" xr:uid="{00000000-0005-0000-0000-0000254C0000}"/>
    <cellStyle name="Normal 3 3 14 2 2 5" xfId="11635" xr:uid="{00000000-0005-0000-0000-0000264C0000}"/>
    <cellStyle name="Normal 3 3 14 2 2 5 2" xfId="29166" xr:uid="{00000000-0005-0000-0000-0000274C0000}"/>
    <cellStyle name="Normal 3 3 14 2 2 6" xfId="11636" xr:uid="{00000000-0005-0000-0000-0000284C0000}"/>
    <cellStyle name="Normal 3 3 14 2 2 6 2" xfId="29167" xr:uid="{00000000-0005-0000-0000-0000294C0000}"/>
    <cellStyle name="Normal 3 3 14 2 2 7" xfId="11637" xr:uid="{00000000-0005-0000-0000-00002A4C0000}"/>
    <cellStyle name="Normal 3 3 14 2 2 7 2" xfId="29168" xr:uid="{00000000-0005-0000-0000-00002B4C0000}"/>
    <cellStyle name="Normal 3 3 14 2 2 8" xfId="11638" xr:uid="{00000000-0005-0000-0000-00002C4C0000}"/>
    <cellStyle name="Normal 3 3 14 2 2 8 2" xfId="29169" xr:uid="{00000000-0005-0000-0000-00002D4C0000}"/>
    <cellStyle name="Normal 3 3 14 2 2 9" xfId="11639" xr:uid="{00000000-0005-0000-0000-00002E4C0000}"/>
    <cellStyle name="Normal 3 3 14 2 2 9 2" xfId="29170" xr:uid="{00000000-0005-0000-0000-00002F4C0000}"/>
    <cellStyle name="Normal 3 3 14 2 3" xfId="11640" xr:uid="{00000000-0005-0000-0000-0000304C0000}"/>
    <cellStyle name="Normal 3 3 14 2 3 2" xfId="29171" xr:uid="{00000000-0005-0000-0000-0000314C0000}"/>
    <cellStyle name="Normal 3 3 14 2 4" xfId="11641" xr:uid="{00000000-0005-0000-0000-0000324C0000}"/>
    <cellStyle name="Normal 3 3 14 2 4 2" xfId="29172" xr:uid="{00000000-0005-0000-0000-0000334C0000}"/>
    <cellStyle name="Normal 3 3 14 2 5" xfId="11642" xr:uid="{00000000-0005-0000-0000-0000344C0000}"/>
    <cellStyle name="Normal 3 3 14 2 5 2" xfId="29173" xr:uid="{00000000-0005-0000-0000-0000354C0000}"/>
    <cellStyle name="Normal 3 3 14 2 6" xfId="11643" xr:uid="{00000000-0005-0000-0000-0000364C0000}"/>
    <cellStyle name="Normal 3 3 14 2 6 2" xfId="29174" xr:uid="{00000000-0005-0000-0000-0000374C0000}"/>
    <cellStyle name="Normal 3 3 14 2 7" xfId="11644" xr:uid="{00000000-0005-0000-0000-0000384C0000}"/>
    <cellStyle name="Normal 3 3 14 2 7 2" xfId="29175" xr:uid="{00000000-0005-0000-0000-0000394C0000}"/>
    <cellStyle name="Normal 3 3 14 2 8" xfId="11645" xr:uid="{00000000-0005-0000-0000-00003A4C0000}"/>
    <cellStyle name="Normal 3 3 14 2 8 2" xfId="29176" xr:uid="{00000000-0005-0000-0000-00003B4C0000}"/>
    <cellStyle name="Normal 3 3 14 2 9" xfId="11646" xr:uid="{00000000-0005-0000-0000-00003C4C0000}"/>
    <cellStyle name="Normal 3 3 14 2 9 2" xfId="29177" xr:uid="{00000000-0005-0000-0000-00003D4C0000}"/>
    <cellStyle name="Normal 3 3 14 20" xfId="11647" xr:uid="{00000000-0005-0000-0000-00003E4C0000}"/>
    <cellStyle name="Normal 3 3 14 20 2" xfId="29178" xr:uid="{00000000-0005-0000-0000-00003F4C0000}"/>
    <cellStyle name="Normal 3 3 14 21" xfId="11648" xr:uid="{00000000-0005-0000-0000-0000404C0000}"/>
    <cellStyle name="Normal 3 3 14 21 2" xfId="29179" xr:uid="{00000000-0005-0000-0000-0000414C0000}"/>
    <cellStyle name="Normal 3 3 14 22" xfId="11649" xr:uid="{00000000-0005-0000-0000-0000424C0000}"/>
    <cellStyle name="Normal 3 3 14 22 2" xfId="29180" xr:uid="{00000000-0005-0000-0000-0000434C0000}"/>
    <cellStyle name="Normal 3 3 14 23" xfId="11650" xr:uid="{00000000-0005-0000-0000-0000444C0000}"/>
    <cellStyle name="Normal 3 3 14 23 2" xfId="29181" xr:uid="{00000000-0005-0000-0000-0000454C0000}"/>
    <cellStyle name="Normal 3 3 14 24" xfId="29126" xr:uid="{00000000-0005-0000-0000-0000464C0000}"/>
    <cellStyle name="Normal 3 3 14 3" xfId="11651" xr:uid="{00000000-0005-0000-0000-0000474C0000}"/>
    <cellStyle name="Normal 3 3 14 3 10" xfId="11652" xr:uid="{00000000-0005-0000-0000-0000484C0000}"/>
    <cellStyle name="Normal 3 3 14 3 10 2" xfId="29183" xr:uid="{00000000-0005-0000-0000-0000494C0000}"/>
    <cellStyle name="Normal 3 3 14 3 11" xfId="11653" xr:uid="{00000000-0005-0000-0000-00004A4C0000}"/>
    <cellStyle name="Normal 3 3 14 3 11 2" xfId="29184" xr:uid="{00000000-0005-0000-0000-00004B4C0000}"/>
    <cellStyle name="Normal 3 3 14 3 12" xfId="11654" xr:uid="{00000000-0005-0000-0000-00004C4C0000}"/>
    <cellStyle name="Normal 3 3 14 3 12 2" xfId="29185" xr:uid="{00000000-0005-0000-0000-00004D4C0000}"/>
    <cellStyle name="Normal 3 3 14 3 13" xfId="11655" xr:uid="{00000000-0005-0000-0000-00004E4C0000}"/>
    <cellStyle name="Normal 3 3 14 3 13 2" xfId="29186" xr:uid="{00000000-0005-0000-0000-00004F4C0000}"/>
    <cellStyle name="Normal 3 3 14 3 14" xfId="11656" xr:uid="{00000000-0005-0000-0000-0000504C0000}"/>
    <cellStyle name="Normal 3 3 14 3 14 2" xfId="29187" xr:uid="{00000000-0005-0000-0000-0000514C0000}"/>
    <cellStyle name="Normal 3 3 14 3 15" xfId="11657" xr:uid="{00000000-0005-0000-0000-0000524C0000}"/>
    <cellStyle name="Normal 3 3 14 3 15 2" xfId="29188" xr:uid="{00000000-0005-0000-0000-0000534C0000}"/>
    <cellStyle name="Normal 3 3 14 3 16" xfId="29182" xr:uid="{00000000-0005-0000-0000-0000544C0000}"/>
    <cellStyle name="Normal 3 3 14 3 2" xfId="11658" xr:uid="{00000000-0005-0000-0000-0000554C0000}"/>
    <cellStyle name="Normal 3 3 14 3 2 10" xfId="11659" xr:uid="{00000000-0005-0000-0000-0000564C0000}"/>
    <cellStyle name="Normal 3 3 14 3 2 10 2" xfId="29190" xr:uid="{00000000-0005-0000-0000-0000574C0000}"/>
    <cellStyle name="Normal 3 3 14 3 2 11" xfId="11660" xr:uid="{00000000-0005-0000-0000-0000584C0000}"/>
    <cellStyle name="Normal 3 3 14 3 2 11 2" xfId="29191" xr:uid="{00000000-0005-0000-0000-0000594C0000}"/>
    <cellStyle name="Normal 3 3 14 3 2 12" xfId="11661" xr:uid="{00000000-0005-0000-0000-00005A4C0000}"/>
    <cellStyle name="Normal 3 3 14 3 2 12 2" xfId="29192" xr:uid="{00000000-0005-0000-0000-00005B4C0000}"/>
    <cellStyle name="Normal 3 3 14 3 2 13" xfId="11662" xr:uid="{00000000-0005-0000-0000-00005C4C0000}"/>
    <cellStyle name="Normal 3 3 14 3 2 13 2" xfId="29193" xr:uid="{00000000-0005-0000-0000-00005D4C0000}"/>
    <cellStyle name="Normal 3 3 14 3 2 14" xfId="11663" xr:uid="{00000000-0005-0000-0000-00005E4C0000}"/>
    <cellStyle name="Normal 3 3 14 3 2 14 2" xfId="29194" xr:uid="{00000000-0005-0000-0000-00005F4C0000}"/>
    <cellStyle name="Normal 3 3 14 3 2 15" xfId="29189" xr:uid="{00000000-0005-0000-0000-0000604C0000}"/>
    <cellStyle name="Normal 3 3 14 3 2 2" xfId="11664" xr:uid="{00000000-0005-0000-0000-0000614C0000}"/>
    <cellStyle name="Normal 3 3 14 3 2 2 2" xfId="29195" xr:uid="{00000000-0005-0000-0000-0000624C0000}"/>
    <cellStyle name="Normal 3 3 14 3 2 3" xfId="11665" xr:uid="{00000000-0005-0000-0000-0000634C0000}"/>
    <cellStyle name="Normal 3 3 14 3 2 3 2" xfId="29196" xr:uid="{00000000-0005-0000-0000-0000644C0000}"/>
    <cellStyle name="Normal 3 3 14 3 2 4" xfId="11666" xr:uid="{00000000-0005-0000-0000-0000654C0000}"/>
    <cellStyle name="Normal 3 3 14 3 2 4 2" xfId="29197" xr:uid="{00000000-0005-0000-0000-0000664C0000}"/>
    <cellStyle name="Normal 3 3 14 3 2 5" xfId="11667" xr:uid="{00000000-0005-0000-0000-0000674C0000}"/>
    <cellStyle name="Normal 3 3 14 3 2 5 2" xfId="29198" xr:uid="{00000000-0005-0000-0000-0000684C0000}"/>
    <cellStyle name="Normal 3 3 14 3 2 6" xfId="11668" xr:uid="{00000000-0005-0000-0000-0000694C0000}"/>
    <cellStyle name="Normal 3 3 14 3 2 6 2" xfId="29199" xr:uid="{00000000-0005-0000-0000-00006A4C0000}"/>
    <cellStyle name="Normal 3 3 14 3 2 7" xfId="11669" xr:uid="{00000000-0005-0000-0000-00006B4C0000}"/>
    <cellStyle name="Normal 3 3 14 3 2 7 2" xfId="29200" xr:uid="{00000000-0005-0000-0000-00006C4C0000}"/>
    <cellStyle name="Normal 3 3 14 3 2 8" xfId="11670" xr:uid="{00000000-0005-0000-0000-00006D4C0000}"/>
    <cellStyle name="Normal 3 3 14 3 2 8 2" xfId="29201" xr:uid="{00000000-0005-0000-0000-00006E4C0000}"/>
    <cellStyle name="Normal 3 3 14 3 2 9" xfId="11671" xr:uid="{00000000-0005-0000-0000-00006F4C0000}"/>
    <cellStyle name="Normal 3 3 14 3 2 9 2" xfId="29202" xr:uid="{00000000-0005-0000-0000-0000704C0000}"/>
    <cellStyle name="Normal 3 3 14 3 3" xfId="11672" xr:uid="{00000000-0005-0000-0000-0000714C0000}"/>
    <cellStyle name="Normal 3 3 14 3 3 2" xfId="29203" xr:uid="{00000000-0005-0000-0000-0000724C0000}"/>
    <cellStyle name="Normal 3 3 14 3 4" xfId="11673" xr:uid="{00000000-0005-0000-0000-0000734C0000}"/>
    <cellStyle name="Normal 3 3 14 3 4 2" xfId="29204" xr:uid="{00000000-0005-0000-0000-0000744C0000}"/>
    <cellStyle name="Normal 3 3 14 3 5" xfId="11674" xr:uid="{00000000-0005-0000-0000-0000754C0000}"/>
    <cellStyle name="Normal 3 3 14 3 5 2" xfId="29205" xr:uid="{00000000-0005-0000-0000-0000764C0000}"/>
    <cellStyle name="Normal 3 3 14 3 6" xfId="11675" xr:uid="{00000000-0005-0000-0000-0000774C0000}"/>
    <cellStyle name="Normal 3 3 14 3 6 2" xfId="29206" xr:uid="{00000000-0005-0000-0000-0000784C0000}"/>
    <cellStyle name="Normal 3 3 14 3 7" xfId="11676" xr:uid="{00000000-0005-0000-0000-0000794C0000}"/>
    <cellStyle name="Normal 3 3 14 3 7 2" xfId="29207" xr:uid="{00000000-0005-0000-0000-00007A4C0000}"/>
    <cellStyle name="Normal 3 3 14 3 8" xfId="11677" xr:uid="{00000000-0005-0000-0000-00007B4C0000}"/>
    <cellStyle name="Normal 3 3 14 3 8 2" xfId="29208" xr:uid="{00000000-0005-0000-0000-00007C4C0000}"/>
    <cellStyle name="Normal 3 3 14 3 9" xfId="11678" xr:uid="{00000000-0005-0000-0000-00007D4C0000}"/>
    <cellStyle name="Normal 3 3 14 3 9 2" xfId="29209" xr:uid="{00000000-0005-0000-0000-00007E4C0000}"/>
    <cellStyle name="Normal 3 3 14 4" xfId="11679" xr:uid="{00000000-0005-0000-0000-00007F4C0000}"/>
    <cellStyle name="Normal 3 3 14 4 10" xfId="11680" xr:uid="{00000000-0005-0000-0000-0000804C0000}"/>
    <cellStyle name="Normal 3 3 14 4 10 2" xfId="29211" xr:uid="{00000000-0005-0000-0000-0000814C0000}"/>
    <cellStyle name="Normal 3 3 14 4 11" xfId="11681" xr:uid="{00000000-0005-0000-0000-0000824C0000}"/>
    <cellStyle name="Normal 3 3 14 4 11 2" xfId="29212" xr:uid="{00000000-0005-0000-0000-0000834C0000}"/>
    <cellStyle name="Normal 3 3 14 4 12" xfId="11682" xr:uid="{00000000-0005-0000-0000-0000844C0000}"/>
    <cellStyle name="Normal 3 3 14 4 12 2" xfId="29213" xr:uid="{00000000-0005-0000-0000-0000854C0000}"/>
    <cellStyle name="Normal 3 3 14 4 13" xfId="11683" xr:uid="{00000000-0005-0000-0000-0000864C0000}"/>
    <cellStyle name="Normal 3 3 14 4 13 2" xfId="29214" xr:uid="{00000000-0005-0000-0000-0000874C0000}"/>
    <cellStyle name="Normal 3 3 14 4 14" xfId="11684" xr:uid="{00000000-0005-0000-0000-0000884C0000}"/>
    <cellStyle name="Normal 3 3 14 4 14 2" xfId="29215" xr:uid="{00000000-0005-0000-0000-0000894C0000}"/>
    <cellStyle name="Normal 3 3 14 4 15" xfId="11685" xr:uid="{00000000-0005-0000-0000-00008A4C0000}"/>
    <cellStyle name="Normal 3 3 14 4 15 2" xfId="29216" xr:uid="{00000000-0005-0000-0000-00008B4C0000}"/>
    <cellStyle name="Normal 3 3 14 4 16" xfId="29210" xr:uid="{00000000-0005-0000-0000-00008C4C0000}"/>
    <cellStyle name="Normal 3 3 14 4 2" xfId="11686" xr:uid="{00000000-0005-0000-0000-00008D4C0000}"/>
    <cellStyle name="Normal 3 3 14 4 2 10" xfId="11687" xr:uid="{00000000-0005-0000-0000-00008E4C0000}"/>
    <cellStyle name="Normal 3 3 14 4 2 10 2" xfId="29218" xr:uid="{00000000-0005-0000-0000-00008F4C0000}"/>
    <cellStyle name="Normal 3 3 14 4 2 11" xfId="11688" xr:uid="{00000000-0005-0000-0000-0000904C0000}"/>
    <cellStyle name="Normal 3 3 14 4 2 11 2" xfId="29219" xr:uid="{00000000-0005-0000-0000-0000914C0000}"/>
    <cellStyle name="Normal 3 3 14 4 2 12" xfId="11689" xr:uid="{00000000-0005-0000-0000-0000924C0000}"/>
    <cellStyle name="Normal 3 3 14 4 2 12 2" xfId="29220" xr:uid="{00000000-0005-0000-0000-0000934C0000}"/>
    <cellStyle name="Normal 3 3 14 4 2 13" xfId="11690" xr:uid="{00000000-0005-0000-0000-0000944C0000}"/>
    <cellStyle name="Normal 3 3 14 4 2 13 2" xfId="29221" xr:uid="{00000000-0005-0000-0000-0000954C0000}"/>
    <cellStyle name="Normal 3 3 14 4 2 14" xfId="11691" xr:uid="{00000000-0005-0000-0000-0000964C0000}"/>
    <cellStyle name="Normal 3 3 14 4 2 14 2" xfId="29222" xr:uid="{00000000-0005-0000-0000-0000974C0000}"/>
    <cellStyle name="Normal 3 3 14 4 2 15" xfId="29217" xr:uid="{00000000-0005-0000-0000-0000984C0000}"/>
    <cellStyle name="Normal 3 3 14 4 2 2" xfId="11692" xr:uid="{00000000-0005-0000-0000-0000994C0000}"/>
    <cellStyle name="Normal 3 3 14 4 2 2 2" xfId="29223" xr:uid="{00000000-0005-0000-0000-00009A4C0000}"/>
    <cellStyle name="Normal 3 3 14 4 2 3" xfId="11693" xr:uid="{00000000-0005-0000-0000-00009B4C0000}"/>
    <cellStyle name="Normal 3 3 14 4 2 3 2" xfId="29224" xr:uid="{00000000-0005-0000-0000-00009C4C0000}"/>
    <cellStyle name="Normal 3 3 14 4 2 4" xfId="11694" xr:uid="{00000000-0005-0000-0000-00009D4C0000}"/>
    <cellStyle name="Normal 3 3 14 4 2 4 2" xfId="29225" xr:uid="{00000000-0005-0000-0000-00009E4C0000}"/>
    <cellStyle name="Normal 3 3 14 4 2 5" xfId="11695" xr:uid="{00000000-0005-0000-0000-00009F4C0000}"/>
    <cellStyle name="Normal 3 3 14 4 2 5 2" xfId="29226" xr:uid="{00000000-0005-0000-0000-0000A04C0000}"/>
    <cellStyle name="Normal 3 3 14 4 2 6" xfId="11696" xr:uid="{00000000-0005-0000-0000-0000A14C0000}"/>
    <cellStyle name="Normal 3 3 14 4 2 6 2" xfId="29227" xr:uid="{00000000-0005-0000-0000-0000A24C0000}"/>
    <cellStyle name="Normal 3 3 14 4 2 7" xfId="11697" xr:uid="{00000000-0005-0000-0000-0000A34C0000}"/>
    <cellStyle name="Normal 3 3 14 4 2 7 2" xfId="29228" xr:uid="{00000000-0005-0000-0000-0000A44C0000}"/>
    <cellStyle name="Normal 3 3 14 4 2 8" xfId="11698" xr:uid="{00000000-0005-0000-0000-0000A54C0000}"/>
    <cellStyle name="Normal 3 3 14 4 2 8 2" xfId="29229" xr:uid="{00000000-0005-0000-0000-0000A64C0000}"/>
    <cellStyle name="Normal 3 3 14 4 2 9" xfId="11699" xr:uid="{00000000-0005-0000-0000-0000A74C0000}"/>
    <cellStyle name="Normal 3 3 14 4 2 9 2" xfId="29230" xr:uid="{00000000-0005-0000-0000-0000A84C0000}"/>
    <cellStyle name="Normal 3 3 14 4 3" xfId="11700" xr:uid="{00000000-0005-0000-0000-0000A94C0000}"/>
    <cellStyle name="Normal 3 3 14 4 3 2" xfId="29231" xr:uid="{00000000-0005-0000-0000-0000AA4C0000}"/>
    <cellStyle name="Normal 3 3 14 4 4" xfId="11701" xr:uid="{00000000-0005-0000-0000-0000AB4C0000}"/>
    <cellStyle name="Normal 3 3 14 4 4 2" xfId="29232" xr:uid="{00000000-0005-0000-0000-0000AC4C0000}"/>
    <cellStyle name="Normal 3 3 14 4 5" xfId="11702" xr:uid="{00000000-0005-0000-0000-0000AD4C0000}"/>
    <cellStyle name="Normal 3 3 14 4 5 2" xfId="29233" xr:uid="{00000000-0005-0000-0000-0000AE4C0000}"/>
    <cellStyle name="Normal 3 3 14 4 6" xfId="11703" xr:uid="{00000000-0005-0000-0000-0000AF4C0000}"/>
    <cellStyle name="Normal 3 3 14 4 6 2" xfId="29234" xr:uid="{00000000-0005-0000-0000-0000B04C0000}"/>
    <cellStyle name="Normal 3 3 14 4 7" xfId="11704" xr:uid="{00000000-0005-0000-0000-0000B14C0000}"/>
    <cellStyle name="Normal 3 3 14 4 7 2" xfId="29235" xr:uid="{00000000-0005-0000-0000-0000B24C0000}"/>
    <cellStyle name="Normal 3 3 14 4 8" xfId="11705" xr:uid="{00000000-0005-0000-0000-0000B34C0000}"/>
    <cellStyle name="Normal 3 3 14 4 8 2" xfId="29236" xr:uid="{00000000-0005-0000-0000-0000B44C0000}"/>
    <cellStyle name="Normal 3 3 14 4 9" xfId="11706" xr:uid="{00000000-0005-0000-0000-0000B54C0000}"/>
    <cellStyle name="Normal 3 3 14 4 9 2" xfId="29237" xr:uid="{00000000-0005-0000-0000-0000B64C0000}"/>
    <cellStyle name="Normal 3 3 14 5" xfId="11707" xr:uid="{00000000-0005-0000-0000-0000B74C0000}"/>
    <cellStyle name="Normal 3 3 14 5 10" xfId="11708" xr:uid="{00000000-0005-0000-0000-0000B84C0000}"/>
    <cellStyle name="Normal 3 3 14 5 10 2" xfId="29239" xr:uid="{00000000-0005-0000-0000-0000B94C0000}"/>
    <cellStyle name="Normal 3 3 14 5 11" xfId="11709" xr:uid="{00000000-0005-0000-0000-0000BA4C0000}"/>
    <cellStyle name="Normal 3 3 14 5 11 2" xfId="29240" xr:uid="{00000000-0005-0000-0000-0000BB4C0000}"/>
    <cellStyle name="Normal 3 3 14 5 12" xfId="11710" xr:uid="{00000000-0005-0000-0000-0000BC4C0000}"/>
    <cellStyle name="Normal 3 3 14 5 12 2" xfId="29241" xr:uid="{00000000-0005-0000-0000-0000BD4C0000}"/>
    <cellStyle name="Normal 3 3 14 5 13" xfId="11711" xr:uid="{00000000-0005-0000-0000-0000BE4C0000}"/>
    <cellStyle name="Normal 3 3 14 5 13 2" xfId="29242" xr:uid="{00000000-0005-0000-0000-0000BF4C0000}"/>
    <cellStyle name="Normal 3 3 14 5 14" xfId="11712" xr:uid="{00000000-0005-0000-0000-0000C04C0000}"/>
    <cellStyle name="Normal 3 3 14 5 14 2" xfId="29243" xr:uid="{00000000-0005-0000-0000-0000C14C0000}"/>
    <cellStyle name="Normal 3 3 14 5 15" xfId="29238" xr:uid="{00000000-0005-0000-0000-0000C24C0000}"/>
    <cellStyle name="Normal 3 3 14 5 2" xfId="11713" xr:uid="{00000000-0005-0000-0000-0000C34C0000}"/>
    <cellStyle name="Normal 3 3 14 5 2 2" xfId="29244" xr:uid="{00000000-0005-0000-0000-0000C44C0000}"/>
    <cellStyle name="Normal 3 3 14 5 3" xfId="11714" xr:uid="{00000000-0005-0000-0000-0000C54C0000}"/>
    <cellStyle name="Normal 3 3 14 5 3 2" xfId="29245" xr:uid="{00000000-0005-0000-0000-0000C64C0000}"/>
    <cellStyle name="Normal 3 3 14 5 4" xfId="11715" xr:uid="{00000000-0005-0000-0000-0000C74C0000}"/>
    <cellStyle name="Normal 3 3 14 5 4 2" xfId="29246" xr:uid="{00000000-0005-0000-0000-0000C84C0000}"/>
    <cellStyle name="Normal 3 3 14 5 5" xfId="11716" xr:uid="{00000000-0005-0000-0000-0000C94C0000}"/>
    <cellStyle name="Normal 3 3 14 5 5 2" xfId="29247" xr:uid="{00000000-0005-0000-0000-0000CA4C0000}"/>
    <cellStyle name="Normal 3 3 14 5 6" xfId="11717" xr:uid="{00000000-0005-0000-0000-0000CB4C0000}"/>
    <cellStyle name="Normal 3 3 14 5 6 2" xfId="29248" xr:uid="{00000000-0005-0000-0000-0000CC4C0000}"/>
    <cellStyle name="Normal 3 3 14 5 7" xfId="11718" xr:uid="{00000000-0005-0000-0000-0000CD4C0000}"/>
    <cellStyle name="Normal 3 3 14 5 7 2" xfId="29249" xr:uid="{00000000-0005-0000-0000-0000CE4C0000}"/>
    <cellStyle name="Normal 3 3 14 5 8" xfId="11719" xr:uid="{00000000-0005-0000-0000-0000CF4C0000}"/>
    <cellStyle name="Normal 3 3 14 5 8 2" xfId="29250" xr:uid="{00000000-0005-0000-0000-0000D04C0000}"/>
    <cellStyle name="Normal 3 3 14 5 9" xfId="11720" xr:uid="{00000000-0005-0000-0000-0000D14C0000}"/>
    <cellStyle name="Normal 3 3 14 5 9 2" xfId="29251" xr:uid="{00000000-0005-0000-0000-0000D24C0000}"/>
    <cellStyle name="Normal 3 3 14 6" xfId="11721" xr:uid="{00000000-0005-0000-0000-0000D34C0000}"/>
    <cellStyle name="Normal 3 3 14 6 10" xfId="11722" xr:uid="{00000000-0005-0000-0000-0000D44C0000}"/>
    <cellStyle name="Normal 3 3 14 6 10 2" xfId="29253" xr:uid="{00000000-0005-0000-0000-0000D54C0000}"/>
    <cellStyle name="Normal 3 3 14 6 11" xfId="11723" xr:uid="{00000000-0005-0000-0000-0000D64C0000}"/>
    <cellStyle name="Normal 3 3 14 6 11 2" xfId="29254" xr:uid="{00000000-0005-0000-0000-0000D74C0000}"/>
    <cellStyle name="Normal 3 3 14 6 12" xfId="11724" xr:uid="{00000000-0005-0000-0000-0000D84C0000}"/>
    <cellStyle name="Normal 3 3 14 6 12 2" xfId="29255" xr:uid="{00000000-0005-0000-0000-0000D94C0000}"/>
    <cellStyle name="Normal 3 3 14 6 13" xfId="11725" xr:uid="{00000000-0005-0000-0000-0000DA4C0000}"/>
    <cellStyle name="Normal 3 3 14 6 13 2" xfId="29256" xr:uid="{00000000-0005-0000-0000-0000DB4C0000}"/>
    <cellStyle name="Normal 3 3 14 6 14" xfId="11726" xr:uid="{00000000-0005-0000-0000-0000DC4C0000}"/>
    <cellStyle name="Normal 3 3 14 6 14 2" xfId="29257" xr:uid="{00000000-0005-0000-0000-0000DD4C0000}"/>
    <cellStyle name="Normal 3 3 14 6 15" xfId="29252" xr:uid="{00000000-0005-0000-0000-0000DE4C0000}"/>
    <cellStyle name="Normal 3 3 14 6 2" xfId="11727" xr:uid="{00000000-0005-0000-0000-0000DF4C0000}"/>
    <cellStyle name="Normal 3 3 14 6 2 2" xfId="29258" xr:uid="{00000000-0005-0000-0000-0000E04C0000}"/>
    <cellStyle name="Normal 3 3 14 6 3" xfId="11728" xr:uid="{00000000-0005-0000-0000-0000E14C0000}"/>
    <cellStyle name="Normal 3 3 14 6 3 2" xfId="29259" xr:uid="{00000000-0005-0000-0000-0000E24C0000}"/>
    <cellStyle name="Normal 3 3 14 6 4" xfId="11729" xr:uid="{00000000-0005-0000-0000-0000E34C0000}"/>
    <cellStyle name="Normal 3 3 14 6 4 2" xfId="29260" xr:uid="{00000000-0005-0000-0000-0000E44C0000}"/>
    <cellStyle name="Normal 3 3 14 6 5" xfId="11730" xr:uid="{00000000-0005-0000-0000-0000E54C0000}"/>
    <cellStyle name="Normal 3 3 14 6 5 2" xfId="29261" xr:uid="{00000000-0005-0000-0000-0000E64C0000}"/>
    <cellStyle name="Normal 3 3 14 6 6" xfId="11731" xr:uid="{00000000-0005-0000-0000-0000E74C0000}"/>
    <cellStyle name="Normal 3 3 14 6 6 2" xfId="29262" xr:uid="{00000000-0005-0000-0000-0000E84C0000}"/>
    <cellStyle name="Normal 3 3 14 6 7" xfId="11732" xr:uid="{00000000-0005-0000-0000-0000E94C0000}"/>
    <cellStyle name="Normal 3 3 14 6 7 2" xfId="29263" xr:uid="{00000000-0005-0000-0000-0000EA4C0000}"/>
    <cellStyle name="Normal 3 3 14 6 8" xfId="11733" xr:uid="{00000000-0005-0000-0000-0000EB4C0000}"/>
    <cellStyle name="Normal 3 3 14 6 8 2" xfId="29264" xr:uid="{00000000-0005-0000-0000-0000EC4C0000}"/>
    <cellStyle name="Normal 3 3 14 6 9" xfId="11734" xr:uid="{00000000-0005-0000-0000-0000ED4C0000}"/>
    <cellStyle name="Normal 3 3 14 6 9 2" xfId="29265" xr:uid="{00000000-0005-0000-0000-0000EE4C0000}"/>
    <cellStyle name="Normal 3 3 14 7" xfId="11735" xr:uid="{00000000-0005-0000-0000-0000EF4C0000}"/>
    <cellStyle name="Normal 3 3 14 7 10" xfId="11736" xr:uid="{00000000-0005-0000-0000-0000F04C0000}"/>
    <cellStyle name="Normal 3 3 14 7 10 2" xfId="29267" xr:uid="{00000000-0005-0000-0000-0000F14C0000}"/>
    <cellStyle name="Normal 3 3 14 7 11" xfId="11737" xr:uid="{00000000-0005-0000-0000-0000F24C0000}"/>
    <cellStyle name="Normal 3 3 14 7 11 2" xfId="29268" xr:uid="{00000000-0005-0000-0000-0000F34C0000}"/>
    <cellStyle name="Normal 3 3 14 7 12" xfId="11738" xr:uid="{00000000-0005-0000-0000-0000F44C0000}"/>
    <cellStyle name="Normal 3 3 14 7 12 2" xfId="29269" xr:uid="{00000000-0005-0000-0000-0000F54C0000}"/>
    <cellStyle name="Normal 3 3 14 7 13" xfId="11739" xr:uid="{00000000-0005-0000-0000-0000F64C0000}"/>
    <cellStyle name="Normal 3 3 14 7 13 2" xfId="29270" xr:uid="{00000000-0005-0000-0000-0000F74C0000}"/>
    <cellStyle name="Normal 3 3 14 7 14" xfId="11740" xr:uid="{00000000-0005-0000-0000-0000F84C0000}"/>
    <cellStyle name="Normal 3 3 14 7 14 2" xfId="29271" xr:uid="{00000000-0005-0000-0000-0000F94C0000}"/>
    <cellStyle name="Normal 3 3 14 7 15" xfId="29266" xr:uid="{00000000-0005-0000-0000-0000FA4C0000}"/>
    <cellStyle name="Normal 3 3 14 7 2" xfId="11741" xr:uid="{00000000-0005-0000-0000-0000FB4C0000}"/>
    <cellStyle name="Normal 3 3 14 7 2 2" xfId="29272" xr:uid="{00000000-0005-0000-0000-0000FC4C0000}"/>
    <cellStyle name="Normal 3 3 14 7 3" xfId="11742" xr:uid="{00000000-0005-0000-0000-0000FD4C0000}"/>
    <cellStyle name="Normal 3 3 14 7 3 2" xfId="29273" xr:uid="{00000000-0005-0000-0000-0000FE4C0000}"/>
    <cellStyle name="Normal 3 3 14 7 4" xfId="11743" xr:uid="{00000000-0005-0000-0000-0000FF4C0000}"/>
    <cellStyle name="Normal 3 3 14 7 4 2" xfId="29274" xr:uid="{00000000-0005-0000-0000-0000004D0000}"/>
    <cellStyle name="Normal 3 3 14 7 5" xfId="11744" xr:uid="{00000000-0005-0000-0000-0000014D0000}"/>
    <cellStyle name="Normal 3 3 14 7 5 2" xfId="29275" xr:uid="{00000000-0005-0000-0000-0000024D0000}"/>
    <cellStyle name="Normal 3 3 14 7 6" xfId="11745" xr:uid="{00000000-0005-0000-0000-0000034D0000}"/>
    <cellStyle name="Normal 3 3 14 7 6 2" xfId="29276" xr:uid="{00000000-0005-0000-0000-0000044D0000}"/>
    <cellStyle name="Normal 3 3 14 7 7" xfId="11746" xr:uid="{00000000-0005-0000-0000-0000054D0000}"/>
    <cellStyle name="Normal 3 3 14 7 7 2" xfId="29277" xr:uid="{00000000-0005-0000-0000-0000064D0000}"/>
    <cellStyle name="Normal 3 3 14 7 8" xfId="11747" xr:uid="{00000000-0005-0000-0000-0000074D0000}"/>
    <cellStyle name="Normal 3 3 14 7 8 2" xfId="29278" xr:uid="{00000000-0005-0000-0000-0000084D0000}"/>
    <cellStyle name="Normal 3 3 14 7 9" xfId="11748" xr:uid="{00000000-0005-0000-0000-0000094D0000}"/>
    <cellStyle name="Normal 3 3 14 7 9 2" xfId="29279" xr:uid="{00000000-0005-0000-0000-00000A4D0000}"/>
    <cellStyle name="Normal 3 3 14 8" xfId="11749" xr:uid="{00000000-0005-0000-0000-00000B4D0000}"/>
    <cellStyle name="Normal 3 3 14 8 10" xfId="11750" xr:uid="{00000000-0005-0000-0000-00000C4D0000}"/>
    <cellStyle name="Normal 3 3 14 8 10 2" xfId="29281" xr:uid="{00000000-0005-0000-0000-00000D4D0000}"/>
    <cellStyle name="Normal 3 3 14 8 11" xfId="11751" xr:uid="{00000000-0005-0000-0000-00000E4D0000}"/>
    <cellStyle name="Normal 3 3 14 8 11 2" xfId="29282" xr:uid="{00000000-0005-0000-0000-00000F4D0000}"/>
    <cellStyle name="Normal 3 3 14 8 12" xfId="11752" xr:uid="{00000000-0005-0000-0000-0000104D0000}"/>
    <cellStyle name="Normal 3 3 14 8 12 2" xfId="29283" xr:uid="{00000000-0005-0000-0000-0000114D0000}"/>
    <cellStyle name="Normal 3 3 14 8 13" xfId="11753" xr:uid="{00000000-0005-0000-0000-0000124D0000}"/>
    <cellStyle name="Normal 3 3 14 8 13 2" xfId="29284" xr:uid="{00000000-0005-0000-0000-0000134D0000}"/>
    <cellStyle name="Normal 3 3 14 8 14" xfId="11754" xr:uid="{00000000-0005-0000-0000-0000144D0000}"/>
    <cellStyle name="Normal 3 3 14 8 14 2" xfId="29285" xr:uid="{00000000-0005-0000-0000-0000154D0000}"/>
    <cellStyle name="Normal 3 3 14 8 15" xfId="29280" xr:uid="{00000000-0005-0000-0000-0000164D0000}"/>
    <cellStyle name="Normal 3 3 14 8 2" xfId="11755" xr:uid="{00000000-0005-0000-0000-0000174D0000}"/>
    <cellStyle name="Normal 3 3 14 8 2 2" xfId="29286" xr:uid="{00000000-0005-0000-0000-0000184D0000}"/>
    <cellStyle name="Normal 3 3 14 8 3" xfId="11756" xr:uid="{00000000-0005-0000-0000-0000194D0000}"/>
    <cellStyle name="Normal 3 3 14 8 3 2" xfId="29287" xr:uid="{00000000-0005-0000-0000-00001A4D0000}"/>
    <cellStyle name="Normal 3 3 14 8 4" xfId="11757" xr:uid="{00000000-0005-0000-0000-00001B4D0000}"/>
    <cellStyle name="Normal 3 3 14 8 4 2" xfId="29288" xr:uid="{00000000-0005-0000-0000-00001C4D0000}"/>
    <cellStyle name="Normal 3 3 14 8 5" xfId="11758" xr:uid="{00000000-0005-0000-0000-00001D4D0000}"/>
    <cellStyle name="Normal 3 3 14 8 5 2" xfId="29289" xr:uid="{00000000-0005-0000-0000-00001E4D0000}"/>
    <cellStyle name="Normal 3 3 14 8 6" xfId="11759" xr:uid="{00000000-0005-0000-0000-00001F4D0000}"/>
    <cellStyle name="Normal 3 3 14 8 6 2" xfId="29290" xr:uid="{00000000-0005-0000-0000-0000204D0000}"/>
    <cellStyle name="Normal 3 3 14 8 7" xfId="11760" xr:uid="{00000000-0005-0000-0000-0000214D0000}"/>
    <cellStyle name="Normal 3 3 14 8 7 2" xfId="29291" xr:uid="{00000000-0005-0000-0000-0000224D0000}"/>
    <cellStyle name="Normal 3 3 14 8 8" xfId="11761" xr:uid="{00000000-0005-0000-0000-0000234D0000}"/>
    <cellStyle name="Normal 3 3 14 8 8 2" xfId="29292" xr:uid="{00000000-0005-0000-0000-0000244D0000}"/>
    <cellStyle name="Normal 3 3 14 8 9" xfId="11762" xr:uid="{00000000-0005-0000-0000-0000254D0000}"/>
    <cellStyle name="Normal 3 3 14 8 9 2" xfId="29293" xr:uid="{00000000-0005-0000-0000-0000264D0000}"/>
    <cellStyle name="Normal 3 3 14 9" xfId="11763" xr:uid="{00000000-0005-0000-0000-0000274D0000}"/>
    <cellStyle name="Normal 3 3 14 9 10" xfId="11764" xr:uid="{00000000-0005-0000-0000-0000284D0000}"/>
    <cellStyle name="Normal 3 3 14 9 10 2" xfId="29295" xr:uid="{00000000-0005-0000-0000-0000294D0000}"/>
    <cellStyle name="Normal 3 3 14 9 11" xfId="11765" xr:uid="{00000000-0005-0000-0000-00002A4D0000}"/>
    <cellStyle name="Normal 3 3 14 9 11 2" xfId="29296" xr:uid="{00000000-0005-0000-0000-00002B4D0000}"/>
    <cellStyle name="Normal 3 3 14 9 12" xfId="11766" xr:uid="{00000000-0005-0000-0000-00002C4D0000}"/>
    <cellStyle name="Normal 3 3 14 9 12 2" xfId="29297" xr:uid="{00000000-0005-0000-0000-00002D4D0000}"/>
    <cellStyle name="Normal 3 3 14 9 13" xfId="11767" xr:uid="{00000000-0005-0000-0000-00002E4D0000}"/>
    <cellStyle name="Normal 3 3 14 9 13 2" xfId="29298" xr:uid="{00000000-0005-0000-0000-00002F4D0000}"/>
    <cellStyle name="Normal 3 3 14 9 14" xfId="11768" xr:uid="{00000000-0005-0000-0000-0000304D0000}"/>
    <cellStyle name="Normal 3 3 14 9 14 2" xfId="29299" xr:uid="{00000000-0005-0000-0000-0000314D0000}"/>
    <cellStyle name="Normal 3 3 14 9 15" xfId="29294" xr:uid="{00000000-0005-0000-0000-0000324D0000}"/>
    <cellStyle name="Normal 3 3 14 9 2" xfId="11769" xr:uid="{00000000-0005-0000-0000-0000334D0000}"/>
    <cellStyle name="Normal 3 3 14 9 2 2" xfId="29300" xr:uid="{00000000-0005-0000-0000-0000344D0000}"/>
    <cellStyle name="Normal 3 3 14 9 3" xfId="11770" xr:uid="{00000000-0005-0000-0000-0000354D0000}"/>
    <cellStyle name="Normal 3 3 14 9 3 2" xfId="29301" xr:uid="{00000000-0005-0000-0000-0000364D0000}"/>
    <cellStyle name="Normal 3 3 14 9 4" xfId="11771" xr:uid="{00000000-0005-0000-0000-0000374D0000}"/>
    <cellStyle name="Normal 3 3 14 9 4 2" xfId="29302" xr:uid="{00000000-0005-0000-0000-0000384D0000}"/>
    <cellStyle name="Normal 3 3 14 9 5" xfId="11772" xr:uid="{00000000-0005-0000-0000-0000394D0000}"/>
    <cellStyle name="Normal 3 3 14 9 5 2" xfId="29303" xr:uid="{00000000-0005-0000-0000-00003A4D0000}"/>
    <cellStyle name="Normal 3 3 14 9 6" xfId="11773" xr:uid="{00000000-0005-0000-0000-00003B4D0000}"/>
    <cellStyle name="Normal 3 3 14 9 6 2" xfId="29304" xr:uid="{00000000-0005-0000-0000-00003C4D0000}"/>
    <cellStyle name="Normal 3 3 14 9 7" xfId="11774" xr:uid="{00000000-0005-0000-0000-00003D4D0000}"/>
    <cellStyle name="Normal 3 3 14 9 7 2" xfId="29305" xr:uid="{00000000-0005-0000-0000-00003E4D0000}"/>
    <cellStyle name="Normal 3 3 14 9 8" xfId="11775" xr:uid="{00000000-0005-0000-0000-00003F4D0000}"/>
    <cellStyle name="Normal 3 3 14 9 8 2" xfId="29306" xr:uid="{00000000-0005-0000-0000-0000404D0000}"/>
    <cellStyle name="Normal 3 3 14 9 9" xfId="11776" xr:uid="{00000000-0005-0000-0000-0000414D0000}"/>
    <cellStyle name="Normal 3 3 14 9 9 2" xfId="29307" xr:uid="{00000000-0005-0000-0000-0000424D0000}"/>
    <cellStyle name="Normal 3 3 15" xfId="11777" xr:uid="{00000000-0005-0000-0000-0000434D0000}"/>
    <cellStyle name="Normal 3 3 15 10" xfId="11778" xr:uid="{00000000-0005-0000-0000-0000444D0000}"/>
    <cellStyle name="Normal 3 3 15 10 10" xfId="11779" xr:uid="{00000000-0005-0000-0000-0000454D0000}"/>
    <cellStyle name="Normal 3 3 15 10 10 2" xfId="29310" xr:uid="{00000000-0005-0000-0000-0000464D0000}"/>
    <cellStyle name="Normal 3 3 15 10 11" xfId="11780" xr:uid="{00000000-0005-0000-0000-0000474D0000}"/>
    <cellStyle name="Normal 3 3 15 10 11 2" xfId="29311" xr:uid="{00000000-0005-0000-0000-0000484D0000}"/>
    <cellStyle name="Normal 3 3 15 10 12" xfId="11781" xr:uid="{00000000-0005-0000-0000-0000494D0000}"/>
    <cellStyle name="Normal 3 3 15 10 12 2" xfId="29312" xr:uid="{00000000-0005-0000-0000-00004A4D0000}"/>
    <cellStyle name="Normal 3 3 15 10 13" xfId="11782" xr:uid="{00000000-0005-0000-0000-00004B4D0000}"/>
    <cellStyle name="Normal 3 3 15 10 13 2" xfId="29313" xr:uid="{00000000-0005-0000-0000-00004C4D0000}"/>
    <cellStyle name="Normal 3 3 15 10 14" xfId="11783" xr:uid="{00000000-0005-0000-0000-00004D4D0000}"/>
    <cellStyle name="Normal 3 3 15 10 14 2" xfId="29314" xr:uid="{00000000-0005-0000-0000-00004E4D0000}"/>
    <cellStyle name="Normal 3 3 15 10 15" xfId="29309" xr:uid="{00000000-0005-0000-0000-00004F4D0000}"/>
    <cellStyle name="Normal 3 3 15 10 2" xfId="11784" xr:uid="{00000000-0005-0000-0000-0000504D0000}"/>
    <cellStyle name="Normal 3 3 15 10 2 2" xfId="29315" xr:uid="{00000000-0005-0000-0000-0000514D0000}"/>
    <cellStyle name="Normal 3 3 15 10 3" xfId="11785" xr:uid="{00000000-0005-0000-0000-0000524D0000}"/>
    <cellStyle name="Normal 3 3 15 10 3 2" xfId="29316" xr:uid="{00000000-0005-0000-0000-0000534D0000}"/>
    <cellStyle name="Normal 3 3 15 10 4" xfId="11786" xr:uid="{00000000-0005-0000-0000-0000544D0000}"/>
    <cellStyle name="Normal 3 3 15 10 4 2" xfId="29317" xr:uid="{00000000-0005-0000-0000-0000554D0000}"/>
    <cellStyle name="Normal 3 3 15 10 5" xfId="11787" xr:uid="{00000000-0005-0000-0000-0000564D0000}"/>
    <cellStyle name="Normal 3 3 15 10 5 2" xfId="29318" xr:uid="{00000000-0005-0000-0000-0000574D0000}"/>
    <cellStyle name="Normal 3 3 15 10 6" xfId="11788" xr:uid="{00000000-0005-0000-0000-0000584D0000}"/>
    <cellStyle name="Normal 3 3 15 10 6 2" xfId="29319" xr:uid="{00000000-0005-0000-0000-0000594D0000}"/>
    <cellStyle name="Normal 3 3 15 10 7" xfId="11789" xr:uid="{00000000-0005-0000-0000-00005A4D0000}"/>
    <cellStyle name="Normal 3 3 15 10 7 2" xfId="29320" xr:uid="{00000000-0005-0000-0000-00005B4D0000}"/>
    <cellStyle name="Normal 3 3 15 10 8" xfId="11790" xr:uid="{00000000-0005-0000-0000-00005C4D0000}"/>
    <cellStyle name="Normal 3 3 15 10 8 2" xfId="29321" xr:uid="{00000000-0005-0000-0000-00005D4D0000}"/>
    <cellStyle name="Normal 3 3 15 10 9" xfId="11791" xr:uid="{00000000-0005-0000-0000-00005E4D0000}"/>
    <cellStyle name="Normal 3 3 15 10 9 2" xfId="29322" xr:uid="{00000000-0005-0000-0000-00005F4D0000}"/>
    <cellStyle name="Normal 3 3 15 11" xfId="11792" xr:uid="{00000000-0005-0000-0000-0000604D0000}"/>
    <cellStyle name="Normal 3 3 15 11 2" xfId="29323" xr:uid="{00000000-0005-0000-0000-0000614D0000}"/>
    <cellStyle name="Normal 3 3 15 12" xfId="11793" xr:uid="{00000000-0005-0000-0000-0000624D0000}"/>
    <cellStyle name="Normal 3 3 15 12 2" xfId="29324" xr:uid="{00000000-0005-0000-0000-0000634D0000}"/>
    <cellStyle name="Normal 3 3 15 13" xfId="11794" xr:uid="{00000000-0005-0000-0000-0000644D0000}"/>
    <cellStyle name="Normal 3 3 15 13 2" xfId="29325" xr:uid="{00000000-0005-0000-0000-0000654D0000}"/>
    <cellStyle name="Normal 3 3 15 14" xfId="11795" xr:uid="{00000000-0005-0000-0000-0000664D0000}"/>
    <cellStyle name="Normal 3 3 15 14 2" xfId="29326" xr:uid="{00000000-0005-0000-0000-0000674D0000}"/>
    <cellStyle name="Normal 3 3 15 15" xfId="11796" xr:uid="{00000000-0005-0000-0000-0000684D0000}"/>
    <cellStyle name="Normal 3 3 15 15 2" xfId="29327" xr:uid="{00000000-0005-0000-0000-0000694D0000}"/>
    <cellStyle name="Normal 3 3 15 16" xfId="11797" xr:uid="{00000000-0005-0000-0000-00006A4D0000}"/>
    <cellStyle name="Normal 3 3 15 16 2" xfId="29328" xr:uid="{00000000-0005-0000-0000-00006B4D0000}"/>
    <cellStyle name="Normal 3 3 15 17" xfId="11798" xr:uid="{00000000-0005-0000-0000-00006C4D0000}"/>
    <cellStyle name="Normal 3 3 15 17 2" xfId="29329" xr:uid="{00000000-0005-0000-0000-00006D4D0000}"/>
    <cellStyle name="Normal 3 3 15 18" xfId="11799" xr:uid="{00000000-0005-0000-0000-00006E4D0000}"/>
    <cellStyle name="Normal 3 3 15 18 2" xfId="29330" xr:uid="{00000000-0005-0000-0000-00006F4D0000}"/>
    <cellStyle name="Normal 3 3 15 19" xfId="11800" xr:uid="{00000000-0005-0000-0000-0000704D0000}"/>
    <cellStyle name="Normal 3 3 15 19 2" xfId="29331" xr:uid="{00000000-0005-0000-0000-0000714D0000}"/>
    <cellStyle name="Normal 3 3 15 2" xfId="11801" xr:uid="{00000000-0005-0000-0000-0000724D0000}"/>
    <cellStyle name="Normal 3 3 15 2 10" xfId="11802" xr:uid="{00000000-0005-0000-0000-0000734D0000}"/>
    <cellStyle name="Normal 3 3 15 2 10 2" xfId="29333" xr:uid="{00000000-0005-0000-0000-0000744D0000}"/>
    <cellStyle name="Normal 3 3 15 2 11" xfId="11803" xr:uid="{00000000-0005-0000-0000-0000754D0000}"/>
    <cellStyle name="Normal 3 3 15 2 11 2" xfId="29334" xr:uid="{00000000-0005-0000-0000-0000764D0000}"/>
    <cellStyle name="Normal 3 3 15 2 12" xfId="11804" xr:uid="{00000000-0005-0000-0000-0000774D0000}"/>
    <cellStyle name="Normal 3 3 15 2 12 2" xfId="29335" xr:uid="{00000000-0005-0000-0000-0000784D0000}"/>
    <cellStyle name="Normal 3 3 15 2 13" xfId="11805" xr:uid="{00000000-0005-0000-0000-0000794D0000}"/>
    <cellStyle name="Normal 3 3 15 2 13 2" xfId="29336" xr:uid="{00000000-0005-0000-0000-00007A4D0000}"/>
    <cellStyle name="Normal 3 3 15 2 14" xfId="11806" xr:uid="{00000000-0005-0000-0000-00007B4D0000}"/>
    <cellStyle name="Normal 3 3 15 2 14 2" xfId="29337" xr:uid="{00000000-0005-0000-0000-00007C4D0000}"/>
    <cellStyle name="Normal 3 3 15 2 15" xfId="11807" xr:uid="{00000000-0005-0000-0000-00007D4D0000}"/>
    <cellStyle name="Normal 3 3 15 2 15 2" xfId="29338" xr:uid="{00000000-0005-0000-0000-00007E4D0000}"/>
    <cellStyle name="Normal 3 3 15 2 16" xfId="29332" xr:uid="{00000000-0005-0000-0000-00007F4D0000}"/>
    <cellStyle name="Normal 3 3 15 2 2" xfId="11808" xr:uid="{00000000-0005-0000-0000-0000804D0000}"/>
    <cellStyle name="Normal 3 3 15 2 2 10" xfId="11809" xr:uid="{00000000-0005-0000-0000-0000814D0000}"/>
    <cellStyle name="Normal 3 3 15 2 2 10 2" xfId="29340" xr:uid="{00000000-0005-0000-0000-0000824D0000}"/>
    <cellStyle name="Normal 3 3 15 2 2 11" xfId="11810" xr:uid="{00000000-0005-0000-0000-0000834D0000}"/>
    <cellStyle name="Normal 3 3 15 2 2 11 2" xfId="29341" xr:uid="{00000000-0005-0000-0000-0000844D0000}"/>
    <cellStyle name="Normal 3 3 15 2 2 12" xfId="11811" xr:uid="{00000000-0005-0000-0000-0000854D0000}"/>
    <cellStyle name="Normal 3 3 15 2 2 12 2" xfId="29342" xr:uid="{00000000-0005-0000-0000-0000864D0000}"/>
    <cellStyle name="Normal 3 3 15 2 2 13" xfId="11812" xr:uid="{00000000-0005-0000-0000-0000874D0000}"/>
    <cellStyle name="Normal 3 3 15 2 2 13 2" xfId="29343" xr:uid="{00000000-0005-0000-0000-0000884D0000}"/>
    <cellStyle name="Normal 3 3 15 2 2 14" xfId="11813" xr:uid="{00000000-0005-0000-0000-0000894D0000}"/>
    <cellStyle name="Normal 3 3 15 2 2 14 2" xfId="29344" xr:uid="{00000000-0005-0000-0000-00008A4D0000}"/>
    <cellStyle name="Normal 3 3 15 2 2 15" xfId="29339" xr:uid="{00000000-0005-0000-0000-00008B4D0000}"/>
    <cellStyle name="Normal 3 3 15 2 2 2" xfId="11814" xr:uid="{00000000-0005-0000-0000-00008C4D0000}"/>
    <cellStyle name="Normal 3 3 15 2 2 2 2" xfId="29345" xr:uid="{00000000-0005-0000-0000-00008D4D0000}"/>
    <cellStyle name="Normal 3 3 15 2 2 3" xfId="11815" xr:uid="{00000000-0005-0000-0000-00008E4D0000}"/>
    <cellStyle name="Normal 3 3 15 2 2 3 2" xfId="29346" xr:uid="{00000000-0005-0000-0000-00008F4D0000}"/>
    <cellStyle name="Normal 3 3 15 2 2 4" xfId="11816" xr:uid="{00000000-0005-0000-0000-0000904D0000}"/>
    <cellStyle name="Normal 3 3 15 2 2 4 2" xfId="29347" xr:uid="{00000000-0005-0000-0000-0000914D0000}"/>
    <cellStyle name="Normal 3 3 15 2 2 5" xfId="11817" xr:uid="{00000000-0005-0000-0000-0000924D0000}"/>
    <cellStyle name="Normal 3 3 15 2 2 5 2" xfId="29348" xr:uid="{00000000-0005-0000-0000-0000934D0000}"/>
    <cellStyle name="Normal 3 3 15 2 2 6" xfId="11818" xr:uid="{00000000-0005-0000-0000-0000944D0000}"/>
    <cellStyle name="Normal 3 3 15 2 2 6 2" xfId="29349" xr:uid="{00000000-0005-0000-0000-0000954D0000}"/>
    <cellStyle name="Normal 3 3 15 2 2 7" xfId="11819" xr:uid="{00000000-0005-0000-0000-0000964D0000}"/>
    <cellStyle name="Normal 3 3 15 2 2 7 2" xfId="29350" xr:uid="{00000000-0005-0000-0000-0000974D0000}"/>
    <cellStyle name="Normal 3 3 15 2 2 8" xfId="11820" xr:uid="{00000000-0005-0000-0000-0000984D0000}"/>
    <cellStyle name="Normal 3 3 15 2 2 8 2" xfId="29351" xr:uid="{00000000-0005-0000-0000-0000994D0000}"/>
    <cellStyle name="Normal 3 3 15 2 2 9" xfId="11821" xr:uid="{00000000-0005-0000-0000-00009A4D0000}"/>
    <cellStyle name="Normal 3 3 15 2 2 9 2" xfId="29352" xr:uid="{00000000-0005-0000-0000-00009B4D0000}"/>
    <cellStyle name="Normal 3 3 15 2 3" xfId="11822" xr:uid="{00000000-0005-0000-0000-00009C4D0000}"/>
    <cellStyle name="Normal 3 3 15 2 3 2" xfId="29353" xr:uid="{00000000-0005-0000-0000-00009D4D0000}"/>
    <cellStyle name="Normal 3 3 15 2 4" xfId="11823" xr:uid="{00000000-0005-0000-0000-00009E4D0000}"/>
    <cellStyle name="Normal 3 3 15 2 4 2" xfId="29354" xr:uid="{00000000-0005-0000-0000-00009F4D0000}"/>
    <cellStyle name="Normal 3 3 15 2 5" xfId="11824" xr:uid="{00000000-0005-0000-0000-0000A04D0000}"/>
    <cellStyle name="Normal 3 3 15 2 5 2" xfId="29355" xr:uid="{00000000-0005-0000-0000-0000A14D0000}"/>
    <cellStyle name="Normal 3 3 15 2 6" xfId="11825" xr:uid="{00000000-0005-0000-0000-0000A24D0000}"/>
    <cellStyle name="Normal 3 3 15 2 6 2" xfId="29356" xr:uid="{00000000-0005-0000-0000-0000A34D0000}"/>
    <cellStyle name="Normal 3 3 15 2 7" xfId="11826" xr:uid="{00000000-0005-0000-0000-0000A44D0000}"/>
    <cellStyle name="Normal 3 3 15 2 7 2" xfId="29357" xr:uid="{00000000-0005-0000-0000-0000A54D0000}"/>
    <cellStyle name="Normal 3 3 15 2 8" xfId="11827" xr:uid="{00000000-0005-0000-0000-0000A64D0000}"/>
    <cellStyle name="Normal 3 3 15 2 8 2" xfId="29358" xr:uid="{00000000-0005-0000-0000-0000A74D0000}"/>
    <cellStyle name="Normal 3 3 15 2 9" xfId="11828" xr:uid="{00000000-0005-0000-0000-0000A84D0000}"/>
    <cellStyle name="Normal 3 3 15 2 9 2" xfId="29359" xr:uid="{00000000-0005-0000-0000-0000A94D0000}"/>
    <cellStyle name="Normal 3 3 15 20" xfId="11829" xr:uid="{00000000-0005-0000-0000-0000AA4D0000}"/>
    <cellStyle name="Normal 3 3 15 20 2" xfId="29360" xr:uid="{00000000-0005-0000-0000-0000AB4D0000}"/>
    <cellStyle name="Normal 3 3 15 21" xfId="11830" xr:uid="{00000000-0005-0000-0000-0000AC4D0000}"/>
    <cellStyle name="Normal 3 3 15 21 2" xfId="29361" xr:uid="{00000000-0005-0000-0000-0000AD4D0000}"/>
    <cellStyle name="Normal 3 3 15 22" xfId="11831" xr:uid="{00000000-0005-0000-0000-0000AE4D0000}"/>
    <cellStyle name="Normal 3 3 15 22 2" xfId="29362" xr:uid="{00000000-0005-0000-0000-0000AF4D0000}"/>
    <cellStyle name="Normal 3 3 15 23" xfId="11832" xr:uid="{00000000-0005-0000-0000-0000B04D0000}"/>
    <cellStyle name="Normal 3 3 15 23 2" xfId="29363" xr:uid="{00000000-0005-0000-0000-0000B14D0000}"/>
    <cellStyle name="Normal 3 3 15 24" xfId="29308" xr:uid="{00000000-0005-0000-0000-0000B24D0000}"/>
    <cellStyle name="Normal 3 3 15 3" xfId="11833" xr:uid="{00000000-0005-0000-0000-0000B34D0000}"/>
    <cellStyle name="Normal 3 3 15 3 10" xfId="11834" xr:uid="{00000000-0005-0000-0000-0000B44D0000}"/>
    <cellStyle name="Normal 3 3 15 3 10 2" xfId="29365" xr:uid="{00000000-0005-0000-0000-0000B54D0000}"/>
    <cellStyle name="Normal 3 3 15 3 11" xfId="11835" xr:uid="{00000000-0005-0000-0000-0000B64D0000}"/>
    <cellStyle name="Normal 3 3 15 3 11 2" xfId="29366" xr:uid="{00000000-0005-0000-0000-0000B74D0000}"/>
    <cellStyle name="Normal 3 3 15 3 12" xfId="11836" xr:uid="{00000000-0005-0000-0000-0000B84D0000}"/>
    <cellStyle name="Normal 3 3 15 3 12 2" xfId="29367" xr:uid="{00000000-0005-0000-0000-0000B94D0000}"/>
    <cellStyle name="Normal 3 3 15 3 13" xfId="11837" xr:uid="{00000000-0005-0000-0000-0000BA4D0000}"/>
    <cellStyle name="Normal 3 3 15 3 13 2" xfId="29368" xr:uid="{00000000-0005-0000-0000-0000BB4D0000}"/>
    <cellStyle name="Normal 3 3 15 3 14" xfId="11838" xr:uid="{00000000-0005-0000-0000-0000BC4D0000}"/>
    <cellStyle name="Normal 3 3 15 3 14 2" xfId="29369" xr:uid="{00000000-0005-0000-0000-0000BD4D0000}"/>
    <cellStyle name="Normal 3 3 15 3 15" xfId="11839" xr:uid="{00000000-0005-0000-0000-0000BE4D0000}"/>
    <cellStyle name="Normal 3 3 15 3 15 2" xfId="29370" xr:uid="{00000000-0005-0000-0000-0000BF4D0000}"/>
    <cellStyle name="Normal 3 3 15 3 16" xfId="29364" xr:uid="{00000000-0005-0000-0000-0000C04D0000}"/>
    <cellStyle name="Normal 3 3 15 3 2" xfId="11840" xr:uid="{00000000-0005-0000-0000-0000C14D0000}"/>
    <cellStyle name="Normal 3 3 15 3 2 10" xfId="11841" xr:uid="{00000000-0005-0000-0000-0000C24D0000}"/>
    <cellStyle name="Normal 3 3 15 3 2 10 2" xfId="29372" xr:uid="{00000000-0005-0000-0000-0000C34D0000}"/>
    <cellStyle name="Normal 3 3 15 3 2 11" xfId="11842" xr:uid="{00000000-0005-0000-0000-0000C44D0000}"/>
    <cellStyle name="Normal 3 3 15 3 2 11 2" xfId="29373" xr:uid="{00000000-0005-0000-0000-0000C54D0000}"/>
    <cellStyle name="Normal 3 3 15 3 2 12" xfId="11843" xr:uid="{00000000-0005-0000-0000-0000C64D0000}"/>
    <cellStyle name="Normal 3 3 15 3 2 12 2" xfId="29374" xr:uid="{00000000-0005-0000-0000-0000C74D0000}"/>
    <cellStyle name="Normal 3 3 15 3 2 13" xfId="11844" xr:uid="{00000000-0005-0000-0000-0000C84D0000}"/>
    <cellStyle name="Normal 3 3 15 3 2 13 2" xfId="29375" xr:uid="{00000000-0005-0000-0000-0000C94D0000}"/>
    <cellStyle name="Normal 3 3 15 3 2 14" xfId="11845" xr:uid="{00000000-0005-0000-0000-0000CA4D0000}"/>
    <cellStyle name="Normal 3 3 15 3 2 14 2" xfId="29376" xr:uid="{00000000-0005-0000-0000-0000CB4D0000}"/>
    <cellStyle name="Normal 3 3 15 3 2 15" xfId="29371" xr:uid="{00000000-0005-0000-0000-0000CC4D0000}"/>
    <cellStyle name="Normal 3 3 15 3 2 2" xfId="11846" xr:uid="{00000000-0005-0000-0000-0000CD4D0000}"/>
    <cellStyle name="Normal 3 3 15 3 2 2 2" xfId="29377" xr:uid="{00000000-0005-0000-0000-0000CE4D0000}"/>
    <cellStyle name="Normal 3 3 15 3 2 3" xfId="11847" xr:uid="{00000000-0005-0000-0000-0000CF4D0000}"/>
    <cellStyle name="Normal 3 3 15 3 2 3 2" xfId="29378" xr:uid="{00000000-0005-0000-0000-0000D04D0000}"/>
    <cellStyle name="Normal 3 3 15 3 2 4" xfId="11848" xr:uid="{00000000-0005-0000-0000-0000D14D0000}"/>
    <cellStyle name="Normal 3 3 15 3 2 4 2" xfId="29379" xr:uid="{00000000-0005-0000-0000-0000D24D0000}"/>
    <cellStyle name="Normal 3 3 15 3 2 5" xfId="11849" xr:uid="{00000000-0005-0000-0000-0000D34D0000}"/>
    <cellStyle name="Normal 3 3 15 3 2 5 2" xfId="29380" xr:uid="{00000000-0005-0000-0000-0000D44D0000}"/>
    <cellStyle name="Normal 3 3 15 3 2 6" xfId="11850" xr:uid="{00000000-0005-0000-0000-0000D54D0000}"/>
    <cellStyle name="Normal 3 3 15 3 2 6 2" xfId="29381" xr:uid="{00000000-0005-0000-0000-0000D64D0000}"/>
    <cellStyle name="Normal 3 3 15 3 2 7" xfId="11851" xr:uid="{00000000-0005-0000-0000-0000D74D0000}"/>
    <cellStyle name="Normal 3 3 15 3 2 7 2" xfId="29382" xr:uid="{00000000-0005-0000-0000-0000D84D0000}"/>
    <cellStyle name="Normal 3 3 15 3 2 8" xfId="11852" xr:uid="{00000000-0005-0000-0000-0000D94D0000}"/>
    <cellStyle name="Normal 3 3 15 3 2 8 2" xfId="29383" xr:uid="{00000000-0005-0000-0000-0000DA4D0000}"/>
    <cellStyle name="Normal 3 3 15 3 2 9" xfId="11853" xr:uid="{00000000-0005-0000-0000-0000DB4D0000}"/>
    <cellStyle name="Normal 3 3 15 3 2 9 2" xfId="29384" xr:uid="{00000000-0005-0000-0000-0000DC4D0000}"/>
    <cellStyle name="Normal 3 3 15 3 3" xfId="11854" xr:uid="{00000000-0005-0000-0000-0000DD4D0000}"/>
    <cellStyle name="Normal 3 3 15 3 3 2" xfId="29385" xr:uid="{00000000-0005-0000-0000-0000DE4D0000}"/>
    <cellStyle name="Normal 3 3 15 3 4" xfId="11855" xr:uid="{00000000-0005-0000-0000-0000DF4D0000}"/>
    <cellStyle name="Normal 3 3 15 3 4 2" xfId="29386" xr:uid="{00000000-0005-0000-0000-0000E04D0000}"/>
    <cellStyle name="Normal 3 3 15 3 5" xfId="11856" xr:uid="{00000000-0005-0000-0000-0000E14D0000}"/>
    <cellStyle name="Normal 3 3 15 3 5 2" xfId="29387" xr:uid="{00000000-0005-0000-0000-0000E24D0000}"/>
    <cellStyle name="Normal 3 3 15 3 6" xfId="11857" xr:uid="{00000000-0005-0000-0000-0000E34D0000}"/>
    <cellStyle name="Normal 3 3 15 3 6 2" xfId="29388" xr:uid="{00000000-0005-0000-0000-0000E44D0000}"/>
    <cellStyle name="Normal 3 3 15 3 7" xfId="11858" xr:uid="{00000000-0005-0000-0000-0000E54D0000}"/>
    <cellStyle name="Normal 3 3 15 3 7 2" xfId="29389" xr:uid="{00000000-0005-0000-0000-0000E64D0000}"/>
    <cellStyle name="Normal 3 3 15 3 8" xfId="11859" xr:uid="{00000000-0005-0000-0000-0000E74D0000}"/>
    <cellStyle name="Normal 3 3 15 3 8 2" xfId="29390" xr:uid="{00000000-0005-0000-0000-0000E84D0000}"/>
    <cellStyle name="Normal 3 3 15 3 9" xfId="11860" xr:uid="{00000000-0005-0000-0000-0000E94D0000}"/>
    <cellStyle name="Normal 3 3 15 3 9 2" xfId="29391" xr:uid="{00000000-0005-0000-0000-0000EA4D0000}"/>
    <cellStyle name="Normal 3 3 15 4" xfId="11861" xr:uid="{00000000-0005-0000-0000-0000EB4D0000}"/>
    <cellStyle name="Normal 3 3 15 4 10" xfId="11862" xr:uid="{00000000-0005-0000-0000-0000EC4D0000}"/>
    <cellStyle name="Normal 3 3 15 4 10 2" xfId="29393" xr:uid="{00000000-0005-0000-0000-0000ED4D0000}"/>
    <cellStyle name="Normal 3 3 15 4 11" xfId="11863" xr:uid="{00000000-0005-0000-0000-0000EE4D0000}"/>
    <cellStyle name="Normal 3 3 15 4 11 2" xfId="29394" xr:uid="{00000000-0005-0000-0000-0000EF4D0000}"/>
    <cellStyle name="Normal 3 3 15 4 12" xfId="11864" xr:uid="{00000000-0005-0000-0000-0000F04D0000}"/>
    <cellStyle name="Normal 3 3 15 4 12 2" xfId="29395" xr:uid="{00000000-0005-0000-0000-0000F14D0000}"/>
    <cellStyle name="Normal 3 3 15 4 13" xfId="11865" xr:uid="{00000000-0005-0000-0000-0000F24D0000}"/>
    <cellStyle name="Normal 3 3 15 4 13 2" xfId="29396" xr:uid="{00000000-0005-0000-0000-0000F34D0000}"/>
    <cellStyle name="Normal 3 3 15 4 14" xfId="11866" xr:uid="{00000000-0005-0000-0000-0000F44D0000}"/>
    <cellStyle name="Normal 3 3 15 4 14 2" xfId="29397" xr:uid="{00000000-0005-0000-0000-0000F54D0000}"/>
    <cellStyle name="Normal 3 3 15 4 15" xfId="11867" xr:uid="{00000000-0005-0000-0000-0000F64D0000}"/>
    <cellStyle name="Normal 3 3 15 4 15 2" xfId="29398" xr:uid="{00000000-0005-0000-0000-0000F74D0000}"/>
    <cellStyle name="Normal 3 3 15 4 16" xfId="29392" xr:uid="{00000000-0005-0000-0000-0000F84D0000}"/>
    <cellStyle name="Normal 3 3 15 4 2" xfId="11868" xr:uid="{00000000-0005-0000-0000-0000F94D0000}"/>
    <cellStyle name="Normal 3 3 15 4 2 10" xfId="11869" xr:uid="{00000000-0005-0000-0000-0000FA4D0000}"/>
    <cellStyle name="Normal 3 3 15 4 2 10 2" xfId="29400" xr:uid="{00000000-0005-0000-0000-0000FB4D0000}"/>
    <cellStyle name="Normal 3 3 15 4 2 11" xfId="11870" xr:uid="{00000000-0005-0000-0000-0000FC4D0000}"/>
    <cellStyle name="Normal 3 3 15 4 2 11 2" xfId="29401" xr:uid="{00000000-0005-0000-0000-0000FD4D0000}"/>
    <cellStyle name="Normal 3 3 15 4 2 12" xfId="11871" xr:uid="{00000000-0005-0000-0000-0000FE4D0000}"/>
    <cellStyle name="Normal 3 3 15 4 2 12 2" xfId="29402" xr:uid="{00000000-0005-0000-0000-0000FF4D0000}"/>
    <cellStyle name="Normal 3 3 15 4 2 13" xfId="11872" xr:uid="{00000000-0005-0000-0000-0000004E0000}"/>
    <cellStyle name="Normal 3 3 15 4 2 13 2" xfId="29403" xr:uid="{00000000-0005-0000-0000-0000014E0000}"/>
    <cellStyle name="Normal 3 3 15 4 2 14" xfId="11873" xr:uid="{00000000-0005-0000-0000-0000024E0000}"/>
    <cellStyle name="Normal 3 3 15 4 2 14 2" xfId="29404" xr:uid="{00000000-0005-0000-0000-0000034E0000}"/>
    <cellStyle name="Normal 3 3 15 4 2 15" xfId="29399" xr:uid="{00000000-0005-0000-0000-0000044E0000}"/>
    <cellStyle name="Normal 3 3 15 4 2 2" xfId="11874" xr:uid="{00000000-0005-0000-0000-0000054E0000}"/>
    <cellStyle name="Normal 3 3 15 4 2 2 2" xfId="29405" xr:uid="{00000000-0005-0000-0000-0000064E0000}"/>
    <cellStyle name="Normal 3 3 15 4 2 3" xfId="11875" xr:uid="{00000000-0005-0000-0000-0000074E0000}"/>
    <cellStyle name="Normal 3 3 15 4 2 3 2" xfId="29406" xr:uid="{00000000-0005-0000-0000-0000084E0000}"/>
    <cellStyle name="Normal 3 3 15 4 2 4" xfId="11876" xr:uid="{00000000-0005-0000-0000-0000094E0000}"/>
    <cellStyle name="Normal 3 3 15 4 2 4 2" xfId="29407" xr:uid="{00000000-0005-0000-0000-00000A4E0000}"/>
    <cellStyle name="Normal 3 3 15 4 2 5" xfId="11877" xr:uid="{00000000-0005-0000-0000-00000B4E0000}"/>
    <cellStyle name="Normal 3 3 15 4 2 5 2" xfId="29408" xr:uid="{00000000-0005-0000-0000-00000C4E0000}"/>
    <cellStyle name="Normal 3 3 15 4 2 6" xfId="11878" xr:uid="{00000000-0005-0000-0000-00000D4E0000}"/>
    <cellStyle name="Normal 3 3 15 4 2 6 2" xfId="29409" xr:uid="{00000000-0005-0000-0000-00000E4E0000}"/>
    <cellStyle name="Normal 3 3 15 4 2 7" xfId="11879" xr:uid="{00000000-0005-0000-0000-00000F4E0000}"/>
    <cellStyle name="Normal 3 3 15 4 2 7 2" xfId="29410" xr:uid="{00000000-0005-0000-0000-0000104E0000}"/>
    <cellStyle name="Normal 3 3 15 4 2 8" xfId="11880" xr:uid="{00000000-0005-0000-0000-0000114E0000}"/>
    <cellStyle name="Normal 3 3 15 4 2 8 2" xfId="29411" xr:uid="{00000000-0005-0000-0000-0000124E0000}"/>
    <cellStyle name="Normal 3 3 15 4 2 9" xfId="11881" xr:uid="{00000000-0005-0000-0000-0000134E0000}"/>
    <cellStyle name="Normal 3 3 15 4 2 9 2" xfId="29412" xr:uid="{00000000-0005-0000-0000-0000144E0000}"/>
    <cellStyle name="Normal 3 3 15 4 3" xfId="11882" xr:uid="{00000000-0005-0000-0000-0000154E0000}"/>
    <cellStyle name="Normal 3 3 15 4 3 2" xfId="29413" xr:uid="{00000000-0005-0000-0000-0000164E0000}"/>
    <cellStyle name="Normal 3 3 15 4 4" xfId="11883" xr:uid="{00000000-0005-0000-0000-0000174E0000}"/>
    <cellStyle name="Normal 3 3 15 4 4 2" xfId="29414" xr:uid="{00000000-0005-0000-0000-0000184E0000}"/>
    <cellStyle name="Normal 3 3 15 4 5" xfId="11884" xr:uid="{00000000-0005-0000-0000-0000194E0000}"/>
    <cellStyle name="Normal 3 3 15 4 5 2" xfId="29415" xr:uid="{00000000-0005-0000-0000-00001A4E0000}"/>
    <cellStyle name="Normal 3 3 15 4 6" xfId="11885" xr:uid="{00000000-0005-0000-0000-00001B4E0000}"/>
    <cellStyle name="Normal 3 3 15 4 6 2" xfId="29416" xr:uid="{00000000-0005-0000-0000-00001C4E0000}"/>
    <cellStyle name="Normal 3 3 15 4 7" xfId="11886" xr:uid="{00000000-0005-0000-0000-00001D4E0000}"/>
    <cellStyle name="Normal 3 3 15 4 7 2" xfId="29417" xr:uid="{00000000-0005-0000-0000-00001E4E0000}"/>
    <cellStyle name="Normal 3 3 15 4 8" xfId="11887" xr:uid="{00000000-0005-0000-0000-00001F4E0000}"/>
    <cellStyle name="Normal 3 3 15 4 8 2" xfId="29418" xr:uid="{00000000-0005-0000-0000-0000204E0000}"/>
    <cellStyle name="Normal 3 3 15 4 9" xfId="11888" xr:uid="{00000000-0005-0000-0000-0000214E0000}"/>
    <cellStyle name="Normal 3 3 15 4 9 2" xfId="29419" xr:uid="{00000000-0005-0000-0000-0000224E0000}"/>
    <cellStyle name="Normal 3 3 15 5" xfId="11889" xr:uid="{00000000-0005-0000-0000-0000234E0000}"/>
    <cellStyle name="Normal 3 3 15 5 10" xfId="11890" xr:uid="{00000000-0005-0000-0000-0000244E0000}"/>
    <cellStyle name="Normal 3 3 15 5 10 2" xfId="29421" xr:uid="{00000000-0005-0000-0000-0000254E0000}"/>
    <cellStyle name="Normal 3 3 15 5 11" xfId="11891" xr:uid="{00000000-0005-0000-0000-0000264E0000}"/>
    <cellStyle name="Normal 3 3 15 5 11 2" xfId="29422" xr:uid="{00000000-0005-0000-0000-0000274E0000}"/>
    <cellStyle name="Normal 3 3 15 5 12" xfId="11892" xr:uid="{00000000-0005-0000-0000-0000284E0000}"/>
    <cellStyle name="Normal 3 3 15 5 12 2" xfId="29423" xr:uid="{00000000-0005-0000-0000-0000294E0000}"/>
    <cellStyle name="Normal 3 3 15 5 13" xfId="11893" xr:uid="{00000000-0005-0000-0000-00002A4E0000}"/>
    <cellStyle name="Normal 3 3 15 5 13 2" xfId="29424" xr:uid="{00000000-0005-0000-0000-00002B4E0000}"/>
    <cellStyle name="Normal 3 3 15 5 14" xfId="11894" xr:uid="{00000000-0005-0000-0000-00002C4E0000}"/>
    <cellStyle name="Normal 3 3 15 5 14 2" xfId="29425" xr:uid="{00000000-0005-0000-0000-00002D4E0000}"/>
    <cellStyle name="Normal 3 3 15 5 15" xfId="29420" xr:uid="{00000000-0005-0000-0000-00002E4E0000}"/>
    <cellStyle name="Normal 3 3 15 5 2" xfId="11895" xr:uid="{00000000-0005-0000-0000-00002F4E0000}"/>
    <cellStyle name="Normal 3 3 15 5 2 2" xfId="29426" xr:uid="{00000000-0005-0000-0000-0000304E0000}"/>
    <cellStyle name="Normal 3 3 15 5 3" xfId="11896" xr:uid="{00000000-0005-0000-0000-0000314E0000}"/>
    <cellStyle name="Normal 3 3 15 5 3 2" xfId="29427" xr:uid="{00000000-0005-0000-0000-0000324E0000}"/>
    <cellStyle name="Normal 3 3 15 5 4" xfId="11897" xr:uid="{00000000-0005-0000-0000-0000334E0000}"/>
    <cellStyle name="Normal 3 3 15 5 4 2" xfId="29428" xr:uid="{00000000-0005-0000-0000-0000344E0000}"/>
    <cellStyle name="Normal 3 3 15 5 5" xfId="11898" xr:uid="{00000000-0005-0000-0000-0000354E0000}"/>
    <cellStyle name="Normal 3 3 15 5 5 2" xfId="29429" xr:uid="{00000000-0005-0000-0000-0000364E0000}"/>
    <cellStyle name="Normal 3 3 15 5 6" xfId="11899" xr:uid="{00000000-0005-0000-0000-0000374E0000}"/>
    <cellStyle name="Normal 3 3 15 5 6 2" xfId="29430" xr:uid="{00000000-0005-0000-0000-0000384E0000}"/>
    <cellStyle name="Normal 3 3 15 5 7" xfId="11900" xr:uid="{00000000-0005-0000-0000-0000394E0000}"/>
    <cellStyle name="Normal 3 3 15 5 7 2" xfId="29431" xr:uid="{00000000-0005-0000-0000-00003A4E0000}"/>
    <cellStyle name="Normal 3 3 15 5 8" xfId="11901" xr:uid="{00000000-0005-0000-0000-00003B4E0000}"/>
    <cellStyle name="Normal 3 3 15 5 8 2" xfId="29432" xr:uid="{00000000-0005-0000-0000-00003C4E0000}"/>
    <cellStyle name="Normal 3 3 15 5 9" xfId="11902" xr:uid="{00000000-0005-0000-0000-00003D4E0000}"/>
    <cellStyle name="Normal 3 3 15 5 9 2" xfId="29433" xr:uid="{00000000-0005-0000-0000-00003E4E0000}"/>
    <cellStyle name="Normal 3 3 15 6" xfId="11903" xr:uid="{00000000-0005-0000-0000-00003F4E0000}"/>
    <cellStyle name="Normal 3 3 15 6 10" xfId="11904" xr:uid="{00000000-0005-0000-0000-0000404E0000}"/>
    <cellStyle name="Normal 3 3 15 6 10 2" xfId="29435" xr:uid="{00000000-0005-0000-0000-0000414E0000}"/>
    <cellStyle name="Normal 3 3 15 6 11" xfId="11905" xr:uid="{00000000-0005-0000-0000-0000424E0000}"/>
    <cellStyle name="Normal 3 3 15 6 11 2" xfId="29436" xr:uid="{00000000-0005-0000-0000-0000434E0000}"/>
    <cellStyle name="Normal 3 3 15 6 12" xfId="11906" xr:uid="{00000000-0005-0000-0000-0000444E0000}"/>
    <cellStyle name="Normal 3 3 15 6 12 2" xfId="29437" xr:uid="{00000000-0005-0000-0000-0000454E0000}"/>
    <cellStyle name="Normal 3 3 15 6 13" xfId="11907" xr:uid="{00000000-0005-0000-0000-0000464E0000}"/>
    <cellStyle name="Normal 3 3 15 6 13 2" xfId="29438" xr:uid="{00000000-0005-0000-0000-0000474E0000}"/>
    <cellStyle name="Normal 3 3 15 6 14" xfId="11908" xr:uid="{00000000-0005-0000-0000-0000484E0000}"/>
    <cellStyle name="Normal 3 3 15 6 14 2" xfId="29439" xr:uid="{00000000-0005-0000-0000-0000494E0000}"/>
    <cellStyle name="Normal 3 3 15 6 15" xfId="29434" xr:uid="{00000000-0005-0000-0000-00004A4E0000}"/>
    <cellStyle name="Normal 3 3 15 6 2" xfId="11909" xr:uid="{00000000-0005-0000-0000-00004B4E0000}"/>
    <cellStyle name="Normal 3 3 15 6 2 2" xfId="29440" xr:uid="{00000000-0005-0000-0000-00004C4E0000}"/>
    <cellStyle name="Normal 3 3 15 6 3" xfId="11910" xr:uid="{00000000-0005-0000-0000-00004D4E0000}"/>
    <cellStyle name="Normal 3 3 15 6 3 2" xfId="29441" xr:uid="{00000000-0005-0000-0000-00004E4E0000}"/>
    <cellStyle name="Normal 3 3 15 6 4" xfId="11911" xr:uid="{00000000-0005-0000-0000-00004F4E0000}"/>
    <cellStyle name="Normal 3 3 15 6 4 2" xfId="29442" xr:uid="{00000000-0005-0000-0000-0000504E0000}"/>
    <cellStyle name="Normal 3 3 15 6 5" xfId="11912" xr:uid="{00000000-0005-0000-0000-0000514E0000}"/>
    <cellStyle name="Normal 3 3 15 6 5 2" xfId="29443" xr:uid="{00000000-0005-0000-0000-0000524E0000}"/>
    <cellStyle name="Normal 3 3 15 6 6" xfId="11913" xr:uid="{00000000-0005-0000-0000-0000534E0000}"/>
    <cellStyle name="Normal 3 3 15 6 6 2" xfId="29444" xr:uid="{00000000-0005-0000-0000-0000544E0000}"/>
    <cellStyle name="Normal 3 3 15 6 7" xfId="11914" xr:uid="{00000000-0005-0000-0000-0000554E0000}"/>
    <cellStyle name="Normal 3 3 15 6 7 2" xfId="29445" xr:uid="{00000000-0005-0000-0000-0000564E0000}"/>
    <cellStyle name="Normal 3 3 15 6 8" xfId="11915" xr:uid="{00000000-0005-0000-0000-0000574E0000}"/>
    <cellStyle name="Normal 3 3 15 6 8 2" xfId="29446" xr:uid="{00000000-0005-0000-0000-0000584E0000}"/>
    <cellStyle name="Normal 3 3 15 6 9" xfId="11916" xr:uid="{00000000-0005-0000-0000-0000594E0000}"/>
    <cellStyle name="Normal 3 3 15 6 9 2" xfId="29447" xr:uid="{00000000-0005-0000-0000-00005A4E0000}"/>
    <cellStyle name="Normal 3 3 15 7" xfId="11917" xr:uid="{00000000-0005-0000-0000-00005B4E0000}"/>
    <cellStyle name="Normal 3 3 15 7 10" xfId="11918" xr:uid="{00000000-0005-0000-0000-00005C4E0000}"/>
    <cellStyle name="Normal 3 3 15 7 10 2" xfId="29449" xr:uid="{00000000-0005-0000-0000-00005D4E0000}"/>
    <cellStyle name="Normal 3 3 15 7 11" xfId="11919" xr:uid="{00000000-0005-0000-0000-00005E4E0000}"/>
    <cellStyle name="Normal 3 3 15 7 11 2" xfId="29450" xr:uid="{00000000-0005-0000-0000-00005F4E0000}"/>
    <cellStyle name="Normal 3 3 15 7 12" xfId="11920" xr:uid="{00000000-0005-0000-0000-0000604E0000}"/>
    <cellStyle name="Normal 3 3 15 7 12 2" xfId="29451" xr:uid="{00000000-0005-0000-0000-0000614E0000}"/>
    <cellStyle name="Normal 3 3 15 7 13" xfId="11921" xr:uid="{00000000-0005-0000-0000-0000624E0000}"/>
    <cellStyle name="Normal 3 3 15 7 13 2" xfId="29452" xr:uid="{00000000-0005-0000-0000-0000634E0000}"/>
    <cellStyle name="Normal 3 3 15 7 14" xfId="11922" xr:uid="{00000000-0005-0000-0000-0000644E0000}"/>
    <cellStyle name="Normal 3 3 15 7 14 2" xfId="29453" xr:uid="{00000000-0005-0000-0000-0000654E0000}"/>
    <cellStyle name="Normal 3 3 15 7 15" xfId="29448" xr:uid="{00000000-0005-0000-0000-0000664E0000}"/>
    <cellStyle name="Normal 3 3 15 7 2" xfId="11923" xr:uid="{00000000-0005-0000-0000-0000674E0000}"/>
    <cellStyle name="Normal 3 3 15 7 2 2" xfId="29454" xr:uid="{00000000-0005-0000-0000-0000684E0000}"/>
    <cellStyle name="Normal 3 3 15 7 3" xfId="11924" xr:uid="{00000000-0005-0000-0000-0000694E0000}"/>
    <cellStyle name="Normal 3 3 15 7 3 2" xfId="29455" xr:uid="{00000000-0005-0000-0000-00006A4E0000}"/>
    <cellStyle name="Normal 3 3 15 7 4" xfId="11925" xr:uid="{00000000-0005-0000-0000-00006B4E0000}"/>
    <cellStyle name="Normal 3 3 15 7 4 2" xfId="29456" xr:uid="{00000000-0005-0000-0000-00006C4E0000}"/>
    <cellStyle name="Normal 3 3 15 7 5" xfId="11926" xr:uid="{00000000-0005-0000-0000-00006D4E0000}"/>
    <cellStyle name="Normal 3 3 15 7 5 2" xfId="29457" xr:uid="{00000000-0005-0000-0000-00006E4E0000}"/>
    <cellStyle name="Normal 3 3 15 7 6" xfId="11927" xr:uid="{00000000-0005-0000-0000-00006F4E0000}"/>
    <cellStyle name="Normal 3 3 15 7 6 2" xfId="29458" xr:uid="{00000000-0005-0000-0000-0000704E0000}"/>
    <cellStyle name="Normal 3 3 15 7 7" xfId="11928" xr:uid="{00000000-0005-0000-0000-0000714E0000}"/>
    <cellStyle name="Normal 3 3 15 7 7 2" xfId="29459" xr:uid="{00000000-0005-0000-0000-0000724E0000}"/>
    <cellStyle name="Normal 3 3 15 7 8" xfId="11929" xr:uid="{00000000-0005-0000-0000-0000734E0000}"/>
    <cellStyle name="Normal 3 3 15 7 8 2" xfId="29460" xr:uid="{00000000-0005-0000-0000-0000744E0000}"/>
    <cellStyle name="Normal 3 3 15 7 9" xfId="11930" xr:uid="{00000000-0005-0000-0000-0000754E0000}"/>
    <cellStyle name="Normal 3 3 15 7 9 2" xfId="29461" xr:uid="{00000000-0005-0000-0000-0000764E0000}"/>
    <cellStyle name="Normal 3 3 15 8" xfId="11931" xr:uid="{00000000-0005-0000-0000-0000774E0000}"/>
    <cellStyle name="Normal 3 3 15 8 10" xfId="11932" xr:uid="{00000000-0005-0000-0000-0000784E0000}"/>
    <cellStyle name="Normal 3 3 15 8 10 2" xfId="29463" xr:uid="{00000000-0005-0000-0000-0000794E0000}"/>
    <cellStyle name="Normal 3 3 15 8 11" xfId="11933" xr:uid="{00000000-0005-0000-0000-00007A4E0000}"/>
    <cellStyle name="Normal 3 3 15 8 11 2" xfId="29464" xr:uid="{00000000-0005-0000-0000-00007B4E0000}"/>
    <cellStyle name="Normal 3 3 15 8 12" xfId="11934" xr:uid="{00000000-0005-0000-0000-00007C4E0000}"/>
    <cellStyle name="Normal 3 3 15 8 12 2" xfId="29465" xr:uid="{00000000-0005-0000-0000-00007D4E0000}"/>
    <cellStyle name="Normal 3 3 15 8 13" xfId="11935" xr:uid="{00000000-0005-0000-0000-00007E4E0000}"/>
    <cellStyle name="Normal 3 3 15 8 13 2" xfId="29466" xr:uid="{00000000-0005-0000-0000-00007F4E0000}"/>
    <cellStyle name="Normal 3 3 15 8 14" xfId="11936" xr:uid="{00000000-0005-0000-0000-0000804E0000}"/>
    <cellStyle name="Normal 3 3 15 8 14 2" xfId="29467" xr:uid="{00000000-0005-0000-0000-0000814E0000}"/>
    <cellStyle name="Normal 3 3 15 8 15" xfId="29462" xr:uid="{00000000-0005-0000-0000-0000824E0000}"/>
    <cellStyle name="Normal 3 3 15 8 2" xfId="11937" xr:uid="{00000000-0005-0000-0000-0000834E0000}"/>
    <cellStyle name="Normal 3 3 15 8 2 2" xfId="29468" xr:uid="{00000000-0005-0000-0000-0000844E0000}"/>
    <cellStyle name="Normal 3 3 15 8 3" xfId="11938" xr:uid="{00000000-0005-0000-0000-0000854E0000}"/>
    <cellStyle name="Normal 3 3 15 8 3 2" xfId="29469" xr:uid="{00000000-0005-0000-0000-0000864E0000}"/>
    <cellStyle name="Normal 3 3 15 8 4" xfId="11939" xr:uid="{00000000-0005-0000-0000-0000874E0000}"/>
    <cellStyle name="Normal 3 3 15 8 4 2" xfId="29470" xr:uid="{00000000-0005-0000-0000-0000884E0000}"/>
    <cellStyle name="Normal 3 3 15 8 5" xfId="11940" xr:uid="{00000000-0005-0000-0000-0000894E0000}"/>
    <cellStyle name="Normal 3 3 15 8 5 2" xfId="29471" xr:uid="{00000000-0005-0000-0000-00008A4E0000}"/>
    <cellStyle name="Normal 3 3 15 8 6" xfId="11941" xr:uid="{00000000-0005-0000-0000-00008B4E0000}"/>
    <cellStyle name="Normal 3 3 15 8 6 2" xfId="29472" xr:uid="{00000000-0005-0000-0000-00008C4E0000}"/>
    <cellStyle name="Normal 3 3 15 8 7" xfId="11942" xr:uid="{00000000-0005-0000-0000-00008D4E0000}"/>
    <cellStyle name="Normal 3 3 15 8 7 2" xfId="29473" xr:uid="{00000000-0005-0000-0000-00008E4E0000}"/>
    <cellStyle name="Normal 3 3 15 8 8" xfId="11943" xr:uid="{00000000-0005-0000-0000-00008F4E0000}"/>
    <cellStyle name="Normal 3 3 15 8 8 2" xfId="29474" xr:uid="{00000000-0005-0000-0000-0000904E0000}"/>
    <cellStyle name="Normal 3 3 15 8 9" xfId="11944" xr:uid="{00000000-0005-0000-0000-0000914E0000}"/>
    <cellStyle name="Normal 3 3 15 8 9 2" xfId="29475" xr:uid="{00000000-0005-0000-0000-0000924E0000}"/>
    <cellStyle name="Normal 3 3 15 9" xfId="11945" xr:uid="{00000000-0005-0000-0000-0000934E0000}"/>
    <cellStyle name="Normal 3 3 15 9 10" xfId="11946" xr:uid="{00000000-0005-0000-0000-0000944E0000}"/>
    <cellStyle name="Normal 3 3 15 9 10 2" xfId="29477" xr:uid="{00000000-0005-0000-0000-0000954E0000}"/>
    <cellStyle name="Normal 3 3 15 9 11" xfId="11947" xr:uid="{00000000-0005-0000-0000-0000964E0000}"/>
    <cellStyle name="Normal 3 3 15 9 11 2" xfId="29478" xr:uid="{00000000-0005-0000-0000-0000974E0000}"/>
    <cellStyle name="Normal 3 3 15 9 12" xfId="11948" xr:uid="{00000000-0005-0000-0000-0000984E0000}"/>
    <cellStyle name="Normal 3 3 15 9 12 2" xfId="29479" xr:uid="{00000000-0005-0000-0000-0000994E0000}"/>
    <cellStyle name="Normal 3 3 15 9 13" xfId="11949" xr:uid="{00000000-0005-0000-0000-00009A4E0000}"/>
    <cellStyle name="Normal 3 3 15 9 13 2" xfId="29480" xr:uid="{00000000-0005-0000-0000-00009B4E0000}"/>
    <cellStyle name="Normal 3 3 15 9 14" xfId="11950" xr:uid="{00000000-0005-0000-0000-00009C4E0000}"/>
    <cellStyle name="Normal 3 3 15 9 14 2" xfId="29481" xr:uid="{00000000-0005-0000-0000-00009D4E0000}"/>
    <cellStyle name="Normal 3 3 15 9 15" xfId="29476" xr:uid="{00000000-0005-0000-0000-00009E4E0000}"/>
    <cellStyle name="Normal 3 3 15 9 2" xfId="11951" xr:uid="{00000000-0005-0000-0000-00009F4E0000}"/>
    <cellStyle name="Normal 3 3 15 9 2 2" xfId="29482" xr:uid="{00000000-0005-0000-0000-0000A04E0000}"/>
    <cellStyle name="Normal 3 3 15 9 3" xfId="11952" xr:uid="{00000000-0005-0000-0000-0000A14E0000}"/>
    <cellStyle name="Normal 3 3 15 9 3 2" xfId="29483" xr:uid="{00000000-0005-0000-0000-0000A24E0000}"/>
    <cellStyle name="Normal 3 3 15 9 4" xfId="11953" xr:uid="{00000000-0005-0000-0000-0000A34E0000}"/>
    <cellStyle name="Normal 3 3 15 9 4 2" xfId="29484" xr:uid="{00000000-0005-0000-0000-0000A44E0000}"/>
    <cellStyle name="Normal 3 3 15 9 5" xfId="11954" xr:uid="{00000000-0005-0000-0000-0000A54E0000}"/>
    <cellStyle name="Normal 3 3 15 9 5 2" xfId="29485" xr:uid="{00000000-0005-0000-0000-0000A64E0000}"/>
    <cellStyle name="Normal 3 3 15 9 6" xfId="11955" xr:uid="{00000000-0005-0000-0000-0000A74E0000}"/>
    <cellStyle name="Normal 3 3 15 9 6 2" xfId="29486" xr:uid="{00000000-0005-0000-0000-0000A84E0000}"/>
    <cellStyle name="Normal 3 3 15 9 7" xfId="11956" xr:uid="{00000000-0005-0000-0000-0000A94E0000}"/>
    <cellStyle name="Normal 3 3 15 9 7 2" xfId="29487" xr:uid="{00000000-0005-0000-0000-0000AA4E0000}"/>
    <cellStyle name="Normal 3 3 15 9 8" xfId="11957" xr:uid="{00000000-0005-0000-0000-0000AB4E0000}"/>
    <cellStyle name="Normal 3 3 15 9 8 2" xfId="29488" xr:uid="{00000000-0005-0000-0000-0000AC4E0000}"/>
    <cellStyle name="Normal 3 3 15 9 9" xfId="11958" xr:uid="{00000000-0005-0000-0000-0000AD4E0000}"/>
    <cellStyle name="Normal 3 3 15 9 9 2" xfId="29489" xr:uid="{00000000-0005-0000-0000-0000AE4E0000}"/>
    <cellStyle name="Normal 3 3 16" xfId="11959" xr:uid="{00000000-0005-0000-0000-0000AF4E0000}"/>
    <cellStyle name="Normal 3 3 16 10" xfId="11960" xr:uid="{00000000-0005-0000-0000-0000B04E0000}"/>
    <cellStyle name="Normal 3 3 16 10 10" xfId="11961" xr:uid="{00000000-0005-0000-0000-0000B14E0000}"/>
    <cellStyle name="Normal 3 3 16 10 10 2" xfId="29492" xr:uid="{00000000-0005-0000-0000-0000B24E0000}"/>
    <cellStyle name="Normal 3 3 16 10 11" xfId="11962" xr:uid="{00000000-0005-0000-0000-0000B34E0000}"/>
    <cellStyle name="Normal 3 3 16 10 11 2" xfId="29493" xr:uid="{00000000-0005-0000-0000-0000B44E0000}"/>
    <cellStyle name="Normal 3 3 16 10 12" xfId="11963" xr:uid="{00000000-0005-0000-0000-0000B54E0000}"/>
    <cellStyle name="Normal 3 3 16 10 12 2" xfId="29494" xr:uid="{00000000-0005-0000-0000-0000B64E0000}"/>
    <cellStyle name="Normal 3 3 16 10 13" xfId="11964" xr:uid="{00000000-0005-0000-0000-0000B74E0000}"/>
    <cellStyle name="Normal 3 3 16 10 13 2" xfId="29495" xr:uid="{00000000-0005-0000-0000-0000B84E0000}"/>
    <cellStyle name="Normal 3 3 16 10 14" xfId="11965" xr:uid="{00000000-0005-0000-0000-0000B94E0000}"/>
    <cellStyle name="Normal 3 3 16 10 14 2" xfId="29496" xr:uid="{00000000-0005-0000-0000-0000BA4E0000}"/>
    <cellStyle name="Normal 3 3 16 10 15" xfId="29491" xr:uid="{00000000-0005-0000-0000-0000BB4E0000}"/>
    <cellStyle name="Normal 3 3 16 10 2" xfId="11966" xr:uid="{00000000-0005-0000-0000-0000BC4E0000}"/>
    <cellStyle name="Normal 3 3 16 10 2 2" xfId="29497" xr:uid="{00000000-0005-0000-0000-0000BD4E0000}"/>
    <cellStyle name="Normal 3 3 16 10 3" xfId="11967" xr:uid="{00000000-0005-0000-0000-0000BE4E0000}"/>
    <cellStyle name="Normal 3 3 16 10 3 2" xfId="29498" xr:uid="{00000000-0005-0000-0000-0000BF4E0000}"/>
    <cellStyle name="Normal 3 3 16 10 4" xfId="11968" xr:uid="{00000000-0005-0000-0000-0000C04E0000}"/>
    <cellStyle name="Normal 3 3 16 10 4 2" xfId="29499" xr:uid="{00000000-0005-0000-0000-0000C14E0000}"/>
    <cellStyle name="Normal 3 3 16 10 5" xfId="11969" xr:uid="{00000000-0005-0000-0000-0000C24E0000}"/>
    <cellStyle name="Normal 3 3 16 10 5 2" xfId="29500" xr:uid="{00000000-0005-0000-0000-0000C34E0000}"/>
    <cellStyle name="Normal 3 3 16 10 6" xfId="11970" xr:uid="{00000000-0005-0000-0000-0000C44E0000}"/>
    <cellStyle name="Normal 3 3 16 10 6 2" xfId="29501" xr:uid="{00000000-0005-0000-0000-0000C54E0000}"/>
    <cellStyle name="Normal 3 3 16 10 7" xfId="11971" xr:uid="{00000000-0005-0000-0000-0000C64E0000}"/>
    <cellStyle name="Normal 3 3 16 10 7 2" xfId="29502" xr:uid="{00000000-0005-0000-0000-0000C74E0000}"/>
    <cellStyle name="Normal 3 3 16 10 8" xfId="11972" xr:uid="{00000000-0005-0000-0000-0000C84E0000}"/>
    <cellStyle name="Normal 3 3 16 10 8 2" xfId="29503" xr:uid="{00000000-0005-0000-0000-0000C94E0000}"/>
    <cellStyle name="Normal 3 3 16 10 9" xfId="11973" xr:uid="{00000000-0005-0000-0000-0000CA4E0000}"/>
    <cellStyle name="Normal 3 3 16 10 9 2" xfId="29504" xr:uid="{00000000-0005-0000-0000-0000CB4E0000}"/>
    <cellStyle name="Normal 3 3 16 11" xfId="11974" xr:uid="{00000000-0005-0000-0000-0000CC4E0000}"/>
    <cellStyle name="Normal 3 3 16 11 2" xfId="29505" xr:uid="{00000000-0005-0000-0000-0000CD4E0000}"/>
    <cellStyle name="Normal 3 3 16 12" xfId="11975" xr:uid="{00000000-0005-0000-0000-0000CE4E0000}"/>
    <cellStyle name="Normal 3 3 16 12 2" xfId="29506" xr:uid="{00000000-0005-0000-0000-0000CF4E0000}"/>
    <cellStyle name="Normal 3 3 16 13" xfId="11976" xr:uid="{00000000-0005-0000-0000-0000D04E0000}"/>
    <cellStyle name="Normal 3 3 16 13 2" xfId="29507" xr:uid="{00000000-0005-0000-0000-0000D14E0000}"/>
    <cellStyle name="Normal 3 3 16 14" xfId="11977" xr:uid="{00000000-0005-0000-0000-0000D24E0000}"/>
    <cellStyle name="Normal 3 3 16 14 2" xfId="29508" xr:uid="{00000000-0005-0000-0000-0000D34E0000}"/>
    <cellStyle name="Normal 3 3 16 15" xfId="11978" xr:uid="{00000000-0005-0000-0000-0000D44E0000}"/>
    <cellStyle name="Normal 3 3 16 15 2" xfId="29509" xr:uid="{00000000-0005-0000-0000-0000D54E0000}"/>
    <cellStyle name="Normal 3 3 16 16" xfId="11979" xr:uid="{00000000-0005-0000-0000-0000D64E0000}"/>
    <cellStyle name="Normal 3 3 16 16 2" xfId="29510" xr:uid="{00000000-0005-0000-0000-0000D74E0000}"/>
    <cellStyle name="Normal 3 3 16 17" xfId="11980" xr:uid="{00000000-0005-0000-0000-0000D84E0000}"/>
    <cellStyle name="Normal 3 3 16 17 2" xfId="29511" xr:uid="{00000000-0005-0000-0000-0000D94E0000}"/>
    <cellStyle name="Normal 3 3 16 18" xfId="11981" xr:uid="{00000000-0005-0000-0000-0000DA4E0000}"/>
    <cellStyle name="Normal 3 3 16 18 2" xfId="29512" xr:uid="{00000000-0005-0000-0000-0000DB4E0000}"/>
    <cellStyle name="Normal 3 3 16 19" xfId="11982" xr:uid="{00000000-0005-0000-0000-0000DC4E0000}"/>
    <cellStyle name="Normal 3 3 16 19 2" xfId="29513" xr:uid="{00000000-0005-0000-0000-0000DD4E0000}"/>
    <cellStyle name="Normal 3 3 16 2" xfId="11983" xr:uid="{00000000-0005-0000-0000-0000DE4E0000}"/>
    <cellStyle name="Normal 3 3 16 2 10" xfId="11984" xr:uid="{00000000-0005-0000-0000-0000DF4E0000}"/>
    <cellStyle name="Normal 3 3 16 2 10 2" xfId="29515" xr:uid="{00000000-0005-0000-0000-0000E04E0000}"/>
    <cellStyle name="Normal 3 3 16 2 11" xfId="11985" xr:uid="{00000000-0005-0000-0000-0000E14E0000}"/>
    <cellStyle name="Normal 3 3 16 2 11 2" xfId="29516" xr:uid="{00000000-0005-0000-0000-0000E24E0000}"/>
    <cellStyle name="Normal 3 3 16 2 12" xfId="11986" xr:uid="{00000000-0005-0000-0000-0000E34E0000}"/>
    <cellStyle name="Normal 3 3 16 2 12 2" xfId="29517" xr:uid="{00000000-0005-0000-0000-0000E44E0000}"/>
    <cellStyle name="Normal 3 3 16 2 13" xfId="11987" xr:uid="{00000000-0005-0000-0000-0000E54E0000}"/>
    <cellStyle name="Normal 3 3 16 2 13 2" xfId="29518" xr:uid="{00000000-0005-0000-0000-0000E64E0000}"/>
    <cellStyle name="Normal 3 3 16 2 14" xfId="11988" xr:uid="{00000000-0005-0000-0000-0000E74E0000}"/>
    <cellStyle name="Normal 3 3 16 2 14 2" xfId="29519" xr:uid="{00000000-0005-0000-0000-0000E84E0000}"/>
    <cellStyle name="Normal 3 3 16 2 15" xfId="11989" xr:uid="{00000000-0005-0000-0000-0000E94E0000}"/>
    <cellStyle name="Normal 3 3 16 2 15 2" xfId="29520" xr:uid="{00000000-0005-0000-0000-0000EA4E0000}"/>
    <cellStyle name="Normal 3 3 16 2 16" xfId="29514" xr:uid="{00000000-0005-0000-0000-0000EB4E0000}"/>
    <cellStyle name="Normal 3 3 16 2 2" xfId="11990" xr:uid="{00000000-0005-0000-0000-0000EC4E0000}"/>
    <cellStyle name="Normal 3 3 16 2 2 10" xfId="11991" xr:uid="{00000000-0005-0000-0000-0000ED4E0000}"/>
    <cellStyle name="Normal 3 3 16 2 2 10 2" xfId="29522" xr:uid="{00000000-0005-0000-0000-0000EE4E0000}"/>
    <cellStyle name="Normal 3 3 16 2 2 11" xfId="11992" xr:uid="{00000000-0005-0000-0000-0000EF4E0000}"/>
    <cellStyle name="Normal 3 3 16 2 2 11 2" xfId="29523" xr:uid="{00000000-0005-0000-0000-0000F04E0000}"/>
    <cellStyle name="Normal 3 3 16 2 2 12" xfId="11993" xr:uid="{00000000-0005-0000-0000-0000F14E0000}"/>
    <cellStyle name="Normal 3 3 16 2 2 12 2" xfId="29524" xr:uid="{00000000-0005-0000-0000-0000F24E0000}"/>
    <cellStyle name="Normal 3 3 16 2 2 13" xfId="11994" xr:uid="{00000000-0005-0000-0000-0000F34E0000}"/>
    <cellStyle name="Normal 3 3 16 2 2 13 2" xfId="29525" xr:uid="{00000000-0005-0000-0000-0000F44E0000}"/>
    <cellStyle name="Normal 3 3 16 2 2 14" xfId="11995" xr:uid="{00000000-0005-0000-0000-0000F54E0000}"/>
    <cellStyle name="Normal 3 3 16 2 2 14 2" xfId="29526" xr:uid="{00000000-0005-0000-0000-0000F64E0000}"/>
    <cellStyle name="Normal 3 3 16 2 2 15" xfId="29521" xr:uid="{00000000-0005-0000-0000-0000F74E0000}"/>
    <cellStyle name="Normal 3 3 16 2 2 2" xfId="11996" xr:uid="{00000000-0005-0000-0000-0000F84E0000}"/>
    <cellStyle name="Normal 3 3 16 2 2 2 2" xfId="29527" xr:uid="{00000000-0005-0000-0000-0000F94E0000}"/>
    <cellStyle name="Normal 3 3 16 2 2 3" xfId="11997" xr:uid="{00000000-0005-0000-0000-0000FA4E0000}"/>
    <cellStyle name="Normal 3 3 16 2 2 3 2" xfId="29528" xr:uid="{00000000-0005-0000-0000-0000FB4E0000}"/>
    <cellStyle name="Normal 3 3 16 2 2 4" xfId="11998" xr:uid="{00000000-0005-0000-0000-0000FC4E0000}"/>
    <cellStyle name="Normal 3 3 16 2 2 4 2" xfId="29529" xr:uid="{00000000-0005-0000-0000-0000FD4E0000}"/>
    <cellStyle name="Normal 3 3 16 2 2 5" xfId="11999" xr:uid="{00000000-0005-0000-0000-0000FE4E0000}"/>
    <cellStyle name="Normal 3 3 16 2 2 5 2" xfId="29530" xr:uid="{00000000-0005-0000-0000-0000FF4E0000}"/>
    <cellStyle name="Normal 3 3 16 2 2 6" xfId="12000" xr:uid="{00000000-0005-0000-0000-0000004F0000}"/>
    <cellStyle name="Normal 3 3 16 2 2 6 2" xfId="29531" xr:uid="{00000000-0005-0000-0000-0000014F0000}"/>
    <cellStyle name="Normal 3 3 16 2 2 7" xfId="12001" xr:uid="{00000000-0005-0000-0000-0000024F0000}"/>
    <cellStyle name="Normal 3 3 16 2 2 7 2" xfId="29532" xr:uid="{00000000-0005-0000-0000-0000034F0000}"/>
    <cellStyle name="Normal 3 3 16 2 2 8" xfId="12002" xr:uid="{00000000-0005-0000-0000-0000044F0000}"/>
    <cellStyle name="Normal 3 3 16 2 2 8 2" xfId="29533" xr:uid="{00000000-0005-0000-0000-0000054F0000}"/>
    <cellStyle name="Normal 3 3 16 2 2 9" xfId="12003" xr:uid="{00000000-0005-0000-0000-0000064F0000}"/>
    <cellStyle name="Normal 3 3 16 2 2 9 2" xfId="29534" xr:uid="{00000000-0005-0000-0000-0000074F0000}"/>
    <cellStyle name="Normal 3 3 16 2 3" xfId="12004" xr:uid="{00000000-0005-0000-0000-0000084F0000}"/>
    <cellStyle name="Normal 3 3 16 2 3 2" xfId="29535" xr:uid="{00000000-0005-0000-0000-0000094F0000}"/>
    <cellStyle name="Normal 3 3 16 2 4" xfId="12005" xr:uid="{00000000-0005-0000-0000-00000A4F0000}"/>
    <cellStyle name="Normal 3 3 16 2 4 2" xfId="29536" xr:uid="{00000000-0005-0000-0000-00000B4F0000}"/>
    <cellStyle name="Normal 3 3 16 2 5" xfId="12006" xr:uid="{00000000-0005-0000-0000-00000C4F0000}"/>
    <cellStyle name="Normal 3 3 16 2 5 2" xfId="29537" xr:uid="{00000000-0005-0000-0000-00000D4F0000}"/>
    <cellStyle name="Normal 3 3 16 2 6" xfId="12007" xr:uid="{00000000-0005-0000-0000-00000E4F0000}"/>
    <cellStyle name="Normal 3 3 16 2 6 2" xfId="29538" xr:uid="{00000000-0005-0000-0000-00000F4F0000}"/>
    <cellStyle name="Normal 3 3 16 2 7" xfId="12008" xr:uid="{00000000-0005-0000-0000-0000104F0000}"/>
    <cellStyle name="Normal 3 3 16 2 7 2" xfId="29539" xr:uid="{00000000-0005-0000-0000-0000114F0000}"/>
    <cellStyle name="Normal 3 3 16 2 8" xfId="12009" xr:uid="{00000000-0005-0000-0000-0000124F0000}"/>
    <cellStyle name="Normal 3 3 16 2 8 2" xfId="29540" xr:uid="{00000000-0005-0000-0000-0000134F0000}"/>
    <cellStyle name="Normal 3 3 16 2 9" xfId="12010" xr:uid="{00000000-0005-0000-0000-0000144F0000}"/>
    <cellStyle name="Normal 3 3 16 2 9 2" xfId="29541" xr:uid="{00000000-0005-0000-0000-0000154F0000}"/>
    <cellStyle name="Normal 3 3 16 20" xfId="12011" xr:uid="{00000000-0005-0000-0000-0000164F0000}"/>
    <cellStyle name="Normal 3 3 16 20 2" xfId="29542" xr:uid="{00000000-0005-0000-0000-0000174F0000}"/>
    <cellStyle name="Normal 3 3 16 21" xfId="12012" xr:uid="{00000000-0005-0000-0000-0000184F0000}"/>
    <cellStyle name="Normal 3 3 16 21 2" xfId="29543" xr:uid="{00000000-0005-0000-0000-0000194F0000}"/>
    <cellStyle name="Normal 3 3 16 22" xfId="12013" xr:uid="{00000000-0005-0000-0000-00001A4F0000}"/>
    <cellStyle name="Normal 3 3 16 22 2" xfId="29544" xr:uid="{00000000-0005-0000-0000-00001B4F0000}"/>
    <cellStyle name="Normal 3 3 16 23" xfId="12014" xr:uid="{00000000-0005-0000-0000-00001C4F0000}"/>
    <cellStyle name="Normal 3 3 16 23 2" xfId="29545" xr:uid="{00000000-0005-0000-0000-00001D4F0000}"/>
    <cellStyle name="Normal 3 3 16 24" xfId="29490" xr:uid="{00000000-0005-0000-0000-00001E4F0000}"/>
    <cellStyle name="Normal 3 3 16 3" xfId="12015" xr:uid="{00000000-0005-0000-0000-00001F4F0000}"/>
    <cellStyle name="Normal 3 3 16 3 10" xfId="12016" xr:uid="{00000000-0005-0000-0000-0000204F0000}"/>
    <cellStyle name="Normal 3 3 16 3 10 2" xfId="29547" xr:uid="{00000000-0005-0000-0000-0000214F0000}"/>
    <cellStyle name="Normal 3 3 16 3 11" xfId="12017" xr:uid="{00000000-0005-0000-0000-0000224F0000}"/>
    <cellStyle name="Normal 3 3 16 3 11 2" xfId="29548" xr:uid="{00000000-0005-0000-0000-0000234F0000}"/>
    <cellStyle name="Normal 3 3 16 3 12" xfId="12018" xr:uid="{00000000-0005-0000-0000-0000244F0000}"/>
    <cellStyle name="Normal 3 3 16 3 12 2" xfId="29549" xr:uid="{00000000-0005-0000-0000-0000254F0000}"/>
    <cellStyle name="Normal 3 3 16 3 13" xfId="12019" xr:uid="{00000000-0005-0000-0000-0000264F0000}"/>
    <cellStyle name="Normal 3 3 16 3 13 2" xfId="29550" xr:uid="{00000000-0005-0000-0000-0000274F0000}"/>
    <cellStyle name="Normal 3 3 16 3 14" xfId="12020" xr:uid="{00000000-0005-0000-0000-0000284F0000}"/>
    <cellStyle name="Normal 3 3 16 3 14 2" xfId="29551" xr:uid="{00000000-0005-0000-0000-0000294F0000}"/>
    <cellStyle name="Normal 3 3 16 3 15" xfId="12021" xr:uid="{00000000-0005-0000-0000-00002A4F0000}"/>
    <cellStyle name="Normal 3 3 16 3 15 2" xfId="29552" xr:uid="{00000000-0005-0000-0000-00002B4F0000}"/>
    <cellStyle name="Normal 3 3 16 3 16" xfId="29546" xr:uid="{00000000-0005-0000-0000-00002C4F0000}"/>
    <cellStyle name="Normal 3 3 16 3 2" xfId="12022" xr:uid="{00000000-0005-0000-0000-00002D4F0000}"/>
    <cellStyle name="Normal 3 3 16 3 2 10" xfId="12023" xr:uid="{00000000-0005-0000-0000-00002E4F0000}"/>
    <cellStyle name="Normal 3 3 16 3 2 10 2" xfId="29554" xr:uid="{00000000-0005-0000-0000-00002F4F0000}"/>
    <cellStyle name="Normal 3 3 16 3 2 11" xfId="12024" xr:uid="{00000000-0005-0000-0000-0000304F0000}"/>
    <cellStyle name="Normal 3 3 16 3 2 11 2" xfId="29555" xr:uid="{00000000-0005-0000-0000-0000314F0000}"/>
    <cellStyle name="Normal 3 3 16 3 2 12" xfId="12025" xr:uid="{00000000-0005-0000-0000-0000324F0000}"/>
    <cellStyle name="Normal 3 3 16 3 2 12 2" xfId="29556" xr:uid="{00000000-0005-0000-0000-0000334F0000}"/>
    <cellStyle name="Normal 3 3 16 3 2 13" xfId="12026" xr:uid="{00000000-0005-0000-0000-0000344F0000}"/>
    <cellStyle name="Normal 3 3 16 3 2 13 2" xfId="29557" xr:uid="{00000000-0005-0000-0000-0000354F0000}"/>
    <cellStyle name="Normal 3 3 16 3 2 14" xfId="12027" xr:uid="{00000000-0005-0000-0000-0000364F0000}"/>
    <cellStyle name="Normal 3 3 16 3 2 14 2" xfId="29558" xr:uid="{00000000-0005-0000-0000-0000374F0000}"/>
    <cellStyle name="Normal 3 3 16 3 2 15" xfId="29553" xr:uid="{00000000-0005-0000-0000-0000384F0000}"/>
    <cellStyle name="Normal 3 3 16 3 2 2" xfId="12028" xr:uid="{00000000-0005-0000-0000-0000394F0000}"/>
    <cellStyle name="Normal 3 3 16 3 2 2 2" xfId="29559" xr:uid="{00000000-0005-0000-0000-00003A4F0000}"/>
    <cellStyle name="Normal 3 3 16 3 2 3" xfId="12029" xr:uid="{00000000-0005-0000-0000-00003B4F0000}"/>
    <cellStyle name="Normal 3 3 16 3 2 3 2" xfId="29560" xr:uid="{00000000-0005-0000-0000-00003C4F0000}"/>
    <cellStyle name="Normal 3 3 16 3 2 4" xfId="12030" xr:uid="{00000000-0005-0000-0000-00003D4F0000}"/>
    <cellStyle name="Normal 3 3 16 3 2 4 2" xfId="29561" xr:uid="{00000000-0005-0000-0000-00003E4F0000}"/>
    <cellStyle name="Normal 3 3 16 3 2 5" xfId="12031" xr:uid="{00000000-0005-0000-0000-00003F4F0000}"/>
    <cellStyle name="Normal 3 3 16 3 2 5 2" xfId="29562" xr:uid="{00000000-0005-0000-0000-0000404F0000}"/>
    <cellStyle name="Normal 3 3 16 3 2 6" xfId="12032" xr:uid="{00000000-0005-0000-0000-0000414F0000}"/>
    <cellStyle name="Normal 3 3 16 3 2 6 2" xfId="29563" xr:uid="{00000000-0005-0000-0000-0000424F0000}"/>
    <cellStyle name="Normal 3 3 16 3 2 7" xfId="12033" xr:uid="{00000000-0005-0000-0000-0000434F0000}"/>
    <cellStyle name="Normal 3 3 16 3 2 7 2" xfId="29564" xr:uid="{00000000-0005-0000-0000-0000444F0000}"/>
    <cellStyle name="Normal 3 3 16 3 2 8" xfId="12034" xr:uid="{00000000-0005-0000-0000-0000454F0000}"/>
    <cellStyle name="Normal 3 3 16 3 2 8 2" xfId="29565" xr:uid="{00000000-0005-0000-0000-0000464F0000}"/>
    <cellStyle name="Normal 3 3 16 3 2 9" xfId="12035" xr:uid="{00000000-0005-0000-0000-0000474F0000}"/>
    <cellStyle name="Normal 3 3 16 3 2 9 2" xfId="29566" xr:uid="{00000000-0005-0000-0000-0000484F0000}"/>
    <cellStyle name="Normal 3 3 16 3 3" xfId="12036" xr:uid="{00000000-0005-0000-0000-0000494F0000}"/>
    <cellStyle name="Normal 3 3 16 3 3 2" xfId="29567" xr:uid="{00000000-0005-0000-0000-00004A4F0000}"/>
    <cellStyle name="Normal 3 3 16 3 4" xfId="12037" xr:uid="{00000000-0005-0000-0000-00004B4F0000}"/>
    <cellStyle name="Normal 3 3 16 3 4 2" xfId="29568" xr:uid="{00000000-0005-0000-0000-00004C4F0000}"/>
    <cellStyle name="Normal 3 3 16 3 5" xfId="12038" xr:uid="{00000000-0005-0000-0000-00004D4F0000}"/>
    <cellStyle name="Normal 3 3 16 3 5 2" xfId="29569" xr:uid="{00000000-0005-0000-0000-00004E4F0000}"/>
    <cellStyle name="Normal 3 3 16 3 6" xfId="12039" xr:uid="{00000000-0005-0000-0000-00004F4F0000}"/>
    <cellStyle name="Normal 3 3 16 3 6 2" xfId="29570" xr:uid="{00000000-0005-0000-0000-0000504F0000}"/>
    <cellStyle name="Normal 3 3 16 3 7" xfId="12040" xr:uid="{00000000-0005-0000-0000-0000514F0000}"/>
    <cellStyle name="Normal 3 3 16 3 7 2" xfId="29571" xr:uid="{00000000-0005-0000-0000-0000524F0000}"/>
    <cellStyle name="Normal 3 3 16 3 8" xfId="12041" xr:uid="{00000000-0005-0000-0000-0000534F0000}"/>
    <cellStyle name="Normal 3 3 16 3 8 2" xfId="29572" xr:uid="{00000000-0005-0000-0000-0000544F0000}"/>
    <cellStyle name="Normal 3 3 16 3 9" xfId="12042" xr:uid="{00000000-0005-0000-0000-0000554F0000}"/>
    <cellStyle name="Normal 3 3 16 3 9 2" xfId="29573" xr:uid="{00000000-0005-0000-0000-0000564F0000}"/>
    <cellStyle name="Normal 3 3 16 4" xfId="12043" xr:uid="{00000000-0005-0000-0000-0000574F0000}"/>
    <cellStyle name="Normal 3 3 16 4 10" xfId="12044" xr:uid="{00000000-0005-0000-0000-0000584F0000}"/>
    <cellStyle name="Normal 3 3 16 4 10 2" xfId="29575" xr:uid="{00000000-0005-0000-0000-0000594F0000}"/>
    <cellStyle name="Normal 3 3 16 4 11" xfId="12045" xr:uid="{00000000-0005-0000-0000-00005A4F0000}"/>
    <cellStyle name="Normal 3 3 16 4 11 2" xfId="29576" xr:uid="{00000000-0005-0000-0000-00005B4F0000}"/>
    <cellStyle name="Normal 3 3 16 4 12" xfId="12046" xr:uid="{00000000-0005-0000-0000-00005C4F0000}"/>
    <cellStyle name="Normal 3 3 16 4 12 2" xfId="29577" xr:uid="{00000000-0005-0000-0000-00005D4F0000}"/>
    <cellStyle name="Normal 3 3 16 4 13" xfId="12047" xr:uid="{00000000-0005-0000-0000-00005E4F0000}"/>
    <cellStyle name="Normal 3 3 16 4 13 2" xfId="29578" xr:uid="{00000000-0005-0000-0000-00005F4F0000}"/>
    <cellStyle name="Normal 3 3 16 4 14" xfId="12048" xr:uid="{00000000-0005-0000-0000-0000604F0000}"/>
    <cellStyle name="Normal 3 3 16 4 14 2" xfId="29579" xr:uid="{00000000-0005-0000-0000-0000614F0000}"/>
    <cellStyle name="Normal 3 3 16 4 15" xfId="12049" xr:uid="{00000000-0005-0000-0000-0000624F0000}"/>
    <cellStyle name="Normal 3 3 16 4 15 2" xfId="29580" xr:uid="{00000000-0005-0000-0000-0000634F0000}"/>
    <cellStyle name="Normal 3 3 16 4 16" xfId="29574" xr:uid="{00000000-0005-0000-0000-0000644F0000}"/>
    <cellStyle name="Normal 3 3 16 4 2" xfId="12050" xr:uid="{00000000-0005-0000-0000-0000654F0000}"/>
    <cellStyle name="Normal 3 3 16 4 2 10" xfId="12051" xr:uid="{00000000-0005-0000-0000-0000664F0000}"/>
    <cellStyle name="Normal 3 3 16 4 2 10 2" xfId="29582" xr:uid="{00000000-0005-0000-0000-0000674F0000}"/>
    <cellStyle name="Normal 3 3 16 4 2 11" xfId="12052" xr:uid="{00000000-0005-0000-0000-0000684F0000}"/>
    <cellStyle name="Normal 3 3 16 4 2 11 2" xfId="29583" xr:uid="{00000000-0005-0000-0000-0000694F0000}"/>
    <cellStyle name="Normal 3 3 16 4 2 12" xfId="12053" xr:uid="{00000000-0005-0000-0000-00006A4F0000}"/>
    <cellStyle name="Normal 3 3 16 4 2 12 2" xfId="29584" xr:uid="{00000000-0005-0000-0000-00006B4F0000}"/>
    <cellStyle name="Normal 3 3 16 4 2 13" xfId="12054" xr:uid="{00000000-0005-0000-0000-00006C4F0000}"/>
    <cellStyle name="Normal 3 3 16 4 2 13 2" xfId="29585" xr:uid="{00000000-0005-0000-0000-00006D4F0000}"/>
    <cellStyle name="Normal 3 3 16 4 2 14" xfId="12055" xr:uid="{00000000-0005-0000-0000-00006E4F0000}"/>
    <cellStyle name="Normal 3 3 16 4 2 14 2" xfId="29586" xr:uid="{00000000-0005-0000-0000-00006F4F0000}"/>
    <cellStyle name="Normal 3 3 16 4 2 15" xfId="29581" xr:uid="{00000000-0005-0000-0000-0000704F0000}"/>
    <cellStyle name="Normal 3 3 16 4 2 2" xfId="12056" xr:uid="{00000000-0005-0000-0000-0000714F0000}"/>
    <cellStyle name="Normal 3 3 16 4 2 2 2" xfId="29587" xr:uid="{00000000-0005-0000-0000-0000724F0000}"/>
    <cellStyle name="Normal 3 3 16 4 2 3" xfId="12057" xr:uid="{00000000-0005-0000-0000-0000734F0000}"/>
    <cellStyle name="Normal 3 3 16 4 2 3 2" xfId="29588" xr:uid="{00000000-0005-0000-0000-0000744F0000}"/>
    <cellStyle name="Normal 3 3 16 4 2 4" xfId="12058" xr:uid="{00000000-0005-0000-0000-0000754F0000}"/>
    <cellStyle name="Normal 3 3 16 4 2 4 2" xfId="29589" xr:uid="{00000000-0005-0000-0000-0000764F0000}"/>
    <cellStyle name="Normal 3 3 16 4 2 5" xfId="12059" xr:uid="{00000000-0005-0000-0000-0000774F0000}"/>
    <cellStyle name="Normal 3 3 16 4 2 5 2" xfId="29590" xr:uid="{00000000-0005-0000-0000-0000784F0000}"/>
    <cellStyle name="Normal 3 3 16 4 2 6" xfId="12060" xr:uid="{00000000-0005-0000-0000-0000794F0000}"/>
    <cellStyle name="Normal 3 3 16 4 2 6 2" xfId="29591" xr:uid="{00000000-0005-0000-0000-00007A4F0000}"/>
    <cellStyle name="Normal 3 3 16 4 2 7" xfId="12061" xr:uid="{00000000-0005-0000-0000-00007B4F0000}"/>
    <cellStyle name="Normal 3 3 16 4 2 7 2" xfId="29592" xr:uid="{00000000-0005-0000-0000-00007C4F0000}"/>
    <cellStyle name="Normal 3 3 16 4 2 8" xfId="12062" xr:uid="{00000000-0005-0000-0000-00007D4F0000}"/>
    <cellStyle name="Normal 3 3 16 4 2 8 2" xfId="29593" xr:uid="{00000000-0005-0000-0000-00007E4F0000}"/>
    <cellStyle name="Normal 3 3 16 4 2 9" xfId="12063" xr:uid="{00000000-0005-0000-0000-00007F4F0000}"/>
    <cellStyle name="Normal 3 3 16 4 2 9 2" xfId="29594" xr:uid="{00000000-0005-0000-0000-0000804F0000}"/>
    <cellStyle name="Normal 3 3 16 4 3" xfId="12064" xr:uid="{00000000-0005-0000-0000-0000814F0000}"/>
    <cellStyle name="Normal 3 3 16 4 3 2" xfId="29595" xr:uid="{00000000-0005-0000-0000-0000824F0000}"/>
    <cellStyle name="Normal 3 3 16 4 4" xfId="12065" xr:uid="{00000000-0005-0000-0000-0000834F0000}"/>
    <cellStyle name="Normal 3 3 16 4 4 2" xfId="29596" xr:uid="{00000000-0005-0000-0000-0000844F0000}"/>
    <cellStyle name="Normal 3 3 16 4 5" xfId="12066" xr:uid="{00000000-0005-0000-0000-0000854F0000}"/>
    <cellStyle name="Normal 3 3 16 4 5 2" xfId="29597" xr:uid="{00000000-0005-0000-0000-0000864F0000}"/>
    <cellStyle name="Normal 3 3 16 4 6" xfId="12067" xr:uid="{00000000-0005-0000-0000-0000874F0000}"/>
    <cellStyle name="Normal 3 3 16 4 6 2" xfId="29598" xr:uid="{00000000-0005-0000-0000-0000884F0000}"/>
    <cellStyle name="Normal 3 3 16 4 7" xfId="12068" xr:uid="{00000000-0005-0000-0000-0000894F0000}"/>
    <cellStyle name="Normal 3 3 16 4 7 2" xfId="29599" xr:uid="{00000000-0005-0000-0000-00008A4F0000}"/>
    <cellStyle name="Normal 3 3 16 4 8" xfId="12069" xr:uid="{00000000-0005-0000-0000-00008B4F0000}"/>
    <cellStyle name="Normal 3 3 16 4 8 2" xfId="29600" xr:uid="{00000000-0005-0000-0000-00008C4F0000}"/>
    <cellStyle name="Normal 3 3 16 4 9" xfId="12070" xr:uid="{00000000-0005-0000-0000-00008D4F0000}"/>
    <cellStyle name="Normal 3 3 16 4 9 2" xfId="29601" xr:uid="{00000000-0005-0000-0000-00008E4F0000}"/>
    <cellStyle name="Normal 3 3 16 5" xfId="12071" xr:uid="{00000000-0005-0000-0000-00008F4F0000}"/>
    <cellStyle name="Normal 3 3 16 5 10" xfId="12072" xr:uid="{00000000-0005-0000-0000-0000904F0000}"/>
    <cellStyle name="Normal 3 3 16 5 10 2" xfId="29603" xr:uid="{00000000-0005-0000-0000-0000914F0000}"/>
    <cellStyle name="Normal 3 3 16 5 11" xfId="12073" xr:uid="{00000000-0005-0000-0000-0000924F0000}"/>
    <cellStyle name="Normal 3 3 16 5 11 2" xfId="29604" xr:uid="{00000000-0005-0000-0000-0000934F0000}"/>
    <cellStyle name="Normal 3 3 16 5 12" xfId="12074" xr:uid="{00000000-0005-0000-0000-0000944F0000}"/>
    <cellStyle name="Normal 3 3 16 5 12 2" xfId="29605" xr:uid="{00000000-0005-0000-0000-0000954F0000}"/>
    <cellStyle name="Normal 3 3 16 5 13" xfId="12075" xr:uid="{00000000-0005-0000-0000-0000964F0000}"/>
    <cellStyle name="Normal 3 3 16 5 13 2" xfId="29606" xr:uid="{00000000-0005-0000-0000-0000974F0000}"/>
    <cellStyle name="Normal 3 3 16 5 14" xfId="12076" xr:uid="{00000000-0005-0000-0000-0000984F0000}"/>
    <cellStyle name="Normal 3 3 16 5 14 2" xfId="29607" xr:uid="{00000000-0005-0000-0000-0000994F0000}"/>
    <cellStyle name="Normal 3 3 16 5 15" xfId="29602" xr:uid="{00000000-0005-0000-0000-00009A4F0000}"/>
    <cellStyle name="Normal 3 3 16 5 2" xfId="12077" xr:uid="{00000000-0005-0000-0000-00009B4F0000}"/>
    <cellStyle name="Normal 3 3 16 5 2 2" xfId="29608" xr:uid="{00000000-0005-0000-0000-00009C4F0000}"/>
    <cellStyle name="Normal 3 3 16 5 3" xfId="12078" xr:uid="{00000000-0005-0000-0000-00009D4F0000}"/>
    <cellStyle name="Normal 3 3 16 5 3 2" xfId="29609" xr:uid="{00000000-0005-0000-0000-00009E4F0000}"/>
    <cellStyle name="Normal 3 3 16 5 4" xfId="12079" xr:uid="{00000000-0005-0000-0000-00009F4F0000}"/>
    <cellStyle name="Normal 3 3 16 5 4 2" xfId="29610" xr:uid="{00000000-0005-0000-0000-0000A04F0000}"/>
    <cellStyle name="Normal 3 3 16 5 5" xfId="12080" xr:uid="{00000000-0005-0000-0000-0000A14F0000}"/>
    <cellStyle name="Normal 3 3 16 5 5 2" xfId="29611" xr:uid="{00000000-0005-0000-0000-0000A24F0000}"/>
    <cellStyle name="Normal 3 3 16 5 6" xfId="12081" xr:uid="{00000000-0005-0000-0000-0000A34F0000}"/>
    <cellStyle name="Normal 3 3 16 5 6 2" xfId="29612" xr:uid="{00000000-0005-0000-0000-0000A44F0000}"/>
    <cellStyle name="Normal 3 3 16 5 7" xfId="12082" xr:uid="{00000000-0005-0000-0000-0000A54F0000}"/>
    <cellStyle name="Normal 3 3 16 5 7 2" xfId="29613" xr:uid="{00000000-0005-0000-0000-0000A64F0000}"/>
    <cellStyle name="Normal 3 3 16 5 8" xfId="12083" xr:uid="{00000000-0005-0000-0000-0000A74F0000}"/>
    <cellStyle name="Normal 3 3 16 5 8 2" xfId="29614" xr:uid="{00000000-0005-0000-0000-0000A84F0000}"/>
    <cellStyle name="Normal 3 3 16 5 9" xfId="12084" xr:uid="{00000000-0005-0000-0000-0000A94F0000}"/>
    <cellStyle name="Normal 3 3 16 5 9 2" xfId="29615" xr:uid="{00000000-0005-0000-0000-0000AA4F0000}"/>
    <cellStyle name="Normal 3 3 16 6" xfId="12085" xr:uid="{00000000-0005-0000-0000-0000AB4F0000}"/>
    <cellStyle name="Normal 3 3 16 6 10" xfId="12086" xr:uid="{00000000-0005-0000-0000-0000AC4F0000}"/>
    <cellStyle name="Normal 3 3 16 6 10 2" xfId="29617" xr:uid="{00000000-0005-0000-0000-0000AD4F0000}"/>
    <cellStyle name="Normal 3 3 16 6 11" xfId="12087" xr:uid="{00000000-0005-0000-0000-0000AE4F0000}"/>
    <cellStyle name="Normal 3 3 16 6 11 2" xfId="29618" xr:uid="{00000000-0005-0000-0000-0000AF4F0000}"/>
    <cellStyle name="Normal 3 3 16 6 12" xfId="12088" xr:uid="{00000000-0005-0000-0000-0000B04F0000}"/>
    <cellStyle name="Normal 3 3 16 6 12 2" xfId="29619" xr:uid="{00000000-0005-0000-0000-0000B14F0000}"/>
    <cellStyle name="Normal 3 3 16 6 13" xfId="12089" xr:uid="{00000000-0005-0000-0000-0000B24F0000}"/>
    <cellStyle name="Normal 3 3 16 6 13 2" xfId="29620" xr:uid="{00000000-0005-0000-0000-0000B34F0000}"/>
    <cellStyle name="Normal 3 3 16 6 14" xfId="12090" xr:uid="{00000000-0005-0000-0000-0000B44F0000}"/>
    <cellStyle name="Normal 3 3 16 6 14 2" xfId="29621" xr:uid="{00000000-0005-0000-0000-0000B54F0000}"/>
    <cellStyle name="Normal 3 3 16 6 15" xfId="29616" xr:uid="{00000000-0005-0000-0000-0000B64F0000}"/>
    <cellStyle name="Normal 3 3 16 6 2" xfId="12091" xr:uid="{00000000-0005-0000-0000-0000B74F0000}"/>
    <cellStyle name="Normal 3 3 16 6 2 2" xfId="29622" xr:uid="{00000000-0005-0000-0000-0000B84F0000}"/>
    <cellStyle name="Normal 3 3 16 6 3" xfId="12092" xr:uid="{00000000-0005-0000-0000-0000B94F0000}"/>
    <cellStyle name="Normal 3 3 16 6 3 2" xfId="29623" xr:uid="{00000000-0005-0000-0000-0000BA4F0000}"/>
    <cellStyle name="Normal 3 3 16 6 4" xfId="12093" xr:uid="{00000000-0005-0000-0000-0000BB4F0000}"/>
    <cellStyle name="Normal 3 3 16 6 4 2" xfId="29624" xr:uid="{00000000-0005-0000-0000-0000BC4F0000}"/>
    <cellStyle name="Normal 3 3 16 6 5" xfId="12094" xr:uid="{00000000-0005-0000-0000-0000BD4F0000}"/>
    <cellStyle name="Normal 3 3 16 6 5 2" xfId="29625" xr:uid="{00000000-0005-0000-0000-0000BE4F0000}"/>
    <cellStyle name="Normal 3 3 16 6 6" xfId="12095" xr:uid="{00000000-0005-0000-0000-0000BF4F0000}"/>
    <cellStyle name="Normal 3 3 16 6 6 2" xfId="29626" xr:uid="{00000000-0005-0000-0000-0000C04F0000}"/>
    <cellStyle name="Normal 3 3 16 6 7" xfId="12096" xr:uid="{00000000-0005-0000-0000-0000C14F0000}"/>
    <cellStyle name="Normal 3 3 16 6 7 2" xfId="29627" xr:uid="{00000000-0005-0000-0000-0000C24F0000}"/>
    <cellStyle name="Normal 3 3 16 6 8" xfId="12097" xr:uid="{00000000-0005-0000-0000-0000C34F0000}"/>
    <cellStyle name="Normal 3 3 16 6 8 2" xfId="29628" xr:uid="{00000000-0005-0000-0000-0000C44F0000}"/>
    <cellStyle name="Normal 3 3 16 6 9" xfId="12098" xr:uid="{00000000-0005-0000-0000-0000C54F0000}"/>
    <cellStyle name="Normal 3 3 16 6 9 2" xfId="29629" xr:uid="{00000000-0005-0000-0000-0000C64F0000}"/>
    <cellStyle name="Normal 3 3 16 7" xfId="12099" xr:uid="{00000000-0005-0000-0000-0000C74F0000}"/>
    <cellStyle name="Normal 3 3 16 7 10" xfId="12100" xr:uid="{00000000-0005-0000-0000-0000C84F0000}"/>
    <cellStyle name="Normal 3 3 16 7 10 2" xfId="29631" xr:uid="{00000000-0005-0000-0000-0000C94F0000}"/>
    <cellStyle name="Normal 3 3 16 7 11" xfId="12101" xr:uid="{00000000-0005-0000-0000-0000CA4F0000}"/>
    <cellStyle name="Normal 3 3 16 7 11 2" xfId="29632" xr:uid="{00000000-0005-0000-0000-0000CB4F0000}"/>
    <cellStyle name="Normal 3 3 16 7 12" xfId="12102" xr:uid="{00000000-0005-0000-0000-0000CC4F0000}"/>
    <cellStyle name="Normal 3 3 16 7 12 2" xfId="29633" xr:uid="{00000000-0005-0000-0000-0000CD4F0000}"/>
    <cellStyle name="Normal 3 3 16 7 13" xfId="12103" xr:uid="{00000000-0005-0000-0000-0000CE4F0000}"/>
    <cellStyle name="Normal 3 3 16 7 13 2" xfId="29634" xr:uid="{00000000-0005-0000-0000-0000CF4F0000}"/>
    <cellStyle name="Normal 3 3 16 7 14" xfId="12104" xr:uid="{00000000-0005-0000-0000-0000D04F0000}"/>
    <cellStyle name="Normal 3 3 16 7 14 2" xfId="29635" xr:uid="{00000000-0005-0000-0000-0000D14F0000}"/>
    <cellStyle name="Normal 3 3 16 7 15" xfId="29630" xr:uid="{00000000-0005-0000-0000-0000D24F0000}"/>
    <cellStyle name="Normal 3 3 16 7 2" xfId="12105" xr:uid="{00000000-0005-0000-0000-0000D34F0000}"/>
    <cellStyle name="Normal 3 3 16 7 2 2" xfId="29636" xr:uid="{00000000-0005-0000-0000-0000D44F0000}"/>
    <cellStyle name="Normal 3 3 16 7 3" xfId="12106" xr:uid="{00000000-0005-0000-0000-0000D54F0000}"/>
    <cellStyle name="Normal 3 3 16 7 3 2" xfId="29637" xr:uid="{00000000-0005-0000-0000-0000D64F0000}"/>
    <cellStyle name="Normal 3 3 16 7 4" xfId="12107" xr:uid="{00000000-0005-0000-0000-0000D74F0000}"/>
    <cellStyle name="Normal 3 3 16 7 4 2" xfId="29638" xr:uid="{00000000-0005-0000-0000-0000D84F0000}"/>
    <cellStyle name="Normal 3 3 16 7 5" xfId="12108" xr:uid="{00000000-0005-0000-0000-0000D94F0000}"/>
    <cellStyle name="Normal 3 3 16 7 5 2" xfId="29639" xr:uid="{00000000-0005-0000-0000-0000DA4F0000}"/>
    <cellStyle name="Normal 3 3 16 7 6" xfId="12109" xr:uid="{00000000-0005-0000-0000-0000DB4F0000}"/>
    <cellStyle name="Normal 3 3 16 7 6 2" xfId="29640" xr:uid="{00000000-0005-0000-0000-0000DC4F0000}"/>
    <cellStyle name="Normal 3 3 16 7 7" xfId="12110" xr:uid="{00000000-0005-0000-0000-0000DD4F0000}"/>
    <cellStyle name="Normal 3 3 16 7 7 2" xfId="29641" xr:uid="{00000000-0005-0000-0000-0000DE4F0000}"/>
    <cellStyle name="Normal 3 3 16 7 8" xfId="12111" xr:uid="{00000000-0005-0000-0000-0000DF4F0000}"/>
    <cellStyle name="Normal 3 3 16 7 8 2" xfId="29642" xr:uid="{00000000-0005-0000-0000-0000E04F0000}"/>
    <cellStyle name="Normal 3 3 16 7 9" xfId="12112" xr:uid="{00000000-0005-0000-0000-0000E14F0000}"/>
    <cellStyle name="Normal 3 3 16 7 9 2" xfId="29643" xr:uid="{00000000-0005-0000-0000-0000E24F0000}"/>
    <cellStyle name="Normal 3 3 16 8" xfId="12113" xr:uid="{00000000-0005-0000-0000-0000E34F0000}"/>
    <cellStyle name="Normal 3 3 16 8 10" xfId="12114" xr:uid="{00000000-0005-0000-0000-0000E44F0000}"/>
    <cellStyle name="Normal 3 3 16 8 10 2" xfId="29645" xr:uid="{00000000-0005-0000-0000-0000E54F0000}"/>
    <cellStyle name="Normal 3 3 16 8 11" xfId="12115" xr:uid="{00000000-0005-0000-0000-0000E64F0000}"/>
    <cellStyle name="Normal 3 3 16 8 11 2" xfId="29646" xr:uid="{00000000-0005-0000-0000-0000E74F0000}"/>
    <cellStyle name="Normal 3 3 16 8 12" xfId="12116" xr:uid="{00000000-0005-0000-0000-0000E84F0000}"/>
    <cellStyle name="Normal 3 3 16 8 12 2" xfId="29647" xr:uid="{00000000-0005-0000-0000-0000E94F0000}"/>
    <cellStyle name="Normal 3 3 16 8 13" xfId="12117" xr:uid="{00000000-0005-0000-0000-0000EA4F0000}"/>
    <cellStyle name="Normal 3 3 16 8 13 2" xfId="29648" xr:uid="{00000000-0005-0000-0000-0000EB4F0000}"/>
    <cellStyle name="Normal 3 3 16 8 14" xfId="12118" xr:uid="{00000000-0005-0000-0000-0000EC4F0000}"/>
    <cellStyle name="Normal 3 3 16 8 14 2" xfId="29649" xr:uid="{00000000-0005-0000-0000-0000ED4F0000}"/>
    <cellStyle name="Normal 3 3 16 8 15" xfId="29644" xr:uid="{00000000-0005-0000-0000-0000EE4F0000}"/>
    <cellStyle name="Normal 3 3 16 8 2" xfId="12119" xr:uid="{00000000-0005-0000-0000-0000EF4F0000}"/>
    <cellStyle name="Normal 3 3 16 8 2 2" xfId="29650" xr:uid="{00000000-0005-0000-0000-0000F04F0000}"/>
    <cellStyle name="Normal 3 3 16 8 3" xfId="12120" xr:uid="{00000000-0005-0000-0000-0000F14F0000}"/>
    <cellStyle name="Normal 3 3 16 8 3 2" xfId="29651" xr:uid="{00000000-0005-0000-0000-0000F24F0000}"/>
    <cellStyle name="Normal 3 3 16 8 4" xfId="12121" xr:uid="{00000000-0005-0000-0000-0000F34F0000}"/>
    <cellStyle name="Normal 3 3 16 8 4 2" xfId="29652" xr:uid="{00000000-0005-0000-0000-0000F44F0000}"/>
    <cellStyle name="Normal 3 3 16 8 5" xfId="12122" xr:uid="{00000000-0005-0000-0000-0000F54F0000}"/>
    <cellStyle name="Normal 3 3 16 8 5 2" xfId="29653" xr:uid="{00000000-0005-0000-0000-0000F64F0000}"/>
    <cellStyle name="Normal 3 3 16 8 6" xfId="12123" xr:uid="{00000000-0005-0000-0000-0000F74F0000}"/>
    <cellStyle name="Normal 3 3 16 8 6 2" xfId="29654" xr:uid="{00000000-0005-0000-0000-0000F84F0000}"/>
    <cellStyle name="Normal 3 3 16 8 7" xfId="12124" xr:uid="{00000000-0005-0000-0000-0000F94F0000}"/>
    <cellStyle name="Normal 3 3 16 8 7 2" xfId="29655" xr:uid="{00000000-0005-0000-0000-0000FA4F0000}"/>
    <cellStyle name="Normal 3 3 16 8 8" xfId="12125" xr:uid="{00000000-0005-0000-0000-0000FB4F0000}"/>
    <cellStyle name="Normal 3 3 16 8 8 2" xfId="29656" xr:uid="{00000000-0005-0000-0000-0000FC4F0000}"/>
    <cellStyle name="Normal 3 3 16 8 9" xfId="12126" xr:uid="{00000000-0005-0000-0000-0000FD4F0000}"/>
    <cellStyle name="Normal 3 3 16 8 9 2" xfId="29657" xr:uid="{00000000-0005-0000-0000-0000FE4F0000}"/>
    <cellStyle name="Normal 3 3 16 9" xfId="12127" xr:uid="{00000000-0005-0000-0000-0000FF4F0000}"/>
    <cellStyle name="Normal 3 3 16 9 10" xfId="12128" xr:uid="{00000000-0005-0000-0000-000000500000}"/>
    <cellStyle name="Normal 3 3 16 9 10 2" xfId="29659" xr:uid="{00000000-0005-0000-0000-000001500000}"/>
    <cellStyle name="Normal 3 3 16 9 11" xfId="12129" xr:uid="{00000000-0005-0000-0000-000002500000}"/>
    <cellStyle name="Normal 3 3 16 9 11 2" xfId="29660" xr:uid="{00000000-0005-0000-0000-000003500000}"/>
    <cellStyle name="Normal 3 3 16 9 12" xfId="12130" xr:uid="{00000000-0005-0000-0000-000004500000}"/>
    <cellStyle name="Normal 3 3 16 9 12 2" xfId="29661" xr:uid="{00000000-0005-0000-0000-000005500000}"/>
    <cellStyle name="Normal 3 3 16 9 13" xfId="12131" xr:uid="{00000000-0005-0000-0000-000006500000}"/>
    <cellStyle name="Normal 3 3 16 9 13 2" xfId="29662" xr:uid="{00000000-0005-0000-0000-000007500000}"/>
    <cellStyle name="Normal 3 3 16 9 14" xfId="12132" xr:uid="{00000000-0005-0000-0000-000008500000}"/>
    <cellStyle name="Normal 3 3 16 9 14 2" xfId="29663" xr:uid="{00000000-0005-0000-0000-000009500000}"/>
    <cellStyle name="Normal 3 3 16 9 15" xfId="29658" xr:uid="{00000000-0005-0000-0000-00000A500000}"/>
    <cellStyle name="Normal 3 3 16 9 2" xfId="12133" xr:uid="{00000000-0005-0000-0000-00000B500000}"/>
    <cellStyle name="Normal 3 3 16 9 2 2" xfId="29664" xr:uid="{00000000-0005-0000-0000-00000C500000}"/>
    <cellStyle name="Normal 3 3 16 9 3" xfId="12134" xr:uid="{00000000-0005-0000-0000-00000D500000}"/>
    <cellStyle name="Normal 3 3 16 9 3 2" xfId="29665" xr:uid="{00000000-0005-0000-0000-00000E500000}"/>
    <cellStyle name="Normal 3 3 16 9 4" xfId="12135" xr:uid="{00000000-0005-0000-0000-00000F500000}"/>
    <cellStyle name="Normal 3 3 16 9 4 2" xfId="29666" xr:uid="{00000000-0005-0000-0000-000010500000}"/>
    <cellStyle name="Normal 3 3 16 9 5" xfId="12136" xr:uid="{00000000-0005-0000-0000-000011500000}"/>
    <cellStyle name="Normal 3 3 16 9 5 2" xfId="29667" xr:uid="{00000000-0005-0000-0000-000012500000}"/>
    <cellStyle name="Normal 3 3 16 9 6" xfId="12137" xr:uid="{00000000-0005-0000-0000-000013500000}"/>
    <cellStyle name="Normal 3 3 16 9 6 2" xfId="29668" xr:uid="{00000000-0005-0000-0000-000014500000}"/>
    <cellStyle name="Normal 3 3 16 9 7" xfId="12138" xr:uid="{00000000-0005-0000-0000-000015500000}"/>
    <cellStyle name="Normal 3 3 16 9 7 2" xfId="29669" xr:uid="{00000000-0005-0000-0000-000016500000}"/>
    <cellStyle name="Normal 3 3 16 9 8" xfId="12139" xr:uid="{00000000-0005-0000-0000-000017500000}"/>
    <cellStyle name="Normal 3 3 16 9 8 2" xfId="29670" xr:uid="{00000000-0005-0000-0000-000018500000}"/>
    <cellStyle name="Normal 3 3 16 9 9" xfId="12140" xr:uid="{00000000-0005-0000-0000-000019500000}"/>
    <cellStyle name="Normal 3 3 16 9 9 2" xfId="29671" xr:uid="{00000000-0005-0000-0000-00001A500000}"/>
    <cellStyle name="Normal 3 3 17" xfId="12141" xr:uid="{00000000-0005-0000-0000-00001B500000}"/>
    <cellStyle name="Normal 3 3 17 10" xfId="12142" xr:uid="{00000000-0005-0000-0000-00001C500000}"/>
    <cellStyle name="Normal 3 3 17 10 10" xfId="12143" xr:uid="{00000000-0005-0000-0000-00001D500000}"/>
    <cellStyle name="Normal 3 3 17 10 10 2" xfId="29674" xr:uid="{00000000-0005-0000-0000-00001E500000}"/>
    <cellStyle name="Normal 3 3 17 10 11" xfId="12144" xr:uid="{00000000-0005-0000-0000-00001F500000}"/>
    <cellStyle name="Normal 3 3 17 10 11 2" xfId="29675" xr:uid="{00000000-0005-0000-0000-000020500000}"/>
    <cellStyle name="Normal 3 3 17 10 12" xfId="12145" xr:uid="{00000000-0005-0000-0000-000021500000}"/>
    <cellStyle name="Normal 3 3 17 10 12 2" xfId="29676" xr:uid="{00000000-0005-0000-0000-000022500000}"/>
    <cellStyle name="Normal 3 3 17 10 13" xfId="12146" xr:uid="{00000000-0005-0000-0000-000023500000}"/>
    <cellStyle name="Normal 3 3 17 10 13 2" xfId="29677" xr:uid="{00000000-0005-0000-0000-000024500000}"/>
    <cellStyle name="Normal 3 3 17 10 14" xfId="12147" xr:uid="{00000000-0005-0000-0000-000025500000}"/>
    <cellStyle name="Normal 3 3 17 10 14 2" xfId="29678" xr:uid="{00000000-0005-0000-0000-000026500000}"/>
    <cellStyle name="Normal 3 3 17 10 15" xfId="29673" xr:uid="{00000000-0005-0000-0000-000027500000}"/>
    <cellStyle name="Normal 3 3 17 10 2" xfId="12148" xr:uid="{00000000-0005-0000-0000-000028500000}"/>
    <cellStyle name="Normal 3 3 17 10 2 2" xfId="29679" xr:uid="{00000000-0005-0000-0000-000029500000}"/>
    <cellStyle name="Normal 3 3 17 10 3" xfId="12149" xr:uid="{00000000-0005-0000-0000-00002A500000}"/>
    <cellStyle name="Normal 3 3 17 10 3 2" xfId="29680" xr:uid="{00000000-0005-0000-0000-00002B500000}"/>
    <cellStyle name="Normal 3 3 17 10 4" xfId="12150" xr:uid="{00000000-0005-0000-0000-00002C500000}"/>
    <cellStyle name="Normal 3 3 17 10 4 2" xfId="29681" xr:uid="{00000000-0005-0000-0000-00002D500000}"/>
    <cellStyle name="Normal 3 3 17 10 5" xfId="12151" xr:uid="{00000000-0005-0000-0000-00002E500000}"/>
    <cellStyle name="Normal 3 3 17 10 5 2" xfId="29682" xr:uid="{00000000-0005-0000-0000-00002F500000}"/>
    <cellStyle name="Normal 3 3 17 10 6" xfId="12152" xr:uid="{00000000-0005-0000-0000-000030500000}"/>
    <cellStyle name="Normal 3 3 17 10 6 2" xfId="29683" xr:uid="{00000000-0005-0000-0000-000031500000}"/>
    <cellStyle name="Normal 3 3 17 10 7" xfId="12153" xr:uid="{00000000-0005-0000-0000-000032500000}"/>
    <cellStyle name="Normal 3 3 17 10 7 2" xfId="29684" xr:uid="{00000000-0005-0000-0000-000033500000}"/>
    <cellStyle name="Normal 3 3 17 10 8" xfId="12154" xr:uid="{00000000-0005-0000-0000-000034500000}"/>
    <cellStyle name="Normal 3 3 17 10 8 2" xfId="29685" xr:uid="{00000000-0005-0000-0000-000035500000}"/>
    <cellStyle name="Normal 3 3 17 10 9" xfId="12155" xr:uid="{00000000-0005-0000-0000-000036500000}"/>
    <cellStyle name="Normal 3 3 17 10 9 2" xfId="29686" xr:uid="{00000000-0005-0000-0000-000037500000}"/>
    <cellStyle name="Normal 3 3 17 11" xfId="12156" xr:uid="{00000000-0005-0000-0000-000038500000}"/>
    <cellStyle name="Normal 3 3 17 11 2" xfId="29687" xr:uid="{00000000-0005-0000-0000-000039500000}"/>
    <cellStyle name="Normal 3 3 17 12" xfId="12157" xr:uid="{00000000-0005-0000-0000-00003A500000}"/>
    <cellStyle name="Normal 3 3 17 12 2" xfId="29688" xr:uid="{00000000-0005-0000-0000-00003B500000}"/>
    <cellStyle name="Normal 3 3 17 13" xfId="12158" xr:uid="{00000000-0005-0000-0000-00003C500000}"/>
    <cellStyle name="Normal 3 3 17 13 2" xfId="29689" xr:uid="{00000000-0005-0000-0000-00003D500000}"/>
    <cellStyle name="Normal 3 3 17 14" xfId="12159" xr:uid="{00000000-0005-0000-0000-00003E500000}"/>
    <cellStyle name="Normal 3 3 17 14 2" xfId="29690" xr:uid="{00000000-0005-0000-0000-00003F500000}"/>
    <cellStyle name="Normal 3 3 17 15" xfId="12160" xr:uid="{00000000-0005-0000-0000-000040500000}"/>
    <cellStyle name="Normal 3 3 17 15 2" xfId="29691" xr:uid="{00000000-0005-0000-0000-000041500000}"/>
    <cellStyle name="Normal 3 3 17 16" xfId="12161" xr:uid="{00000000-0005-0000-0000-000042500000}"/>
    <cellStyle name="Normal 3 3 17 16 2" xfId="29692" xr:uid="{00000000-0005-0000-0000-000043500000}"/>
    <cellStyle name="Normal 3 3 17 17" xfId="12162" xr:uid="{00000000-0005-0000-0000-000044500000}"/>
    <cellStyle name="Normal 3 3 17 17 2" xfId="29693" xr:uid="{00000000-0005-0000-0000-000045500000}"/>
    <cellStyle name="Normal 3 3 17 18" xfId="12163" xr:uid="{00000000-0005-0000-0000-000046500000}"/>
    <cellStyle name="Normal 3 3 17 18 2" xfId="29694" xr:uid="{00000000-0005-0000-0000-000047500000}"/>
    <cellStyle name="Normal 3 3 17 19" xfId="12164" xr:uid="{00000000-0005-0000-0000-000048500000}"/>
    <cellStyle name="Normal 3 3 17 19 2" xfId="29695" xr:uid="{00000000-0005-0000-0000-000049500000}"/>
    <cellStyle name="Normal 3 3 17 2" xfId="12165" xr:uid="{00000000-0005-0000-0000-00004A500000}"/>
    <cellStyle name="Normal 3 3 17 2 10" xfId="12166" xr:uid="{00000000-0005-0000-0000-00004B500000}"/>
    <cellStyle name="Normal 3 3 17 2 10 2" xfId="29697" xr:uid="{00000000-0005-0000-0000-00004C500000}"/>
    <cellStyle name="Normal 3 3 17 2 11" xfId="12167" xr:uid="{00000000-0005-0000-0000-00004D500000}"/>
    <cellStyle name="Normal 3 3 17 2 11 2" xfId="29698" xr:uid="{00000000-0005-0000-0000-00004E500000}"/>
    <cellStyle name="Normal 3 3 17 2 12" xfId="12168" xr:uid="{00000000-0005-0000-0000-00004F500000}"/>
    <cellStyle name="Normal 3 3 17 2 12 2" xfId="29699" xr:uid="{00000000-0005-0000-0000-000050500000}"/>
    <cellStyle name="Normal 3 3 17 2 13" xfId="12169" xr:uid="{00000000-0005-0000-0000-000051500000}"/>
    <cellStyle name="Normal 3 3 17 2 13 2" xfId="29700" xr:uid="{00000000-0005-0000-0000-000052500000}"/>
    <cellStyle name="Normal 3 3 17 2 14" xfId="12170" xr:uid="{00000000-0005-0000-0000-000053500000}"/>
    <cellStyle name="Normal 3 3 17 2 14 2" xfId="29701" xr:uid="{00000000-0005-0000-0000-000054500000}"/>
    <cellStyle name="Normal 3 3 17 2 15" xfId="12171" xr:uid="{00000000-0005-0000-0000-000055500000}"/>
    <cellStyle name="Normal 3 3 17 2 15 2" xfId="29702" xr:uid="{00000000-0005-0000-0000-000056500000}"/>
    <cellStyle name="Normal 3 3 17 2 16" xfId="29696" xr:uid="{00000000-0005-0000-0000-000057500000}"/>
    <cellStyle name="Normal 3 3 17 2 2" xfId="12172" xr:uid="{00000000-0005-0000-0000-000058500000}"/>
    <cellStyle name="Normal 3 3 17 2 2 10" xfId="12173" xr:uid="{00000000-0005-0000-0000-000059500000}"/>
    <cellStyle name="Normal 3 3 17 2 2 10 2" xfId="29704" xr:uid="{00000000-0005-0000-0000-00005A500000}"/>
    <cellStyle name="Normal 3 3 17 2 2 11" xfId="12174" xr:uid="{00000000-0005-0000-0000-00005B500000}"/>
    <cellStyle name="Normal 3 3 17 2 2 11 2" xfId="29705" xr:uid="{00000000-0005-0000-0000-00005C500000}"/>
    <cellStyle name="Normal 3 3 17 2 2 12" xfId="12175" xr:uid="{00000000-0005-0000-0000-00005D500000}"/>
    <cellStyle name="Normal 3 3 17 2 2 12 2" xfId="29706" xr:uid="{00000000-0005-0000-0000-00005E500000}"/>
    <cellStyle name="Normal 3 3 17 2 2 13" xfId="12176" xr:uid="{00000000-0005-0000-0000-00005F500000}"/>
    <cellStyle name="Normal 3 3 17 2 2 13 2" xfId="29707" xr:uid="{00000000-0005-0000-0000-000060500000}"/>
    <cellStyle name="Normal 3 3 17 2 2 14" xfId="12177" xr:uid="{00000000-0005-0000-0000-000061500000}"/>
    <cellStyle name="Normal 3 3 17 2 2 14 2" xfId="29708" xr:uid="{00000000-0005-0000-0000-000062500000}"/>
    <cellStyle name="Normal 3 3 17 2 2 15" xfId="29703" xr:uid="{00000000-0005-0000-0000-000063500000}"/>
    <cellStyle name="Normal 3 3 17 2 2 2" xfId="12178" xr:uid="{00000000-0005-0000-0000-000064500000}"/>
    <cellStyle name="Normal 3 3 17 2 2 2 2" xfId="29709" xr:uid="{00000000-0005-0000-0000-000065500000}"/>
    <cellStyle name="Normal 3 3 17 2 2 3" xfId="12179" xr:uid="{00000000-0005-0000-0000-000066500000}"/>
    <cellStyle name="Normal 3 3 17 2 2 3 2" xfId="29710" xr:uid="{00000000-0005-0000-0000-000067500000}"/>
    <cellStyle name="Normal 3 3 17 2 2 4" xfId="12180" xr:uid="{00000000-0005-0000-0000-000068500000}"/>
    <cellStyle name="Normal 3 3 17 2 2 4 2" xfId="29711" xr:uid="{00000000-0005-0000-0000-000069500000}"/>
    <cellStyle name="Normal 3 3 17 2 2 5" xfId="12181" xr:uid="{00000000-0005-0000-0000-00006A500000}"/>
    <cellStyle name="Normal 3 3 17 2 2 5 2" xfId="29712" xr:uid="{00000000-0005-0000-0000-00006B500000}"/>
    <cellStyle name="Normal 3 3 17 2 2 6" xfId="12182" xr:uid="{00000000-0005-0000-0000-00006C500000}"/>
    <cellStyle name="Normal 3 3 17 2 2 6 2" xfId="29713" xr:uid="{00000000-0005-0000-0000-00006D500000}"/>
    <cellStyle name="Normal 3 3 17 2 2 7" xfId="12183" xr:uid="{00000000-0005-0000-0000-00006E500000}"/>
    <cellStyle name="Normal 3 3 17 2 2 7 2" xfId="29714" xr:uid="{00000000-0005-0000-0000-00006F500000}"/>
    <cellStyle name="Normal 3 3 17 2 2 8" xfId="12184" xr:uid="{00000000-0005-0000-0000-000070500000}"/>
    <cellStyle name="Normal 3 3 17 2 2 8 2" xfId="29715" xr:uid="{00000000-0005-0000-0000-000071500000}"/>
    <cellStyle name="Normal 3 3 17 2 2 9" xfId="12185" xr:uid="{00000000-0005-0000-0000-000072500000}"/>
    <cellStyle name="Normal 3 3 17 2 2 9 2" xfId="29716" xr:uid="{00000000-0005-0000-0000-000073500000}"/>
    <cellStyle name="Normal 3 3 17 2 3" xfId="12186" xr:uid="{00000000-0005-0000-0000-000074500000}"/>
    <cellStyle name="Normal 3 3 17 2 3 2" xfId="29717" xr:uid="{00000000-0005-0000-0000-000075500000}"/>
    <cellStyle name="Normal 3 3 17 2 4" xfId="12187" xr:uid="{00000000-0005-0000-0000-000076500000}"/>
    <cellStyle name="Normal 3 3 17 2 4 2" xfId="29718" xr:uid="{00000000-0005-0000-0000-000077500000}"/>
    <cellStyle name="Normal 3 3 17 2 5" xfId="12188" xr:uid="{00000000-0005-0000-0000-000078500000}"/>
    <cellStyle name="Normal 3 3 17 2 5 2" xfId="29719" xr:uid="{00000000-0005-0000-0000-000079500000}"/>
    <cellStyle name="Normal 3 3 17 2 6" xfId="12189" xr:uid="{00000000-0005-0000-0000-00007A500000}"/>
    <cellStyle name="Normal 3 3 17 2 6 2" xfId="29720" xr:uid="{00000000-0005-0000-0000-00007B500000}"/>
    <cellStyle name="Normal 3 3 17 2 7" xfId="12190" xr:uid="{00000000-0005-0000-0000-00007C500000}"/>
    <cellStyle name="Normal 3 3 17 2 7 2" xfId="29721" xr:uid="{00000000-0005-0000-0000-00007D500000}"/>
    <cellStyle name="Normal 3 3 17 2 8" xfId="12191" xr:uid="{00000000-0005-0000-0000-00007E500000}"/>
    <cellStyle name="Normal 3 3 17 2 8 2" xfId="29722" xr:uid="{00000000-0005-0000-0000-00007F500000}"/>
    <cellStyle name="Normal 3 3 17 2 9" xfId="12192" xr:uid="{00000000-0005-0000-0000-000080500000}"/>
    <cellStyle name="Normal 3 3 17 2 9 2" xfId="29723" xr:uid="{00000000-0005-0000-0000-000081500000}"/>
    <cellStyle name="Normal 3 3 17 20" xfId="12193" xr:uid="{00000000-0005-0000-0000-000082500000}"/>
    <cellStyle name="Normal 3 3 17 20 2" xfId="29724" xr:uid="{00000000-0005-0000-0000-000083500000}"/>
    <cellStyle name="Normal 3 3 17 21" xfId="12194" xr:uid="{00000000-0005-0000-0000-000084500000}"/>
    <cellStyle name="Normal 3 3 17 21 2" xfId="29725" xr:uid="{00000000-0005-0000-0000-000085500000}"/>
    <cellStyle name="Normal 3 3 17 22" xfId="12195" xr:uid="{00000000-0005-0000-0000-000086500000}"/>
    <cellStyle name="Normal 3 3 17 22 2" xfId="29726" xr:uid="{00000000-0005-0000-0000-000087500000}"/>
    <cellStyle name="Normal 3 3 17 23" xfId="12196" xr:uid="{00000000-0005-0000-0000-000088500000}"/>
    <cellStyle name="Normal 3 3 17 23 2" xfId="29727" xr:uid="{00000000-0005-0000-0000-000089500000}"/>
    <cellStyle name="Normal 3 3 17 24" xfId="29672" xr:uid="{00000000-0005-0000-0000-00008A500000}"/>
    <cellStyle name="Normal 3 3 17 3" xfId="12197" xr:uid="{00000000-0005-0000-0000-00008B500000}"/>
    <cellStyle name="Normal 3 3 17 3 10" xfId="12198" xr:uid="{00000000-0005-0000-0000-00008C500000}"/>
    <cellStyle name="Normal 3 3 17 3 10 2" xfId="29729" xr:uid="{00000000-0005-0000-0000-00008D500000}"/>
    <cellStyle name="Normal 3 3 17 3 11" xfId="12199" xr:uid="{00000000-0005-0000-0000-00008E500000}"/>
    <cellStyle name="Normal 3 3 17 3 11 2" xfId="29730" xr:uid="{00000000-0005-0000-0000-00008F500000}"/>
    <cellStyle name="Normal 3 3 17 3 12" xfId="12200" xr:uid="{00000000-0005-0000-0000-000090500000}"/>
    <cellStyle name="Normal 3 3 17 3 12 2" xfId="29731" xr:uid="{00000000-0005-0000-0000-000091500000}"/>
    <cellStyle name="Normal 3 3 17 3 13" xfId="12201" xr:uid="{00000000-0005-0000-0000-000092500000}"/>
    <cellStyle name="Normal 3 3 17 3 13 2" xfId="29732" xr:uid="{00000000-0005-0000-0000-000093500000}"/>
    <cellStyle name="Normal 3 3 17 3 14" xfId="12202" xr:uid="{00000000-0005-0000-0000-000094500000}"/>
    <cellStyle name="Normal 3 3 17 3 14 2" xfId="29733" xr:uid="{00000000-0005-0000-0000-000095500000}"/>
    <cellStyle name="Normal 3 3 17 3 15" xfId="12203" xr:uid="{00000000-0005-0000-0000-000096500000}"/>
    <cellStyle name="Normal 3 3 17 3 15 2" xfId="29734" xr:uid="{00000000-0005-0000-0000-000097500000}"/>
    <cellStyle name="Normal 3 3 17 3 16" xfId="29728" xr:uid="{00000000-0005-0000-0000-000098500000}"/>
    <cellStyle name="Normal 3 3 17 3 2" xfId="12204" xr:uid="{00000000-0005-0000-0000-000099500000}"/>
    <cellStyle name="Normal 3 3 17 3 2 10" xfId="12205" xr:uid="{00000000-0005-0000-0000-00009A500000}"/>
    <cellStyle name="Normal 3 3 17 3 2 10 2" xfId="29736" xr:uid="{00000000-0005-0000-0000-00009B500000}"/>
    <cellStyle name="Normal 3 3 17 3 2 11" xfId="12206" xr:uid="{00000000-0005-0000-0000-00009C500000}"/>
    <cellStyle name="Normal 3 3 17 3 2 11 2" xfId="29737" xr:uid="{00000000-0005-0000-0000-00009D500000}"/>
    <cellStyle name="Normal 3 3 17 3 2 12" xfId="12207" xr:uid="{00000000-0005-0000-0000-00009E500000}"/>
    <cellStyle name="Normal 3 3 17 3 2 12 2" xfId="29738" xr:uid="{00000000-0005-0000-0000-00009F500000}"/>
    <cellStyle name="Normal 3 3 17 3 2 13" xfId="12208" xr:uid="{00000000-0005-0000-0000-0000A0500000}"/>
    <cellStyle name="Normal 3 3 17 3 2 13 2" xfId="29739" xr:uid="{00000000-0005-0000-0000-0000A1500000}"/>
    <cellStyle name="Normal 3 3 17 3 2 14" xfId="12209" xr:uid="{00000000-0005-0000-0000-0000A2500000}"/>
    <cellStyle name="Normal 3 3 17 3 2 14 2" xfId="29740" xr:uid="{00000000-0005-0000-0000-0000A3500000}"/>
    <cellStyle name="Normal 3 3 17 3 2 15" xfId="29735" xr:uid="{00000000-0005-0000-0000-0000A4500000}"/>
    <cellStyle name="Normal 3 3 17 3 2 2" xfId="12210" xr:uid="{00000000-0005-0000-0000-0000A5500000}"/>
    <cellStyle name="Normal 3 3 17 3 2 2 2" xfId="29741" xr:uid="{00000000-0005-0000-0000-0000A6500000}"/>
    <cellStyle name="Normal 3 3 17 3 2 3" xfId="12211" xr:uid="{00000000-0005-0000-0000-0000A7500000}"/>
    <cellStyle name="Normal 3 3 17 3 2 3 2" xfId="29742" xr:uid="{00000000-0005-0000-0000-0000A8500000}"/>
    <cellStyle name="Normal 3 3 17 3 2 4" xfId="12212" xr:uid="{00000000-0005-0000-0000-0000A9500000}"/>
    <cellStyle name="Normal 3 3 17 3 2 4 2" xfId="29743" xr:uid="{00000000-0005-0000-0000-0000AA500000}"/>
    <cellStyle name="Normal 3 3 17 3 2 5" xfId="12213" xr:uid="{00000000-0005-0000-0000-0000AB500000}"/>
    <cellStyle name="Normal 3 3 17 3 2 5 2" xfId="29744" xr:uid="{00000000-0005-0000-0000-0000AC500000}"/>
    <cellStyle name="Normal 3 3 17 3 2 6" xfId="12214" xr:uid="{00000000-0005-0000-0000-0000AD500000}"/>
    <cellStyle name="Normal 3 3 17 3 2 6 2" xfId="29745" xr:uid="{00000000-0005-0000-0000-0000AE500000}"/>
    <cellStyle name="Normal 3 3 17 3 2 7" xfId="12215" xr:uid="{00000000-0005-0000-0000-0000AF500000}"/>
    <cellStyle name="Normal 3 3 17 3 2 7 2" xfId="29746" xr:uid="{00000000-0005-0000-0000-0000B0500000}"/>
    <cellStyle name="Normal 3 3 17 3 2 8" xfId="12216" xr:uid="{00000000-0005-0000-0000-0000B1500000}"/>
    <cellStyle name="Normal 3 3 17 3 2 8 2" xfId="29747" xr:uid="{00000000-0005-0000-0000-0000B2500000}"/>
    <cellStyle name="Normal 3 3 17 3 2 9" xfId="12217" xr:uid="{00000000-0005-0000-0000-0000B3500000}"/>
    <cellStyle name="Normal 3 3 17 3 2 9 2" xfId="29748" xr:uid="{00000000-0005-0000-0000-0000B4500000}"/>
    <cellStyle name="Normal 3 3 17 3 3" xfId="12218" xr:uid="{00000000-0005-0000-0000-0000B5500000}"/>
    <cellStyle name="Normal 3 3 17 3 3 2" xfId="29749" xr:uid="{00000000-0005-0000-0000-0000B6500000}"/>
    <cellStyle name="Normal 3 3 17 3 4" xfId="12219" xr:uid="{00000000-0005-0000-0000-0000B7500000}"/>
    <cellStyle name="Normal 3 3 17 3 4 2" xfId="29750" xr:uid="{00000000-0005-0000-0000-0000B8500000}"/>
    <cellStyle name="Normal 3 3 17 3 5" xfId="12220" xr:uid="{00000000-0005-0000-0000-0000B9500000}"/>
    <cellStyle name="Normal 3 3 17 3 5 2" xfId="29751" xr:uid="{00000000-0005-0000-0000-0000BA500000}"/>
    <cellStyle name="Normal 3 3 17 3 6" xfId="12221" xr:uid="{00000000-0005-0000-0000-0000BB500000}"/>
    <cellStyle name="Normal 3 3 17 3 6 2" xfId="29752" xr:uid="{00000000-0005-0000-0000-0000BC500000}"/>
    <cellStyle name="Normal 3 3 17 3 7" xfId="12222" xr:uid="{00000000-0005-0000-0000-0000BD500000}"/>
    <cellStyle name="Normal 3 3 17 3 7 2" xfId="29753" xr:uid="{00000000-0005-0000-0000-0000BE500000}"/>
    <cellStyle name="Normal 3 3 17 3 8" xfId="12223" xr:uid="{00000000-0005-0000-0000-0000BF500000}"/>
    <cellStyle name="Normal 3 3 17 3 8 2" xfId="29754" xr:uid="{00000000-0005-0000-0000-0000C0500000}"/>
    <cellStyle name="Normal 3 3 17 3 9" xfId="12224" xr:uid="{00000000-0005-0000-0000-0000C1500000}"/>
    <cellStyle name="Normal 3 3 17 3 9 2" xfId="29755" xr:uid="{00000000-0005-0000-0000-0000C2500000}"/>
    <cellStyle name="Normal 3 3 17 4" xfId="12225" xr:uid="{00000000-0005-0000-0000-0000C3500000}"/>
    <cellStyle name="Normal 3 3 17 4 10" xfId="12226" xr:uid="{00000000-0005-0000-0000-0000C4500000}"/>
    <cellStyle name="Normal 3 3 17 4 10 2" xfId="29757" xr:uid="{00000000-0005-0000-0000-0000C5500000}"/>
    <cellStyle name="Normal 3 3 17 4 11" xfId="12227" xr:uid="{00000000-0005-0000-0000-0000C6500000}"/>
    <cellStyle name="Normal 3 3 17 4 11 2" xfId="29758" xr:uid="{00000000-0005-0000-0000-0000C7500000}"/>
    <cellStyle name="Normal 3 3 17 4 12" xfId="12228" xr:uid="{00000000-0005-0000-0000-0000C8500000}"/>
    <cellStyle name="Normal 3 3 17 4 12 2" xfId="29759" xr:uid="{00000000-0005-0000-0000-0000C9500000}"/>
    <cellStyle name="Normal 3 3 17 4 13" xfId="12229" xr:uid="{00000000-0005-0000-0000-0000CA500000}"/>
    <cellStyle name="Normal 3 3 17 4 13 2" xfId="29760" xr:uid="{00000000-0005-0000-0000-0000CB500000}"/>
    <cellStyle name="Normal 3 3 17 4 14" xfId="12230" xr:uid="{00000000-0005-0000-0000-0000CC500000}"/>
    <cellStyle name="Normal 3 3 17 4 14 2" xfId="29761" xr:uid="{00000000-0005-0000-0000-0000CD500000}"/>
    <cellStyle name="Normal 3 3 17 4 15" xfId="12231" xr:uid="{00000000-0005-0000-0000-0000CE500000}"/>
    <cellStyle name="Normal 3 3 17 4 15 2" xfId="29762" xr:uid="{00000000-0005-0000-0000-0000CF500000}"/>
    <cellStyle name="Normal 3 3 17 4 16" xfId="29756" xr:uid="{00000000-0005-0000-0000-0000D0500000}"/>
    <cellStyle name="Normal 3 3 17 4 2" xfId="12232" xr:uid="{00000000-0005-0000-0000-0000D1500000}"/>
    <cellStyle name="Normal 3 3 17 4 2 10" xfId="12233" xr:uid="{00000000-0005-0000-0000-0000D2500000}"/>
    <cellStyle name="Normal 3 3 17 4 2 10 2" xfId="29764" xr:uid="{00000000-0005-0000-0000-0000D3500000}"/>
    <cellStyle name="Normal 3 3 17 4 2 11" xfId="12234" xr:uid="{00000000-0005-0000-0000-0000D4500000}"/>
    <cellStyle name="Normal 3 3 17 4 2 11 2" xfId="29765" xr:uid="{00000000-0005-0000-0000-0000D5500000}"/>
    <cellStyle name="Normal 3 3 17 4 2 12" xfId="12235" xr:uid="{00000000-0005-0000-0000-0000D6500000}"/>
    <cellStyle name="Normal 3 3 17 4 2 12 2" xfId="29766" xr:uid="{00000000-0005-0000-0000-0000D7500000}"/>
    <cellStyle name="Normal 3 3 17 4 2 13" xfId="12236" xr:uid="{00000000-0005-0000-0000-0000D8500000}"/>
    <cellStyle name="Normal 3 3 17 4 2 13 2" xfId="29767" xr:uid="{00000000-0005-0000-0000-0000D9500000}"/>
    <cellStyle name="Normal 3 3 17 4 2 14" xfId="12237" xr:uid="{00000000-0005-0000-0000-0000DA500000}"/>
    <cellStyle name="Normal 3 3 17 4 2 14 2" xfId="29768" xr:uid="{00000000-0005-0000-0000-0000DB500000}"/>
    <cellStyle name="Normal 3 3 17 4 2 15" xfId="29763" xr:uid="{00000000-0005-0000-0000-0000DC500000}"/>
    <cellStyle name="Normal 3 3 17 4 2 2" xfId="12238" xr:uid="{00000000-0005-0000-0000-0000DD500000}"/>
    <cellStyle name="Normal 3 3 17 4 2 2 2" xfId="29769" xr:uid="{00000000-0005-0000-0000-0000DE500000}"/>
    <cellStyle name="Normal 3 3 17 4 2 3" xfId="12239" xr:uid="{00000000-0005-0000-0000-0000DF500000}"/>
    <cellStyle name="Normal 3 3 17 4 2 3 2" xfId="29770" xr:uid="{00000000-0005-0000-0000-0000E0500000}"/>
    <cellStyle name="Normal 3 3 17 4 2 4" xfId="12240" xr:uid="{00000000-0005-0000-0000-0000E1500000}"/>
    <cellStyle name="Normal 3 3 17 4 2 4 2" xfId="29771" xr:uid="{00000000-0005-0000-0000-0000E2500000}"/>
    <cellStyle name="Normal 3 3 17 4 2 5" xfId="12241" xr:uid="{00000000-0005-0000-0000-0000E3500000}"/>
    <cellStyle name="Normal 3 3 17 4 2 5 2" xfId="29772" xr:uid="{00000000-0005-0000-0000-0000E4500000}"/>
    <cellStyle name="Normal 3 3 17 4 2 6" xfId="12242" xr:uid="{00000000-0005-0000-0000-0000E5500000}"/>
    <cellStyle name="Normal 3 3 17 4 2 6 2" xfId="29773" xr:uid="{00000000-0005-0000-0000-0000E6500000}"/>
    <cellStyle name="Normal 3 3 17 4 2 7" xfId="12243" xr:uid="{00000000-0005-0000-0000-0000E7500000}"/>
    <cellStyle name="Normal 3 3 17 4 2 7 2" xfId="29774" xr:uid="{00000000-0005-0000-0000-0000E8500000}"/>
    <cellStyle name="Normal 3 3 17 4 2 8" xfId="12244" xr:uid="{00000000-0005-0000-0000-0000E9500000}"/>
    <cellStyle name="Normal 3 3 17 4 2 8 2" xfId="29775" xr:uid="{00000000-0005-0000-0000-0000EA500000}"/>
    <cellStyle name="Normal 3 3 17 4 2 9" xfId="12245" xr:uid="{00000000-0005-0000-0000-0000EB500000}"/>
    <cellStyle name="Normal 3 3 17 4 2 9 2" xfId="29776" xr:uid="{00000000-0005-0000-0000-0000EC500000}"/>
    <cellStyle name="Normal 3 3 17 4 3" xfId="12246" xr:uid="{00000000-0005-0000-0000-0000ED500000}"/>
    <cellStyle name="Normal 3 3 17 4 3 2" xfId="29777" xr:uid="{00000000-0005-0000-0000-0000EE500000}"/>
    <cellStyle name="Normal 3 3 17 4 4" xfId="12247" xr:uid="{00000000-0005-0000-0000-0000EF500000}"/>
    <cellStyle name="Normal 3 3 17 4 4 2" xfId="29778" xr:uid="{00000000-0005-0000-0000-0000F0500000}"/>
    <cellStyle name="Normal 3 3 17 4 5" xfId="12248" xr:uid="{00000000-0005-0000-0000-0000F1500000}"/>
    <cellStyle name="Normal 3 3 17 4 5 2" xfId="29779" xr:uid="{00000000-0005-0000-0000-0000F2500000}"/>
    <cellStyle name="Normal 3 3 17 4 6" xfId="12249" xr:uid="{00000000-0005-0000-0000-0000F3500000}"/>
    <cellStyle name="Normal 3 3 17 4 6 2" xfId="29780" xr:uid="{00000000-0005-0000-0000-0000F4500000}"/>
    <cellStyle name="Normal 3 3 17 4 7" xfId="12250" xr:uid="{00000000-0005-0000-0000-0000F5500000}"/>
    <cellStyle name="Normal 3 3 17 4 7 2" xfId="29781" xr:uid="{00000000-0005-0000-0000-0000F6500000}"/>
    <cellStyle name="Normal 3 3 17 4 8" xfId="12251" xr:uid="{00000000-0005-0000-0000-0000F7500000}"/>
    <cellStyle name="Normal 3 3 17 4 8 2" xfId="29782" xr:uid="{00000000-0005-0000-0000-0000F8500000}"/>
    <cellStyle name="Normal 3 3 17 4 9" xfId="12252" xr:uid="{00000000-0005-0000-0000-0000F9500000}"/>
    <cellStyle name="Normal 3 3 17 4 9 2" xfId="29783" xr:uid="{00000000-0005-0000-0000-0000FA500000}"/>
    <cellStyle name="Normal 3 3 17 5" xfId="12253" xr:uid="{00000000-0005-0000-0000-0000FB500000}"/>
    <cellStyle name="Normal 3 3 17 5 10" xfId="12254" xr:uid="{00000000-0005-0000-0000-0000FC500000}"/>
    <cellStyle name="Normal 3 3 17 5 10 2" xfId="29785" xr:uid="{00000000-0005-0000-0000-0000FD500000}"/>
    <cellStyle name="Normal 3 3 17 5 11" xfId="12255" xr:uid="{00000000-0005-0000-0000-0000FE500000}"/>
    <cellStyle name="Normal 3 3 17 5 11 2" xfId="29786" xr:uid="{00000000-0005-0000-0000-0000FF500000}"/>
    <cellStyle name="Normal 3 3 17 5 12" xfId="12256" xr:uid="{00000000-0005-0000-0000-000000510000}"/>
    <cellStyle name="Normal 3 3 17 5 12 2" xfId="29787" xr:uid="{00000000-0005-0000-0000-000001510000}"/>
    <cellStyle name="Normal 3 3 17 5 13" xfId="12257" xr:uid="{00000000-0005-0000-0000-000002510000}"/>
    <cellStyle name="Normal 3 3 17 5 13 2" xfId="29788" xr:uid="{00000000-0005-0000-0000-000003510000}"/>
    <cellStyle name="Normal 3 3 17 5 14" xfId="12258" xr:uid="{00000000-0005-0000-0000-000004510000}"/>
    <cellStyle name="Normal 3 3 17 5 14 2" xfId="29789" xr:uid="{00000000-0005-0000-0000-000005510000}"/>
    <cellStyle name="Normal 3 3 17 5 15" xfId="29784" xr:uid="{00000000-0005-0000-0000-000006510000}"/>
    <cellStyle name="Normal 3 3 17 5 2" xfId="12259" xr:uid="{00000000-0005-0000-0000-000007510000}"/>
    <cellStyle name="Normal 3 3 17 5 2 2" xfId="29790" xr:uid="{00000000-0005-0000-0000-000008510000}"/>
    <cellStyle name="Normal 3 3 17 5 3" xfId="12260" xr:uid="{00000000-0005-0000-0000-000009510000}"/>
    <cellStyle name="Normal 3 3 17 5 3 2" xfId="29791" xr:uid="{00000000-0005-0000-0000-00000A510000}"/>
    <cellStyle name="Normal 3 3 17 5 4" xfId="12261" xr:uid="{00000000-0005-0000-0000-00000B510000}"/>
    <cellStyle name="Normal 3 3 17 5 4 2" xfId="29792" xr:uid="{00000000-0005-0000-0000-00000C510000}"/>
    <cellStyle name="Normal 3 3 17 5 5" xfId="12262" xr:uid="{00000000-0005-0000-0000-00000D510000}"/>
    <cellStyle name="Normal 3 3 17 5 5 2" xfId="29793" xr:uid="{00000000-0005-0000-0000-00000E510000}"/>
    <cellStyle name="Normal 3 3 17 5 6" xfId="12263" xr:uid="{00000000-0005-0000-0000-00000F510000}"/>
    <cellStyle name="Normal 3 3 17 5 6 2" xfId="29794" xr:uid="{00000000-0005-0000-0000-000010510000}"/>
    <cellStyle name="Normal 3 3 17 5 7" xfId="12264" xr:uid="{00000000-0005-0000-0000-000011510000}"/>
    <cellStyle name="Normal 3 3 17 5 7 2" xfId="29795" xr:uid="{00000000-0005-0000-0000-000012510000}"/>
    <cellStyle name="Normal 3 3 17 5 8" xfId="12265" xr:uid="{00000000-0005-0000-0000-000013510000}"/>
    <cellStyle name="Normal 3 3 17 5 8 2" xfId="29796" xr:uid="{00000000-0005-0000-0000-000014510000}"/>
    <cellStyle name="Normal 3 3 17 5 9" xfId="12266" xr:uid="{00000000-0005-0000-0000-000015510000}"/>
    <cellStyle name="Normal 3 3 17 5 9 2" xfId="29797" xr:uid="{00000000-0005-0000-0000-000016510000}"/>
    <cellStyle name="Normal 3 3 17 6" xfId="12267" xr:uid="{00000000-0005-0000-0000-000017510000}"/>
    <cellStyle name="Normal 3 3 17 6 10" xfId="12268" xr:uid="{00000000-0005-0000-0000-000018510000}"/>
    <cellStyle name="Normal 3 3 17 6 10 2" xfId="29799" xr:uid="{00000000-0005-0000-0000-000019510000}"/>
    <cellStyle name="Normal 3 3 17 6 11" xfId="12269" xr:uid="{00000000-0005-0000-0000-00001A510000}"/>
    <cellStyle name="Normal 3 3 17 6 11 2" xfId="29800" xr:uid="{00000000-0005-0000-0000-00001B510000}"/>
    <cellStyle name="Normal 3 3 17 6 12" xfId="12270" xr:uid="{00000000-0005-0000-0000-00001C510000}"/>
    <cellStyle name="Normal 3 3 17 6 12 2" xfId="29801" xr:uid="{00000000-0005-0000-0000-00001D510000}"/>
    <cellStyle name="Normal 3 3 17 6 13" xfId="12271" xr:uid="{00000000-0005-0000-0000-00001E510000}"/>
    <cellStyle name="Normal 3 3 17 6 13 2" xfId="29802" xr:uid="{00000000-0005-0000-0000-00001F510000}"/>
    <cellStyle name="Normal 3 3 17 6 14" xfId="12272" xr:uid="{00000000-0005-0000-0000-000020510000}"/>
    <cellStyle name="Normal 3 3 17 6 14 2" xfId="29803" xr:uid="{00000000-0005-0000-0000-000021510000}"/>
    <cellStyle name="Normal 3 3 17 6 15" xfId="29798" xr:uid="{00000000-0005-0000-0000-000022510000}"/>
    <cellStyle name="Normal 3 3 17 6 2" xfId="12273" xr:uid="{00000000-0005-0000-0000-000023510000}"/>
    <cellStyle name="Normal 3 3 17 6 2 2" xfId="29804" xr:uid="{00000000-0005-0000-0000-000024510000}"/>
    <cellStyle name="Normal 3 3 17 6 3" xfId="12274" xr:uid="{00000000-0005-0000-0000-000025510000}"/>
    <cellStyle name="Normal 3 3 17 6 3 2" xfId="29805" xr:uid="{00000000-0005-0000-0000-000026510000}"/>
    <cellStyle name="Normal 3 3 17 6 4" xfId="12275" xr:uid="{00000000-0005-0000-0000-000027510000}"/>
    <cellStyle name="Normal 3 3 17 6 4 2" xfId="29806" xr:uid="{00000000-0005-0000-0000-000028510000}"/>
    <cellStyle name="Normal 3 3 17 6 5" xfId="12276" xr:uid="{00000000-0005-0000-0000-000029510000}"/>
    <cellStyle name="Normal 3 3 17 6 5 2" xfId="29807" xr:uid="{00000000-0005-0000-0000-00002A510000}"/>
    <cellStyle name="Normal 3 3 17 6 6" xfId="12277" xr:uid="{00000000-0005-0000-0000-00002B510000}"/>
    <cellStyle name="Normal 3 3 17 6 6 2" xfId="29808" xr:uid="{00000000-0005-0000-0000-00002C510000}"/>
    <cellStyle name="Normal 3 3 17 6 7" xfId="12278" xr:uid="{00000000-0005-0000-0000-00002D510000}"/>
    <cellStyle name="Normal 3 3 17 6 7 2" xfId="29809" xr:uid="{00000000-0005-0000-0000-00002E510000}"/>
    <cellStyle name="Normal 3 3 17 6 8" xfId="12279" xr:uid="{00000000-0005-0000-0000-00002F510000}"/>
    <cellStyle name="Normal 3 3 17 6 8 2" xfId="29810" xr:uid="{00000000-0005-0000-0000-000030510000}"/>
    <cellStyle name="Normal 3 3 17 6 9" xfId="12280" xr:uid="{00000000-0005-0000-0000-000031510000}"/>
    <cellStyle name="Normal 3 3 17 6 9 2" xfId="29811" xr:uid="{00000000-0005-0000-0000-000032510000}"/>
    <cellStyle name="Normal 3 3 17 7" xfId="12281" xr:uid="{00000000-0005-0000-0000-000033510000}"/>
    <cellStyle name="Normal 3 3 17 7 10" xfId="12282" xr:uid="{00000000-0005-0000-0000-000034510000}"/>
    <cellStyle name="Normal 3 3 17 7 10 2" xfId="29813" xr:uid="{00000000-0005-0000-0000-000035510000}"/>
    <cellStyle name="Normal 3 3 17 7 11" xfId="12283" xr:uid="{00000000-0005-0000-0000-000036510000}"/>
    <cellStyle name="Normal 3 3 17 7 11 2" xfId="29814" xr:uid="{00000000-0005-0000-0000-000037510000}"/>
    <cellStyle name="Normal 3 3 17 7 12" xfId="12284" xr:uid="{00000000-0005-0000-0000-000038510000}"/>
    <cellStyle name="Normal 3 3 17 7 12 2" xfId="29815" xr:uid="{00000000-0005-0000-0000-000039510000}"/>
    <cellStyle name="Normal 3 3 17 7 13" xfId="12285" xr:uid="{00000000-0005-0000-0000-00003A510000}"/>
    <cellStyle name="Normal 3 3 17 7 13 2" xfId="29816" xr:uid="{00000000-0005-0000-0000-00003B510000}"/>
    <cellStyle name="Normal 3 3 17 7 14" xfId="12286" xr:uid="{00000000-0005-0000-0000-00003C510000}"/>
    <cellStyle name="Normal 3 3 17 7 14 2" xfId="29817" xr:uid="{00000000-0005-0000-0000-00003D510000}"/>
    <cellStyle name="Normal 3 3 17 7 15" xfId="29812" xr:uid="{00000000-0005-0000-0000-00003E510000}"/>
    <cellStyle name="Normal 3 3 17 7 2" xfId="12287" xr:uid="{00000000-0005-0000-0000-00003F510000}"/>
    <cellStyle name="Normal 3 3 17 7 2 2" xfId="29818" xr:uid="{00000000-0005-0000-0000-000040510000}"/>
    <cellStyle name="Normal 3 3 17 7 3" xfId="12288" xr:uid="{00000000-0005-0000-0000-000041510000}"/>
    <cellStyle name="Normal 3 3 17 7 3 2" xfId="29819" xr:uid="{00000000-0005-0000-0000-000042510000}"/>
    <cellStyle name="Normal 3 3 17 7 4" xfId="12289" xr:uid="{00000000-0005-0000-0000-000043510000}"/>
    <cellStyle name="Normal 3 3 17 7 4 2" xfId="29820" xr:uid="{00000000-0005-0000-0000-000044510000}"/>
    <cellStyle name="Normal 3 3 17 7 5" xfId="12290" xr:uid="{00000000-0005-0000-0000-000045510000}"/>
    <cellStyle name="Normal 3 3 17 7 5 2" xfId="29821" xr:uid="{00000000-0005-0000-0000-000046510000}"/>
    <cellStyle name="Normal 3 3 17 7 6" xfId="12291" xr:uid="{00000000-0005-0000-0000-000047510000}"/>
    <cellStyle name="Normal 3 3 17 7 6 2" xfId="29822" xr:uid="{00000000-0005-0000-0000-000048510000}"/>
    <cellStyle name="Normal 3 3 17 7 7" xfId="12292" xr:uid="{00000000-0005-0000-0000-000049510000}"/>
    <cellStyle name="Normal 3 3 17 7 7 2" xfId="29823" xr:uid="{00000000-0005-0000-0000-00004A510000}"/>
    <cellStyle name="Normal 3 3 17 7 8" xfId="12293" xr:uid="{00000000-0005-0000-0000-00004B510000}"/>
    <cellStyle name="Normal 3 3 17 7 8 2" xfId="29824" xr:uid="{00000000-0005-0000-0000-00004C510000}"/>
    <cellStyle name="Normal 3 3 17 7 9" xfId="12294" xr:uid="{00000000-0005-0000-0000-00004D510000}"/>
    <cellStyle name="Normal 3 3 17 7 9 2" xfId="29825" xr:uid="{00000000-0005-0000-0000-00004E510000}"/>
    <cellStyle name="Normal 3 3 17 8" xfId="12295" xr:uid="{00000000-0005-0000-0000-00004F510000}"/>
    <cellStyle name="Normal 3 3 17 8 10" xfId="12296" xr:uid="{00000000-0005-0000-0000-000050510000}"/>
    <cellStyle name="Normal 3 3 17 8 10 2" xfId="29827" xr:uid="{00000000-0005-0000-0000-000051510000}"/>
    <cellStyle name="Normal 3 3 17 8 11" xfId="12297" xr:uid="{00000000-0005-0000-0000-000052510000}"/>
    <cellStyle name="Normal 3 3 17 8 11 2" xfId="29828" xr:uid="{00000000-0005-0000-0000-000053510000}"/>
    <cellStyle name="Normal 3 3 17 8 12" xfId="12298" xr:uid="{00000000-0005-0000-0000-000054510000}"/>
    <cellStyle name="Normal 3 3 17 8 12 2" xfId="29829" xr:uid="{00000000-0005-0000-0000-000055510000}"/>
    <cellStyle name="Normal 3 3 17 8 13" xfId="12299" xr:uid="{00000000-0005-0000-0000-000056510000}"/>
    <cellStyle name="Normal 3 3 17 8 13 2" xfId="29830" xr:uid="{00000000-0005-0000-0000-000057510000}"/>
    <cellStyle name="Normal 3 3 17 8 14" xfId="12300" xr:uid="{00000000-0005-0000-0000-000058510000}"/>
    <cellStyle name="Normal 3 3 17 8 14 2" xfId="29831" xr:uid="{00000000-0005-0000-0000-000059510000}"/>
    <cellStyle name="Normal 3 3 17 8 15" xfId="29826" xr:uid="{00000000-0005-0000-0000-00005A510000}"/>
    <cellStyle name="Normal 3 3 17 8 2" xfId="12301" xr:uid="{00000000-0005-0000-0000-00005B510000}"/>
    <cellStyle name="Normal 3 3 17 8 2 2" xfId="29832" xr:uid="{00000000-0005-0000-0000-00005C510000}"/>
    <cellStyle name="Normal 3 3 17 8 3" xfId="12302" xr:uid="{00000000-0005-0000-0000-00005D510000}"/>
    <cellStyle name="Normal 3 3 17 8 3 2" xfId="29833" xr:uid="{00000000-0005-0000-0000-00005E510000}"/>
    <cellStyle name="Normal 3 3 17 8 4" xfId="12303" xr:uid="{00000000-0005-0000-0000-00005F510000}"/>
    <cellStyle name="Normal 3 3 17 8 4 2" xfId="29834" xr:uid="{00000000-0005-0000-0000-000060510000}"/>
    <cellStyle name="Normal 3 3 17 8 5" xfId="12304" xr:uid="{00000000-0005-0000-0000-000061510000}"/>
    <cellStyle name="Normal 3 3 17 8 5 2" xfId="29835" xr:uid="{00000000-0005-0000-0000-000062510000}"/>
    <cellStyle name="Normal 3 3 17 8 6" xfId="12305" xr:uid="{00000000-0005-0000-0000-000063510000}"/>
    <cellStyle name="Normal 3 3 17 8 6 2" xfId="29836" xr:uid="{00000000-0005-0000-0000-000064510000}"/>
    <cellStyle name="Normal 3 3 17 8 7" xfId="12306" xr:uid="{00000000-0005-0000-0000-000065510000}"/>
    <cellStyle name="Normal 3 3 17 8 7 2" xfId="29837" xr:uid="{00000000-0005-0000-0000-000066510000}"/>
    <cellStyle name="Normal 3 3 17 8 8" xfId="12307" xr:uid="{00000000-0005-0000-0000-000067510000}"/>
    <cellStyle name="Normal 3 3 17 8 8 2" xfId="29838" xr:uid="{00000000-0005-0000-0000-000068510000}"/>
    <cellStyle name="Normal 3 3 17 8 9" xfId="12308" xr:uid="{00000000-0005-0000-0000-000069510000}"/>
    <cellStyle name="Normal 3 3 17 8 9 2" xfId="29839" xr:uid="{00000000-0005-0000-0000-00006A510000}"/>
    <cellStyle name="Normal 3 3 17 9" xfId="12309" xr:uid="{00000000-0005-0000-0000-00006B510000}"/>
    <cellStyle name="Normal 3 3 17 9 10" xfId="12310" xr:uid="{00000000-0005-0000-0000-00006C510000}"/>
    <cellStyle name="Normal 3 3 17 9 10 2" xfId="29841" xr:uid="{00000000-0005-0000-0000-00006D510000}"/>
    <cellStyle name="Normal 3 3 17 9 11" xfId="12311" xr:uid="{00000000-0005-0000-0000-00006E510000}"/>
    <cellStyle name="Normal 3 3 17 9 11 2" xfId="29842" xr:uid="{00000000-0005-0000-0000-00006F510000}"/>
    <cellStyle name="Normal 3 3 17 9 12" xfId="12312" xr:uid="{00000000-0005-0000-0000-000070510000}"/>
    <cellStyle name="Normal 3 3 17 9 12 2" xfId="29843" xr:uid="{00000000-0005-0000-0000-000071510000}"/>
    <cellStyle name="Normal 3 3 17 9 13" xfId="12313" xr:uid="{00000000-0005-0000-0000-000072510000}"/>
    <cellStyle name="Normal 3 3 17 9 13 2" xfId="29844" xr:uid="{00000000-0005-0000-0000-000073510000}"/>
    <cellStyle name="Normal 3 3 17 9 14" xfId="12314" xr:uid="{00000000-0005-0000-0000-000074510000}"/>
    <cellStyle name="Normal 3 3 17 9 14 2" xfId="29845" xr:uid="{00000000-0005-0000-0000-000075510000}"/>
    <cellStyle name="Normal 3 3 17 9 15" xfId="29840" xr:uid="{00000000-0005-0000-0000-000076510000}"/>
    <cellStyle name="Normal 3 3 17 9 2" xfId="12315" xr:uid="{00000000-0005-0000-0000-000077510000}"/>
    <cellStyle name="Normal 3 3 17 9 2 2" xfId="29846" xr:uid="{00000000-0005-0000-0000-000078510000}"/>
    <cellStyle name="Normal 3 3 17 9 3" xfId="12316" xr:uid="{00000000-0005-0000-0000-000079510000}"/>
    <cellStyle name="Normal 3 3 17 9 3 2" xfId="29847" xr:uid="{00000000-0005-0000-0000-00007A510000}"/>
    <cellStyle name="Normal 3 3 17 9 4" xfId="12317" xr:uid="{00000000-0005-0000-0000-00007B510000}"/>
    <cellStyle name="Normal 3 3 17 9 4 2" xfId="29848" xr:uid="{00000000-0005-0000-0000-00007C510000}"/>
    <cellStyle name="Normal 3 3 17 9 5" xfId="12318" xr:uid="{00000000-0005-0000-0000-00007D510000}"/>
    <cellStyle name="Normal 3 3 17 9 5 2" xfId="29849" xr:uid="{00000000-0005-0000-0000-00007E510000}"/>
    <cellStyle name="Normal 3 3 17 9 6" xfId="12319" xr:uid="{00000000-0005-0000-0000-00007F510000}"/>
    <cellStyle name="Normal 3 3 17 9 6 2" xfId="29850" xr:uid="{00000000-0005-0000-0000-000080510000}"/>
    <cellStyle name="Normal 3 3 17 9 7" xfId="12320" xr:uid="{00000000-0005-0000-0000-000081510000}"/>
    <cellStyle name="Normal 3 3 17 9 7 2" xfId="29851" xr:uid="{00000000-0005-0000-0000-000082510000}"/>
    <cellStyle name="Normal 3 3 17 9 8" xfId="12321" xr:uid="{00000000-0005-0000-0000-000083510000}"/>
    <cellStyle name="Normal 3 3 17 9 8 2" xfId="29852" xr:uid="{00000000-0005-0000-0000-000084510000}"/>
    <cellStyle name="Normal 3 3 17 9 9" xfId="12322" xr:uid="{00000000-0005-0000-0000-000085510000}"/>
    <cellStyle name="Normal 3 3 17 9 9 2" xfId="29853" xr:uid="{00000000-0005-0000-0000-000086510000}"/>
    <cellStyle name="Normal 3 3 18" xfId="12323" xr:uid="{00000000-0005-0000-0000-000087510000}"/>
    <cellStyle name="Normal 3 3 18 10" xfId="12324" xr:uid="{00000000-0005-0000-0000-000088510000}"/>
    <cellStyle name="Normal 3 3 18 10 10" xfId="12325" xr:uid="{00000000-0005-0000-0000-000089510000}"/>
    <cellStyle name="Normal 3 3 18 10 10 2" xfId="29856" xr:uid="{00000000-0005-0000-0000-00008A510000}"/>
    <cellStyle name="Normal 3 3 18 10 11" xfId="12326" xr:uid="{00000000-0005-0000-0000-00008B510000}"/>
    <cellStyle name="Normal 3 3 18 10 11 2" xfId="29857" xr:uid="{00000000-0005-0000-0000-00008C510000}"/>
    <cellStyle name="Normal 3 3 18 10 12" xfId="12327" xr:uid="{00000000-0005-0000-0000-00008D510000}"/>
    <cellStyle name="Normal 3 3 18 10 12 2" xfId="29858" xr:uid="{00000000-0005-0000-0000-00008E510000}"/>
    <cellStyle name="Normal 3 3 18 10 13" xfId="12328" xr:uid="{00000000-0005-0000-0000-00008F510000}"/>
    <cellStyle name="Normal 3 3 18 10 13 2" xfId="29859" xr:uid="{00000000-0005-0000-0000-000090510000}"/>
    <cellStyle name="Normal 3 3 18 10 14" xfId="12329" xr:uid="{00000000-0005-0000-0000-000091510000}"/>
    <cellStyle name="Normal 3 3 18 10 14 2" xfId="29860" xr:uid="{00000000-0005-0000-0000-000092510000}"/>
    <cellStyle name="Normal 3 3 18 10 15" xfId="29855" xr:uid="{00000000-0005-0000-0000-000093510000}"/>
    <cellStyle name="Normal 3 3 18 10 2" xfId="12330" xr:uid="{00000000-0005-0000-0000-000094510000}"/>
    <cellStyle name="Normal 3 3 18 10 2 2" xfId="29861" xr:uid="{00000000-0005-0000-0000-000095510000}"/>
    <cellStyle name="Normal 3 3 18 10 3" xfId="12331" xr:uid="{00000000-0005-0000-0000-000096510000}"/>
    <cellStyle name="Normal 3 3 18 10 3 2" xfId="29862" xr:uid="{00000000-0005-0000-0000-000097510000}"/>
    <cellStyle name="Normal 3 3 18 10 4" xfId="12332" xr:uid="{00000000-0005-0000-0000-000098510000}"/>
    <cellStyle name="Normal 3 3 18 10 4 2" xfId="29863" xr:uid="{00000000-0005-0000-0000-000099510000}"/>
    <cellStyle name="Normal 3 3 18 10 5" xfId="12333" xr:uid="{00000000-0005-0000-0000-00009A510000}"/>
    <cellStyle name="Normal 3 3 18 10 5 2" xfId="29864" xr:uid="{00000000-0005-0000-0000-00009B510000}"/>
    <cellStyle name="Normal 3 3 18 10 6" xfId="12334" xr:uid="{00000000-0005-0000-0000-00009C510000}"/>
    <cellStyle name="Normal 3 3 18 10 6 2" xfId="29865" xr:uid="{00000000-0005-0000-0000-00009D510000}"/>
    <cellStyle name="Normal 3 3 18 10 7" xfId="12335" xr:uid="{00000000-0005-0000-0000-00009E510000}"/>
    <cellStyle name="Normal 3 3 18 10 7 2" xfId="29866" xr:uid="{00000000-0005-0000-0000-00009F510000}"/>
    <cellStyle name="Normal 3 3 18 10 8" xfId="12336" xr:uid="{00000000-0005-0000-0000-0000A0510000}"/>
    <cellStyle name="Normal 3 3 18 10 8 2" xfId="29867" xr:uid="{00000000-0005-0000-0000-0000A1510000}"/>
    <cellStyle name="Normal 3 3 18 10 9" xfId="12337" xr:uid="{00000000-0005-0000-0000-0000A2510000}"/>
    <cellStyle name="Normal 3 3 18 10 9 2" xfId="29868" xr:uid="{00000000-0005-0000-0000-0000A3510000}"/>
    <cellStyle name="Normal 3 3 18 11" xfId="12338" xr:uid="{00000000-0005-0000-0000-0000A4510000}"/>
    <cellStyle name="Normal 3 3 18 11 2" xfId="29869" xr:uid="{00000000-0005-0000-0000-0000A5510000}"/>
    <cellStyle name="Normal 3 3 18 12" xfId="12339" xr:uid="{00000000-0005-0000-0000-0000A6510000}"/>
    <cellStyle name="Normal 3 3 18 12 2" xfId="29870" xr:uid="{00000000-0005-0000-0000-0000A7510000}"/>
    <cellStyle name="Normal 3 3 18 13" xfId="12340" xr:uid="{00000000-0005-0000-0000-0000A8510000}"/>
    <cellStyle name="Normal 3 3 18 13 2" xfId="29871" xr:uid="{00000000-0005-0000-0000-0000A9510000}"/>
    <cellStyle name="Normal 3 3 18 14" xfId="12341" xr:uid="{00000000-0005-0000-0000-0000AA510000}"/>
    <cellStyle name="Normal 3 3 18 14 2" xfId="29872" xr:uid="{00000000-0005-0000-0000-0000AB510000}"/>
    <cellStyle name="Normal 3 3 18 15" xfId="12342" xr:uid="{00000000-0005-0000-0000-0000AC510000}"/>
    <cellStyle name="Normal 3 3 18 15 2" xfId="29873" xr:uid="{00000000-0005-0000-0000-0000AD510000}"/>
    <cellStyle name="Normal 3 3 18 16" xfId="12343" xr:uid="{00000000-0005-0000-0000-0000AE510000}"/>
    <cellStyle name="Normal 3 3 18 16 2" xfId="29874" xr:uid="{00000000-0005-0000-0000-0000AF510000}"/>
    <cellStyle name="Normal 3 3 18 17" xfId="12344" xr:uid="{00000000-0005-0000-0000-0000B0510000}"/>
    <cellStyle name="Normal 3 3 18 17 2" xfId="29875" xr:uid="{00000000-0005-0000-0000-0000B1510000}"/>
    <cellStyle name="Normal 3 3 18 18" xfId="12345" xr:uid="{00000000-0005-0000-0000-0000B2510000}"/>
    <cellStyle name="Normal 3 3 18 18 2" xfId="29876" xr:uid="{00000000-0005-0000-0000-0000B3510000}"/>
    <cellStyle name="Normal 3 3 18 19" xfId="12346" xr:uid="{00000000-0005-0000-0000-0000B4510000}"/>
    <cellStyle name="Normal 3 3 18 19 2" xfId="29877" xr:uid="{00000000-0005-0000-0000-0000B5510000}"/>
    <cellStyle name="Normal 3 3 18 2" xfId="12347" xr:uid="{00000000-0005-0000-0000-0000B6510000}"/>
    <cellStyle name="Normal 3 3 18 2 10" xfId="12348" xr:uid="{00000000-0005-0000-0000-0000B7510000}"/>
    <cellStyle name="Normal 3 3 18 2 10 2" xfId="29879" xr:uid="{00000000-0005-0000-0000-0000B8510000}"/>
    <cellStyle name="Normal 3 3 18 2 11" xfId="12349" xr:uid="{00000000-0005-0000-0000-0000B9510000}"/>
    <cellStyle name="Normal 3 3 18 2 11 2" xfId="29880" xr:uid="{00000000-0005-0000-0000-0000BA510000}"/>
    <cellStyle name="Normal 3 3 18 2 12" xfId="12350" xr:uid="{00000000-0005-0000-0000-0000BB510000}"/>
    <cellStyle name="Normal 3 3 18 2 12 2" xfId="29881" xr:uid="{00000000-0005-0000-0000-0000BC510000}"/>
    <cellStyle name="Normal 3 3 18 2 13" xfId="12351" xr:uid="{00000000-0005-0000-0000-0000BD510000}"/>
    <cellStyle name="Normal 3 3 18 2 13 2" xfId="29882" xr:uid="{00000000-0005-0000-0000-0000BE510000}"/>
    <cellStyle name="Normal 3 3 18 2 14" xfId="12352" xr:uid="{00000000-0005-0000-0000-0000BF510000}"/>
    <cellStyle name="Normal 3 3 18 2 14 2" xfId="29883" xr:uid="{00000000-0005-0000-0000-0000C0510000}"/>
    <cellStyle name="Normal 3 3 18 2 15" xfId="12353" xr:uid="{00000000-0005-0000-0000-0000C1510000}"/>
    <cellStyle name="Normal 3 3 18 2 15 2" xfId="29884" xr:uid="{00000000-0005-0000-0000-0000C2510000}"/>
    <cellStyle name="Normal 3 3 18 2 16" xfId="29878" xr:uid="{00000000-0005-0000-0000-0000C3510000}"/>
    <cellStyle name="Normal 3 3 18 2 2" xfId="12354" xr:uid="{00000000-0005-0000-0000-0000C4510000}"/>
    <cellStyle name="Normal 3 3 18 2 2 10" xfId="12355" xr:uid="{00000000-0005-0000-0000-0000C5510000}"/>
    <cellStyle name="Normal 3 3 18 2 2 10 2" xfId="29886" xr:uid="{00000000-0005-0000-0000-0000C6510000}"/>
    <cellStyle name="Normal 3 3 18 2 2 11" xfId="12356" xr:uid="{00000000-0005-0000-0000-0000C7510000}"/>
    <cellStyle name="Normal 3 3 18 2 2 11 2" xfId="29887" xr:uid="{00000000-0005-0000-0000-0000C8510000}"/>
    <cellStyle name="Normal 3 3 18 2 2 12" xfId="12357" xr:uid="{00000000-0005-0000-0000-0000C9510000}"/>
    <cellStyle name="Normal 3 3 18 2 2 12 2" xfId="29888" xr:uid="{00000000-0005-0000-0000-0000CA510000}"/>
    <cellStyle name="Normal 3 3 18 2 2 13" xfId="12358" xr:uid="{00000000-0005-0000-0000-0000CB510000}"/>
    <cellStyle name="Normal 3 3 18 2 2 13 2" xfId="29889" xr:uid="{00000000-0005-0000-0000-0000CC510000}"/>
    <cellStyle name="Normal 3 3 18 2 2 14" xfId="12359" xr:uid="{00000000-0005-0000-0000-0000CD510000}"/>
    <cellStyle name="Normal 3 3 18 2 2 14 2" xfId="29890" xr:uid="{00000000-0005-0000-0000-0000CE510000}"/>
    <cellStyle name="Normal 3 3 18 2 2 15" xfId="29885" xr:uid="{00000000-0005-0000-0000-0000CF510000}"/>
    <cellStyle name="Normal 3 3 18 2 2 2" xfId="12360" xr:uid="{00000000-0005-0000-0000-0000D0510000}"/>
    <cellStyle name="Normal 3 3 18 2 2 2 2" xfId="29891" xr:uid="{00000000-0005-0000-0000-0000D1510000}"/>
    <cellStyle name="Normal 3 3 18 2 2 3" xfId="12361" xr:uid="{00000000-0005-0000-0000-0000D2510000}"/>
    <cellStyle name="Normal 3 3 18 2 2 3 2" xfId="29892" xr:uid="{00000000-0005-0000-0000-0000D3510000}"/>
    <cellStyle name="Normal 3 3 18 2 2 4" xfId="12362" xr:uid="{00000000-0005-0000-0000-0000D4510000}"/>
    <cellStyle name="Normal 3 3 18 2 2 4 2" xfId="29893" xr:uid="{00000000-0005-0000-0000-0000D5510000}"/>
    <cellStyle name="Normal 3 3 18 2 2 5" xfId="12363" xr:uid="{00000000-0005-0000-0000-0000D6510000}"/>
    <cellStyle name="Normal 3 3 18 2 2 5 2" xfId="29894" xr:uid="{00000000-0005-0000-0000-0000D7510000}"/>
    <cellStyle name="Normal 3 3 18 2 2 6" xfId="12364" xr:uid="{00000000-0005-0000-0000-0000D8510000}"/>
    <cellStyle name="Normal 3 3 18 2 2 6 2" xfId="29895" xr:uid="{00000000-0005-0000-0000-0000D9510000}"/>
    <cellStyle name="Normal 3 3 18 2 2 7" xfId="12365" xr:uid="{00000000-0005-0000-0000-0000DA510000}"/>
    <cellStyle name="Normal 3 3 18 2 2 7 2" xfId="29896" xr:uid="{00000000-0005-0000-0000-0000DB510000}"/>
    <cellStyle name="Normal 3 3 18 2 2 8" xfId="12366" xr:uid="{00000000-0005-0000-0000-0000DC510000}"/>
    <cellStyle name="Normal 3 3 18 2 2 8 2" xfId="29897" xr:uid="{00000000-0005-0000-0000-0000DD510000}"/>
    <cellStyle name="Normal 3 3 18 2 2 9" xfId="12367" xr:uid="{00000000-0005-0000-0000-0000DE510000}"/>
    <cellStyle name="Normal 3 3 18 2 2 9 2" xfId="29898" xr:uid="{00000000-0005-0000-0000-0000DF510000}"/>
    <cellStyle name="Normal 3 3 18 2 3" xfId="12368" xr:uid="{00000000-0005-0000-0000-0000E0510000}"/>
    <cellStyle name="Normal 3 3 18 2 3 2" xfId="29899" xr:uid="{00000000-0005-0000-0000-0000E1510000}"/>
    <cellStyle name="Normal 3 3 18 2 4" xfId="12369" xr:uid="{00000000-0005-0000-0000-0000E2510000}"/>
    <cellStyle name="Normal 3 3 18 2 4 2" xfId="29900" xr:uid="{00000000-0005-0000-0000-0000E3510000}"/>
    <cellStyle name="Normal 3 3 18 2 5" xfId="12370" xr:uid="{00000000-0005-0000-0000-0000E4510000}"/>
    <cellStyle name="Normal 3 3 18 2 5 2" xfId="29901" xr:uid="{00000000-0005-0000-0000-0000E5510000}"/>
    <cellStyle name="Normal 3 3 18 2 6" xfId="12371" xr:uid="{00000000-0005-0000-0000-0000E6510000}"/>
    <cellStyle name="Normal 3 3 18 2 6 2" xfId="29902" xr:uid="{00000000-0005-0000-0000-0000E7510000}"/>
    <cellStyle name="Normal 3 3 18 2 7" xfId="12372" xr:uid="{00000000-0005-0000-0000-0000E8510000}"/>
    <cellStyle name="Normal 3 3 18 2 7 2" xfId="29903" xr:uid="{00000000-0005-0000-0000-0000E9510000}"/>
    <cellStyle name="Normal 3 3 18 2 8" xfId="12373" xr:uid="{00000000-0005-0000-0000-0000EA510000}"/>
    <cellStyle name="Normal 3 3 18 2 8 2" xfId="29904" xr:uid="{00000000-0005-0000-0000-0000EB510000}"/>
    <cellStyle name="Normal 3 3 18 2 9" xfId="12374" xr:uid="{00000000-0005-0000-0000-0000EC510000}"/>
    <cellStyle name="Normal 3 3 18 2 9 2" xfId="29905" xr:uid="{00000000-0005-0000-0000-0000ED510000}"/>
    <cellStyle name="Normal 3 3 18 20" xfId="12375" xr:uid="{00000000-0005-0000-0000-0000EE510000}"/>
    <cellStyle name="Normal 3 3 18 20 2" xfId="29906" xr:uid="{00000000-0005-0000-0000-0000EF510000}"/>
    <cellStyle name="Normal 3 3 18 21" xfId="12376" xr:uid="{00000000-0005-0000-0000-0000F0510000}"/>
    <cellStyle name="Normal 3 3 18 21 2" xfId="29907" xr:uid="{00000000-0005-0000-0000-0000F1510000}"/>
    <cellStyle name="Normal 3 3 18 22" xfId="12377" xr:uid="{00000000-0005-0000-0000-0000F2510000}"/>
    <cellStyle name="Normal 3 3 18 22 2" xfId="29908" xr:uid="{00000000-0005-0000-0000-0000F3510000}"/>
    <cellStyle name="Normal 3 3 18 23" xfId="12378" xr:uid="{00000000-0005-0000-0000-0000F4510000}"/>
    <cellStyle name="Normal 3 3 18 23 2" xfId="29909" xr:uid="{00000000-0005-0000-0000-0000F5510000}"/>
    <cellStyle name="Normal 3 3 18 24" xfId="29854" xr:uid="{00000000-0005-0000-0000-0000F6510000}"/>
    <cellStyle name="Normal 3 3 18 3" xfId="12379" xr:uid="{00000000-0005-0000-0000-0000F7510000}"/>
    <cellStyle name="Normal 3 3 18 3 10" xfId="12380" xr:uid="{00000000-0005-0000-0000-0000F8510000}"/>
    <cellStyle name="Normal 3 3 18 3 10 2" xfId="29911" xr:uid="{00000000-0005-0000-0000-0000F9510000}"/>
    <cellStyle name="Normal 3 3 18 3 11" xfId="12381" xr:uid="{00000000-0005-0000-0000-0000FA510000}"/>
    <cellStyle name="Normal 3 3 18 3 11 2" xfId="29912" xr:uid="{00000000-0005-0000-0000-0000FB510000}"/>
    <cellStyle name="Normal 3 3 18 3 12" xfId="12382" xr:uid="{00000000-0005-0000-0000-0000FC510000}"/>
    <cellStyle name="Normal 3 3 18 3 12 2" xfId="29913" xr:uid="{00000000-0005-0000-0000-0000FD510000}"/>
    <cellStyle name="Normal 3 3 18 3 13" xfId="12383" xr:uid="{00000000-0005-0000-0000-0000FE510000}"/>
    <cellStyle name="Normal 3 3 18 3 13 2" xfId="29914" xr:uid="{00000000-0005-0000-0000-0000FF510000}"/>
    <cellStyle name="Normal 3 3 18 3 14" xfId="12384" xr:uid="{00000000-0005-0000-0000-000000520000}"/>
    <cellStyle name="Normal 3 3 18 3 14 2" xfId="29915" xr:uid="{00000000-0005-0000-0000-000001520000}"/>
    <cellStyle name="Normal 3 3 18 3 15" xfId="12385" xr:uid="{00000000-0005-0000-0000-000002520000}"/>
    <cellStyle name="Normal 3 3 18 3 15 2" xfId="29916" xr:uid="{00000000-0005-0000-0000-000003520000}"/>
    <cellStyle name="Normal 3 3 18 3 16" xfId="29910" xr:uid="{00000000-0005-0000-0000-000004520000}"/>
    <cellStyle name="Normal 3 3 18 3 2" xfId="12386" xr:uid="{00000000-0005-0000-0000-000005520000}"/>
    <cellStyle name="Normal 3 3 18 3 2 10" xfId="12387" xr:uid="{00000000-0005-0000-0000-000006520000}"/>
    <cellStyle name="Normal 3 3 18 3 2 10 2" xfId="29918" xr:uid="{00000000-0005-0000-0000-000007520000}"/>
    <cellStyle name="Normal 3 3 18 3 2 11" xfId="12388" xr:uid="{00000000-0005-0000-0000-000008520000}"/>
    <cellStyle name="Normal 3 3 18 3 2 11 2" xfId="29919" xr:uid="{00000000-0005-0000-0000-000009520000}"/>
    <cellStyle name="Normal 3 3 18 3 2 12" xfId="12389" xr:uid="{00000000-0005-0000-0000-00000A520000}"/>
    <cellStyle name="Normal 3 3 18 3 2 12 2" xfId="29920" xr:uid="{00000000-0005-0000-0000-00000B520000}"/>
    <cellStyle name="Normal 3 3 18 3 2 13" xfId="12390" xr:uid="{00000000-0005-0000-0000-00000C520000}"/>
    <cellStyle name="Normal 3 3 18 3 2 13 2" xfId="29921" xr:uid="{00000000-0005-0000-0000-00000D520000}"/>
    <cellStyle name="Normal 3 3 18 3 2 14" xfId="12391" xr:uid="{00000000-0005-0000-0000-00000E520000}"/>
    <cellStyle name="Normal 3 3 18 3 2 14 2" xfId="29922" xr:uid="{00000000-0005-0000-0000-00000F520000}"/>
    <cellStyle name="Normal 3 3 18 3 2 15" xfId="29917" xr:uid="{00000000-0005-0000-0000-000010520000}"/>
    <cellStyle name="Normal 3 3 18 3 2 2" xfId="12392" xr:uid="{00000000-0005-0000-0000-000011520000}"/>
    <cellStyle name="Normal 3 3 18 3 2 2 2" xfId="29923" xr:uid="{00000000-0005-0000-0000-000012520000}"/>
    <cellStyle name="Normal 3 3 18 3 2 3" xfId="12393" xr:uid="{00000000-0005-0000-0000-000013520000}"/>
    <cellStyle name="Normal 3 3 18 3 2 3 2" xfId="29924" xr:uid="{00000000-0005-0000-0000-000014520000}"/>
    <cellStyle name="Normal 3 3 18 3 2 4" xfId="12394" xr:uid="{00000000-0005-0000-0000-000015520000}"/>
    <cellStyle name="Normal 3 3 18 3 2 4 2" xfId="29925" xr:uid="{00000000-0005-0000-0000-000016520000}"/>
    <cellStyle name="Normal 3 3 18 3 2 5" xfId="12395" xr:uid="{00000000-0005-0000-0000-000017520000}"/>
    <cellStyle name="Normal 3 3 18 3 2 5 2" xfId="29926" xr:uid="{00000000-0005-0000-0000-000018520000}"/>
    <cellStyle name="Normal 3 3 18 3 2 6" xfId="12396" xr:uid="{00000000-0005-0000-0000-000019520000}"/>
    <cellStyle name="Normal 3 3 18 3 2 6 2" xfId="29927" xr:uid="{00000000-0005-0000-0000-00001A520000}"/>
    <cellStyle name="Normal 3 3 18 3 2 7" xfId="12397" xr:uid="{00000000-0005-0000-0000-00001B520000}"/>
    <cellStyle name="Normal 3 3 18 3 2 7 2" xfId="29928" xr:uid="{00000000-0005-0000-0000-00001C520000}"/>
    <cellStyle name="Normal 3 3 18 3 2 8" xfId="12398" xr:uid="{00000000-0005-0000-0000-00001D520000}"/>
    <cellStyle name="Normal 3 3 18 3 2 8 2" xfId="29929" xr:uid="{00000000-0005-0000-0000-00001E520000}"/>
    <cellStyle name="Normal 3 3 18 3 2 9" xfId="12399" xr:uid="{00000000-0005-0000-0000-00001F520000}"/>
    <cellStyle name="Normal 3 3 18 3 2 9 2" xfId="29930" xr:uid="{00000000-0005-0000-0000-000020520000}"/>
    <cellStyle name="Normal 3 3 18 3 3" xfId="12400" xr:uid="{00000000-0005-0000-0000-000021520000}"/>
    <cellStyle name="Normal 3 3 18 3 3 2" xfId="29931" xr:uid="{00000000-0005-0000-0000-000022520000}"/>
    <cellStyle name="Normal 3 3 18 3 4" xfId="12401" xr:uid="{00000000-0005-0000-0000-000023520000}"/>
    <cellStyle name="Normal 3 3 18 3 4 2" xfId="29932" xr:uid="{00000000-0005-0000-0000-000024520000}"/>
    <cellStyle name="Normal 3 3 18 3 5" xfId="12402" xr:uid="{00000000-0005-0000-0000-000025520000}"/>
    <cellStyle name="Normal 3 3 18 3 5 2" xfId="29933" xr:uid="{00000000-0005-0000-0000-000026520000}"/>
    <cellStyle name="Normal 3 3 18 3 6" xfId="12403" xr:uid="{00000000-0005-0000-0000-000027520000}"/>
    <cellStyle name="Normal 3 3 18 3 6 2" xfId="29934" xr:uid="{00000000-0005-0000-0000-000028520000}"/>
    <cellStyle name="Normal 3 3 18 3 7" xfId="12404" xr:uid="{00000000-0005-0000-0000-000029520000}"/>
    <cellStyle name="Normal 3 3 18 3 7 2" xfId="29935" xr:uid="{00000000-0005-0000-0000-00002A520000}"/>
    <cellStyle name="Normal 3 3 18 3 8" xfId="12405" xr:uid="{00000000-0005-0000-0000-00002B520000}"/>
    <cellStyle name="Normal 3 3 18 3 8 2" xfId="29936" xr:uid="{00000000-0005-0000-0000-00002C520000}"/>
    <cellStyle name="Normal 3 3 18 3 9" xfId="12406" xr:uid="{00000000-0005-0000-0000-00002D520000}"/>
    <cellStyle name="Normal 3 3 18 3 9 2" xfId="29937" xr:uid="{00000000-0005-0000-0000-00002E520000}"/>
    <cellStyle name="Normal 3 3 18 4" xfId="12407" xr:uid="{00000000-0005-0000-0000-00002F520000}"/>
    <cellStyle name="Normal 3 3 18 4 10" xfId="12408" xr:uid="{00000000-0005-0000-0000-000030520000}"/>
    <cellStyle name="Normal 3 3 18 4 10 2" xfId="29939" xr:uid="{00000000-0005-0000-0000-000031520000}"/>
    <cellStyle name="Normal 3 3 18 4 11" xfId="12409" xr:uid="{00000000-0005-0000-0000-000032520000}"/>
    <cellStyle name="Normal 3 3 18 4 11 2" xfId="29940" xr:uid="{00000000-0005-0000-0000-000033520000}"/>
    <cellStyle name="Normal 3 3 18 4 12" xfId="12410" xr:uid="{00000000-0005-0000-0000-000034520000}"/>
    <cellStyle name="Normal 3 3 18 4 12 2" xfId="29941" xr:uid="{00000000-0005-0000-0000-000035520000}"/>
    <cellStyle name="Normal 3 3 18 4 13" xfId="12411" xr:uid="{00000000-0005-0000-0000-000036520000}"/>
    <cellStyle name="Normal 3 3 18 4 13 2" xfId="29942" xr:uid="{00000000-0005-0000-0000-000037520000}"/>
    <cellStyle name="Normal 3 3 18 4 14" xfId="12412" xr:uid="{00000000-0005-0000-0000-000038520000}"/>
    <cellStyle name="Normal 3 3 18 4 14 2" xfId="29943" xr:uid="{00000000-0005-0000-0000-000039520000}"/>
    <cellStyle name="Normal 3 3 18 4 15" xfId="12413" xr:uid="{00000000-0005-0000-0000-00003A520000}"/>
    <cellStyle name="Normal 3 3 18 4 15 2" xfId="29944" xr:uid="{00000000-0005-0000-0000-00003B520000}"/>
    <cellStyle name="Normal 3 3 18 4 16" xfId="29938" xr:uid="{00000000-0005-0000-0000-00003C520000}"/>
    <cellStyle name="Normal 3 3 18 4 2" xfId="12414" xr:uid="{00000000-0005-0000-0000-00003D520000}"/>
    <cellStyle name="Normal 3 3 18 4 2 10" xfId="12415" xr:uid="{00000000-0005-0000-0000-00003E520000}"/>
    <cellStyle name="Normal 3 3 18 4 2 10 2" xfId="29946" xr:uid="{00000000-0005-0000-0000-00003F520000}"/>
    <cellStyle name="Normal 3 3 18 4 2 11" xfId="12416" xr:uid="{00000000-0005-0000-0000-000040520000}"/>
    <cellStyle name="Normal 3 3 18 4 2 11 2" xfId="29947" xr:uid="{00000000-0005-0000-0000-000041520000}"/>
    <cellStyle name="Normal 3 3 18 4 2 12" xfId="12417" xr:uid="{00000000-0005-0000-0000-000042520000}"/>
    <cellStyle name="Normal 3 3 18 4 2 12 2" xfId="29948" xr:uid="{00000000-0005-0000-0000-000043520000}"/>
    <cellStyle name="Normal 3 3 18 4 2 13" xfId="12418" xr:uid="{00000000-0005-0000-0000-000044520000}"/>
    <cellStyle name="Normal 3 3 18 4 2 13 2" xfId="29949" xr:uid="{00000000-0005-0000-0000-000045520000}"/>
    <cellStyle name="Normal 3 3 18 4 2 14" xfId="12419" xr:uid="{00000000-0005-0000-0000-000046520000}"/>
    <cellStyle name="Normal 3 3 18 4 2 14 2" xfId="29950" xr:uid="{00000000-0005-0000-0000-000047520000}"/>
    <cellStyle name="Normal 3 3 18 4 2 15" xfId="29945" xr:uid="{00000000-0005-0000-0000-000048520000}"/>
    <cellStyle name="Normal 3 3 18 4 2 2" xfId="12420" xr:uid="{00000000-0005-0000-0000-000049520000}"/>
    <cellStyle name="Normal 3 3 18 4 2 2 2" xfId="29951" xr:uid="{00000000-0005-0000-0000-00004A520000}"/>
    <cellStyle name="Normal 3 3 18 4 2 3" xfId="12421" xr:uid="{00000000-0005-0000-0000-00004B520000}"/>
    <cellStyle name="Normal 3 3 18 4 2 3 2" xfId="29952" xr:uid="{00000000-0005-0000-0000-00004C520000}"/>
    <cellStyle name="Normal 3 3 18 4 2 4" xfId="12422" xr:uid="{00000000-0005-0000-0000-00004D520000}"/>
    <cellStyle name="Normal 3 3 18 4 2 4 2" xfId="29953" xr:uid="{00000000-0005-0000-0000-00004E520000}"/>
    <cellStyle name="Normal 3 3 18 4 2 5" xfId="12423" xr:uid="{00000000-0005-0000-0000-00004F520000}"/>
    <cellStyle name="Normal 3 3 18 4 2 5 2" xfId="29954" xr:uid="{00000000-0005-0000-0000-000050520000}"/>
    <cellStyle name="Normal 3 3 18 4 2 6" xfId="12424" xr:uid="{00000000-0005-0000-0000-000051520000}"/>
    <cellStyle name="Normal 3 3 18 4 2 6 2" xfId="29955" xr:uid="{00000000-0005-0000-0000-000052520000}"/>
    <cellStyle name="Normal 3 3 18 4 2 7" xfId="12425" xr:uid="{00000000-0005-0000-0000-000053520000}"/>
    <cellStyle name="Normal 3 3 18 4 2 7 2" xfId="29956" xr:uid="{00000000-0005-0000-0000-000054520000}"/>
    <cellStyle name="Normal 3 3 18 4 2 8" xfId="12426" xr:uid="{00000000-0005-0000-0000-000055520000}"/>
    <cellStyle name="Normal 3 3 18 4 2 8 2" xfId="29957" xr:uid="{00000000-0005-0000-0000-000056520000}"/>
    <cellStyle name="Normal 3 3 18 4 2 9" xfId="12427" xr:uid="{00000000-0005-0000-0000-000057520000}"/>
    <cellStyle name="Normal 3 3 18 4 2 9 2" xfId="29958" xr:uid="{00000000-0005-0000-0000-000058520000}"/>
    <cellStyle name="Normal 3 3 18 4 3" xfId="12428" xr:uid="{00000000-0005-0000-0000-000059520000}"/>
    <cellStyle name="Normal 3 3 18 4 3 2" xfId="29959" xr:uid="{00000000-0005-0000-0000-00005A520000}"/>
    <cellStyle name="Normal 3 3 18 4 4" xfId="12429" xr:uid="{00000000-0005-0000-0000-00005B520000}"/>
    <cellStyle name="Normal 3 3 18 4 4 2" xfId="29960" xr:uid="{00000000-0005-0000-0000-00005C520000}"/>
    <cellStyle name="Normal 3 3 18 4 5" xfId="12430" xr:uid="{00000000-0005-0000-0000-00005D520000}"/>
    <cellStyle name="Normal 3 3 18 4 5 2" xfId="29961" xr:uid="{00000000-0005-0000-0000-00005E520000}"/>
    <cellStyle name="Normal 3 3 18 4 6" xfId="12431" xr:uid="{00000000-0005-0000-0000-00005F520000}"/>
    <cellStyle name="Normal 3 3 18 4 6 2" xfId="29962" xr:uid="{00000000-0005-0000-0000-000060520000}"/>
    <cellStyle name="Normal 3 3 18 4 7" xfId="12432" xr:uid="{00000000-0005-0000-0000-000061520000}"/>
    <cellStyle name="Normal 3 3 18 4 7 2" xfId="29963" xr:uid="{00000000-0005-0000-0000-000062520000}"/>
    <cellStyle name="Normal 3 3 18 4 8" xfId="12433" xr:uid="{00000000-0005-0000-0000-000063520000}"/>
    <cellStyle name="Normal 3 3 18 4 8 2" xfId="29964" xr:uid="{00000000-0005-0000-0000-000064520000}"/>
    <cellStyle name="Normal 3 3 18 4 9" xfId="12434" xr:uid="{00000000-0005-0000-0000-000065520000}"/>
    <cellStyle name="Normal 3 3 18 4 9 2" xfId="29965" xr:uid="{00000000-0005-0000-0000-000066520000}"/>
    <cellStyle name="Normal 3 3 18 5" xfId="12435" xr:uid="{00000000-0005-0000-0000-000067520000}"/>
    <cellStyle name="Normal 3 3 18 5 10" xfId="12436" xr:uid="{00000000-0005-0000-0000-000068520000}"/>
    <cellStyle name="Normal 3 3 18 5 10 2" xfId="29967" xr:uid="{00000000-0005-0000-0000-000069520000}"/>
    <cellStyle name="Normal 3 3 18 5 11" xfId="12437" xr:uid="{00000000-0005-0000-0000-00006A520000}"/>
    <cellStyle name="Normal 3 3 18 5 11 2" xfId="29968" xr:uid="{00000000-0005-0000-0000-00006B520000}"/>
    <cellStyle name="Normal 3 3 18 5 12" xfId="12438" xr:uid="{00000000-0005-0000-0000-00006C520000}"/>
    <cellStyle name="Normal 3 3 18 5 12 2" xfId="29969" xr:uid="{00000000-0005-0000-0000-00006D520000}"/>
    <cellStyle name="Normal 3 3 18 5 13" xfId="12439" xr:uid="{00000000-0005-0000-0000-00006E520000}"/>
    <cellStyle name="Normal 3 3 18 5 13 2" xfId="29970" xr:uid="{00000000-0005-0000-0000-00006F520000}"/>
    <cellStyle name="Normal 3 3 18 5 14" xfId="12440" xr:uid="{00000000-0005-0000-0000-000070520000}"/>
    <cellStyle name="Normal 3 3 18 5 14 2" xfId="29971" xr:uid="{00000000-0005-0000-0000-000071520000}"/>
    <cellStyle name="Normal 3 3 18 5 15" xfId="29966" xr:uid="{00000000-0005-0000-0000-000072520000}"/>
    <cellStyle name="Normal 3 3 18 5 2" xfId="12441" xr:uid="{00000000-0005-0000-0000-000073520000}"/>
    <cellStyle name="Normal 3 3 18 5 2 2" xfId="29972" xr:uid="{00000000-0005-0000-0000-000074520000}"/>
    <cellStyle name="Normal 3 3 18 5 3" xfId="12442" xr:uid="{00000000-0005-0000-0000-000075520000}"/>
    <cellStyle name="Normal 3 3 18 5 3 2" xfId="29973" xr:uid="{00000000-0005-0000-0000-000076520000}"/>
    <cellStyle name="Normal 3 3 18 5 4" xfId="12443" xr:uid="{00000000-0005-0000-0000-000077520000}"/>
    <cellStyle name="Normal 3 3 18 5 4 2" xfId="29974" xr:uid="{00000000-0005-0000-0000-000078520000}"/>
    <cellStyle name="Normal 3 3 18 5 5" xfId="12444" xr:uid="{00000000-0005-0000-0000-000079520000}"/>
    <cellStyle name="Normal 3 3 18 5 5 2" xfId="29975" xr:uid="{00000000-0005-0000-0000-00007A520000}"/>
    <cellStyle name="Normal 3 3 18 5 6" xfId="12445" xr:uid="{00000000-0005-0000-0000-00007B520000}"/>
    <cellStyle name="Normal 3 3 18 5 6 2" xfId="29976" xr:uid="{00000000-0005-0000-0000-00007C520000}"/>
    <cellStyle name="Normal 3 3 18 5 7" xfId="12446" xr:uid="{00000000-0005-0000-0000-00007D520000}"/>
    <cellStyle name="Normal 3 3 18 5 7 2" xfId="29977" xr:uid="{00000000-0005-0000-0000-00007E520000}"/>
    <cellStyle name="Normal 3 3 18 5 8" xfId="12447" xr:uid="{00000000-0005-0000-0000-00007F520000}"/>
    <cellStyle name="Normal 3 3 18 5 8 2" xfId="29978" xr:uid="{00000000-0005-0000-0000-000080520000}"/>
    <cellStyle name="Normal 3 3 18 5 9" xfId="12448" xr:uid="{00000000-0005-0000-0000-000081520000}"/>
    <cellStyle name="Normal 3 3 18 5 9 2" xfId="29979" xr:uid="{00000000-0005-0000-0000-000082520000}"/>
    <cellStyle name="Normal 3 3 18 6" xfId="12449" xr:uid="{00000000-0005-0000-0000-000083520000}"/>
    <cellStyle name="Normal 3 3 18 6 10" xfId="12450" xr:uid="{00000000-0005-0000-0000-000084520000}"/>
    <cellStyle name="Normal 3 3 18 6 10 2" xfId="29981" xr:uid="{00000000-0005-0000-0000-000085520000}"/>
    <cellStyle name="Normal 3 3 18 6 11" xfId="12451" xr:uid="{00000000-0005-0000-0000-000086520000}"/>
    <cellStyle name="Normal 3 3 18 6 11 2" xfId="29982" xr:uid="{00000000-0005-0000-0000-000087520000}"/>
    <cellStyle name="Normal 3 3 18 6 12" xfId="12452" xr:uid="{00000000-0005-0000-0000-000088520000}"/>
    <cellStyle name="Normal 3 3 18 6 12 2" xfId="29983" xr:uid="{00000000-0005-0000-0000-000089520000}"/>
    <cellStyle name="Normal 3 3 18 6 13" xfId="12453" xr:uid="{00000000-0005-0000-0000-00008A520000}"/>
    <cellStyle name="Normal 3 3 18 6 13 2" xfId="29984" xr:uid="{00000000-0005-0000-0000-00008B520000}"/>
    <cellStyle name="Normal 3 3 18 6 14" xfId="12454" xr:uid="{00000000-0005-0000-0000-00008C520000}"/>
    <cellStyle name="Normal 3 3 18 6 14 2" xfId="29985" xr:uid="{00000000-0005-0000-0000-00008D520000}"/>
    <cellStyle name="Normal 3 3 18 6 15" xfId="29980" xr:uid="{00000000-0005-0000-0000-00008E520000}"/>
    <cellStyle name="Normal 3 3 18 6 2" xfId="12455" xr:uid="{00000000-0005-0000-0000-00008F520000}"/>
    <cellStyle name="Normal 3 3 18 6 2 2" xfId="29986" xr:uid="{00000000-0005-0000-0000-000090520000}"/>
    <cellStyle name="Normal 3 3 18 6 3" xfId="12456" xr:uid="{00000000-0005-0000-0000-000091520000}"/>
    <cellStyle name="Normal 3 3 18 6 3 2" xfId="29987" xr:uid="{00000000-0005-0000-0000-000092520000}"/>
    <cellStyle name="Normal 3 3 18 6 4" xfId="12457" xr:uid="{00000000-0005-0000-0000-000093520000}"/>
    <cellStyle name="Normal 3 3 18 6 4 2" xfId="29988" xr:uid="{00000000-0005-0000-0000-000094520000}"/>
    <cellStyle name="Normal 3 3 18 6 5" xfId="12458" xr:uid="{00000000-0005-0000-0000-000095520000}"/>
    <cellStyle name="Normal 3 3 18 6 5 2" xfId="29989" xr:uid="{00000000-0005-0000-0000-000096520000}"/>
    <cellStyle name="Normal 3 3 18 6 6" xfId="12459" xr:uid="{00000000-0005-0000-0000-000097520000}"/>
    <cellStyle name="Normal 3 3 18 6 6 2" xfId="29990" xr:uid="{00000000-0005-0000-0000-000098520000}"/>
    <cellStyle name="Normal 3 3 18 6 7" xfId="12460" xr:uid="{00000000-0005-0000-0000-000099520000}"/>
    <cellStyle name="Normal 3 3 18 6 7 2" xfId="29991" xr:uid="{00000000-0005-0000-0000-00009A520000}"/>
    <cellStyle name="Normal 3 3 18 6 8" xfId="12461" xr:uid="{00000000-0005-0000-0000-00009B520000}"/>
    <cellStyle name="Normal 3 3 18 6 8 2" xfId="29992" xr:uid="{00000000-0005-0000-0000-00009C520000}"/>
    <cellStyle name="Normal 3 3 18 6 9" xfId="12462" xr:uid="{00000000-0005-0000-0000-00009D520000}"/>
    <cellStyle name="Normal 3 3 18 6 9 2" xfId="29993" xr:uid="{00000000-0005-0000-0000-00009E520000}"/>
    <cellStyle name="Normal 3 3 18 7" xfId="12463" xr:uid="{00000000-0005-0000-0000-00009F520000}"/>
    <cellStyle name="Normal 3 3 18 7 10" xfId="12464" xr:uid="{00000000-0005-0000-0000-0000A0520000}"/>
    <cellStyle name="Normal 3 3 18 7 10 2" xfId="29995" xr:uid="{00000000-0005-0000-0000-0000A1520000}"/>
    <cellStyle name="Normal 3 3 18 7 11" xfId="12465" xr:uid="{00000000-0005-0000-0000-0000A2520000}"/>
    <cellStyle name="Normal 3 3 18 7 11 2" xfId="29996" xr:uid="{00000000-0005-0000-0000-0000A3520000}"/>
    <cellStyle name="Normal 3 3 18 7 12" xfId="12466" xr:uid="{00000000-0005-0000-0000-0000A4520000}"/>
    <cellStyle name="Normal 3 3 18 7 12 2" xfId="29997" xr:uid="{00000000-0005-0000-0000-0000A5520000}"/>
    <cellStyle name="Normal 3 3 18 7 13" xfId="12467" xr:uid="{00000000-0005-0000-0000-0000A6520000}"/>
    <cellStyle name="Normal 3 3 18 7 13 2" xfId="29998" xr:uid="{00000000-0005-0000-0000-0000A7520000}"/>
    <cellStyle name="Normal 3 3 18 7 14" xfId="12468" xr:uid="{00000000-0005-0000-0000-0000A8520000}"/>
    <cellStyle name="Normal 3 3 18 7 14 2" xfId="29999" xr:uid="{00000000-0005-0000-0000-0000A9520000}"/>
    <cellStyle name="Normal 3 3 18 7 15" xfId="29994" xr:uid="{00000000-0005-0000-0000-0000AA520000}"/>
    <cellStyle name="Normal 3 3 18 7 2" xfId="12469" xr:uid="{00000000-0005-0000-0000-0000AB520000}"/>
    <cellStyle name="Normal 3 3 18 7 2 2" xfId="30000" xr:uid="{00000000-0005-0000-0000-0000AC520000}"/>
    <cellStyle name="Normal 3 3 18 7 3" xfId="12470" xr:uid="{00000000-0005-0000-0000-0000AD520000}"/>
    <cellStyle name="Normal 3 3 18 7 3 2" xfId="30001" xr:uid="{00000000-0005-0000-0000-0000AE520000}"/>
    <cellStyle name="Normal 3 3 18 7 4" xfId="12471" xr:uid="{00000000-0005-0000-0000-0000AF520000}"/>
    <cellStyle name="Normal 3 3 18 7 4 2" xfId="30002" xr:uid="{00000000-0005-0000-0000-0000B0520000}"/>
    <cellStyle name="Normal 3 3 18 7 5" xfId="12472" xr:uid="{00000000-0005-0000-0000-0000B1520000}"/>
    <cellStyle name="Normal 3 3 18 7 5 2" xfId="30003" xr:uid="{00000000-0005-0000-0000-0000B2520000}"/>
    <cellStyle name="Normal 3 3 18 7 6" xfId="12473" xr:uid="{00000000-0005-0000-0000-0000B3520000}"/>
    <cellStyle name="Normal 3 3 18 7 6 2" xfId="30004" xr:uid="{00000000-0005-0000-0000-0000B4520000}"/>
    <cellStyle name="Normal 3 3 18 7 7" xfId="12474" xr:uid="{00000000-0005-0000-0000-0000B5520000}"/>
    <cellStyle name="Normal 3 3 18 7 7 2" xfId="30005" xr:uid="{00000000-0005-0000-0000-0000B6520000}"/>
    <cellStyle name="Normal 3 3 18 7 8" xfId="12475" xr:uid="{00000000-0005-0000-0000-0000B7520000}"/>
    <cellStyle name="Normal 3 3 18 7 8 2" xfId="30006" xr:uid="{00000000-0005-0000-0000-0000B8520000}"/>
    <cellStyle name="Normal 3 3 18 7 9" xfId="12476" xr:uid="{00000000-0005-0000-0000-0000B9520000}"/>
    <cellStyle name="Normal 3 3 18 7 9 2" xfId="30007" xr:uid="{00000000-0005-0000-0000-0000BA520000}"/>
    <cellStyle name="Normal 3 3 18 8" xfId="12477" xr:uid="{00000000-0005-0000-0000-0000BB520000}"/>
    <cellStyle name="Normal 3 3 18 8 10" xfId="12478" xr:uid="{00000000-0005-0000-0000-0000BC520000}"/>
    <cellStyle name="Normal 3 3 18 8 10 2" xfId="30009" xr:uid="{00000000-0005-0000-0000-0000BD520000}"/>
    <cellStyle name="Normal 3 3 18 8 11" xfId="12479" xr:uid="{00000000-0005-0000-0000-0000BE520000}"/>
    <cellStyle name="Normal 3 3 18 8 11 2" xfId="30010" xr:uid="{00000000-0005-0000-0000-0000BF520000}"/>
    <cellStyle name="Normal 3 3 18 8 12" xfId="12480" xr:uid="{00000000-0005-0000-0000-0000C0520000}"/>
    <cellStyle name="Normal 3 3 18 8 12 2" xfId="30011" xr:uid="{00000000-0005-0000-0000-0000C1520000}"/>
    <cellStyle name="Normal 3 3 18 8 13" xfId="12481" xr:uid="{00000000-0005-0000-0000-0000C2520000}"/>
    <cellStyle name="Normal 3 3 18 8 13 2" xfId="30012" xr:uid="{00000000-0005-0000-0000-0000C3520000}"/>
    <cellStyle name="Normal 3 3 18 8 14" xfId="12482" xr:uid="{00000000-0005-0000-0000-0000C4520000}"/>
    <cellStyle name="Normal 3 3 18 8 14 2" xfId="30013" xr:uid="{00000000-0005-0000-0000-0000C5520000}"/>
    <cellStyle name="Normal 3 3 18 8 15" xfId="30008" xr:uid="{00000000-0005-0000-0000-0000C6520000}"/>
    <cellStyle name="Normal 3 3 18 8 2" xfId="12483" xr:uid="{00000000-0005-0000-0000-0000C7520000}"/>
    <cellStyle name="Normal 3 3 18 8 2 2" xfId="30014" xr:uid="{00000000-0005-0000-0000-0000C8520000}"/>
    <cellStyle name="Normal 3 3 18 8 3" xfId="12484" xr:uid="{00000000-0005-0000-0000-0000C9520000}"/>
    <cellStyle name="Normal 3 3 18 8 3 2" xfId="30015" xr:uid="{00000000-0005-0000-0000-0000CA520000}"/>
    <cellStyle name="Normal 3 3 18 8 4" xfId="12485" xr:uid="{00000000-0005-0000-0000-0000CB520000}"/>
    <cellStyle name="Normal 3 3 18 8 4 2" xfId="30016" xr:uid="{00000000-0005-0000-0000-0000CC520000}"/>
    <cellStyle name="Normal 3 3 18 8 5" xfId="12486" xr:uid="{00000000-0005-0000-0000-0000CD520000}"/>
    <cellStyle name="Normal 3 3 18 8 5 2" xfId="30017" xr:uid="{00000000-0005-0000-0000-0000CE520000}"/>
    <cellStyle name="Normal 3 3 18 8 6" xfId="12487" xr:uid="{00000000-0005-0000-0000-0000CF520000}"/>
    <cellStyle name="Normal 3 3 18 8 6 2" xfId="30018" xr:uid="{00000000-0005-0000-0000-0000D0520000}"/>
    <cellStyle name="Normal 3 3 18 8 7" xfId="12488" xr:uid="{00000000-0005-0000-0000-0000D1520000}"/>
    <cellStyle name="Normal 3 3 18 8 7 2" xfId="30019" xr:uid="{00000000-0005-0000-0000-0000D2520000}"/>
    <cellStyle name="Normal 3 3 18 8 8" xfId="12489" xr:uid="{00000000-0005-0000-0000-0000D3520000}"/>
    <cellStyle name="Normal 3 3 18 8 8 2" xfId="30020" xr:uid="{00000000-0005-0000-0000-0000D4520000}"/>
    <cellStyle name="Normal 3 3 18 8 9" xfId="12490" xr:uid="{00000000-0005-0000-0000-0000D5520000}"/>
    <cellStyle name="Normal 3 3 18 8 9 2" xfId="30021" xr:uid="{00000000-0005-0000-0000-0000D6520000}"/>
    <cellStyle name="Normal 3 3 18 9" xfId="12491" xr:uid="{00000000-0005-0000-0000-0000D7520000}"/>
    <cellStyle name="Normal 3 3 18 9 10" xfId="12492" xr:uid="{00000000-0005-0000-0000-0000D8520000}"/>
    <cellStyle name="Normal 3 3 18 9 10 2" xfId="30023" xr:uid="{00000000-0005-0000-0000-0000D9520000}"/>
    <cellStyle name="Normal 3 3 18 9 11" xfId="12493" xr:uid="{00000000-0005-0000-0000-0000DA520000}"/>
    <cellStyle name="Normal 3 3 18 9 11 2" xfId="30024" xr:uid="{00000000-0005-0000-0000-0000DB520000}"/>
    <cellStyle name="Normal 3 3 18 9 12" xfId="12494" xr:uid="{00000000-0005-0000-0000-0000DC520000}"/>
    <cellStyle name="Normal 3 3 18 9 12 2" xfId="30025" xr:uid="{00000000-0005-0000-0000-0000DD520000}"/>
    <cellStyle name="Normal 3 3 18 9 13" xfId="12495" xr:uid="{00000000-0005-0000-0000-0000DE520000}"/>
    <cellStyle name="Normal 3 3 18 9 13 2" xfId="30026" xr:uid="{00000000-0005-0000-0000-0000DF520000}"/>
    <cellStyle name="Normal 3 3 18 9 14" xfId="12496" xr:uid="{00000000-0005-0000-0000-0000E0520000}"/>
    <cellStyle name="Normal 3 3 18 9 14 2" xfId="30027" xr:uid="{00000000-0005-0000-0000-0000E1520000}"/>
    <cellStyle name="Normal 3 3 18 9 15" xfId="30022" xr:uid="{00000000-0005-0000-0000-0000E2520000}"/>
    <cellStyle name="Normal 3 3 18 9 2" xfId="12497" xr:uid="{00000000-0005-0000-0000-0000E3520000}"/>
    <cellStyle name="Normal 3 3 18 9 2 2" xfId="30028" xr:uid="{00000000-0005-0000-0000-0000E4520000}"/>
    <cellStyle name="Normal 3 3 18 9 3" xfId="12498" xr:uid="{00000000-0005-0000-0000-0000E5520000}"/>
    <cellStyle name="Normal 3 3 18 9 3 2" xfId="30029" xr:uid="{00000000-0005-0000-0000-0000E6520000}"/>
    <cellStyle name="Normal 3 3 18 9 4" xfId="12499" xr:uid="{00000000-0005-0000-0000-0000E7520000}"/>
    <cellStyle name="Normal 3 3 18 9 4 2" xfId="30030" xr:uid="{00000000-0005-0000-0000-0000E8520000}"/>
    <cellStyle name="Normal 3 3 18 9 5" xfId="12500" xr:uid="{00000000-0005-0000-0000-0000E9520000}"/>
    <cellStyle name="Normal 3 3 18 9 5 2" xfId="30031" xr:uid="{00000000-0005-0000-0000-0000EA520000}"/>
    <cellStyle name="Normal 3 3 18 9 6" xfId="12501" xr:uid="{00000000-0005-0000-0000-0000EB520000}"/>
    <cellStyle name="Normal 3 3 18 9 6 2" xfId="30032" xr:uid="{00000000-0005-0000-0000-0000EC520000}"/>
    <cellStyle name="Normal 3 3 18 9 7" xfId="12502" xr:uid="{00000000-0005-0000-0000-0000ED520000}"/>
    <cellStyle name="Normal 3 3 18 9 7 2" xfId="30033" xr:uid="{00000000-0005-0000-0000-0000EE520000}"/>
    <cellStyle name="Normal 3 3 18 9 8" xfId="12503" xr:uid="{00000000-0005-0000-0000-0000EF520000}"/>
    <cellStyle name="Normal 3 3 18 9 8 2" xfId="30034" xr:uid="{00000000-0005-0000-0000-0000F0520000}"/>
    <cellStyle name="Normal 3 3 18 9 9" xfId="12504" xr:uid="{00000000-0005-0000-0000-0000F1520000}"/>
    <cellStyle name="Normal 3 3 18 9 9 2" xfId="30035" xr:uid="{00000000-0005-0000-0000-0000F2520000}"/>
    <cellStyle name="Normal 3 3 19" xfId="12505" xr:uid="{00000000-0005-0000-0000-0000F3520000}"/>
    <cellStyle name="Normal 3 3 19 10" xfId="12506" xr:uid="{00000000-0005-0000-0000-0000F4520000}"/>
    <cellStyle name="Normal 3 3 19 10 2" xfId="30037" xr:uid="{00000000-0005-0000-0000-0000F5520000}"/>
    <cellStyle name="Normal 3 3 19 11" xfId="12507" xr:uid="{00000000-0005-0000-0000-0000F6520000}"/>
    <cellStyle name="Normal 3 3 19 11 2" xfId="30038" xr:uid="{00000000-0005-0000-0000-0000F7520000}"/>
    <cellStyle name="Normal 3 3 19 12" xfId="12508" xr:uid="{00000000-0005-0000-0000-0000F8520000}"/>
    <cellStyle name="Normal 3 3 19 12 2" xfId="30039" xr:uid="{00000000-0005-0000-0000-0000F9520000}"/>
    <cellStyle name="Normal 3 3 19 13" xfId="12509" xr:uid="{00000000-0005-0000-0000-0000FA520000}"/>
    <cellStyle name="Normal 3 3 19 13 2" xfId="30040" xr:uid="{00000000-0005-0000-0000-0000FB520000}"/>
    <cellStyle name="Normal 3 3 19 14" xfId="12510" xr:uid="{00000000-0005-0000-0000-0000FC520000}"/>
    <cellStyle name="Normal 3 3 19 14 2" xfId="30041" xr:uid="{00000000-0005-0000-0000-0000FD520000}"/>
    <cellStyle name="Normal 3 3 19 15" xfId="12511" xr:uid="{00000000-0005-0000-0000-0000FE520000}"/>
    <cellStyle name="Normal 3 3 19 15 2" xfId="30042" xr:uid="{00000000-0005-0000-0000-0000FF520000}"/>
    <cellStyle name="Normal 3 3 19 16" xfId="30036" xr:uid="{00000000-0005-0000-0000-000000530000}"/>
    <cellStyle name="Normal 3 3 19 2" xfId="12512" xr:uid="{00000000-0005-0000-0000-000001530000}"/>
    <cellStyle name="Normal 3 3 19 2 10" xfId="12513" xr:uid="{00000000-0005-0000-0000-000002530000}"/>
    <cellStyle name="Normal 3 3 19 2 10 2" xfId="30044" xr:uid="{00000000-0005-0000-0000-000003530000}"/>
    <cellStyle name="Normal 3 3 19 2 11" xfId="12514" xr:uid="{00000000-0005-0000-0000-000004530000}"/>
    <cellStyle name="Normal 3 3 19 2 11 2" xfId="30045" xr:uid="{00000000-0005-0000-0000-000005530000}"/>
    <cellStyle name="Normal 3 3 19 2 12" xfId="12515" xr:uid="{00000000-0005-0000-0000-000006530000}"/>
    <cellStyle name="Normal 3 3 19 2 12 2" xfId="30046" xr:uid="{00000000-0005-0000-0000-000007530000}"/>
    <cellStyle name="Normal 3 3 19 2 13" xfId="12516" xr:uid="{00000000-0005-0000-0000-000008530000}"/>
    <cellStyle name="Normal 3 3 19 2 13 2" xfId="30047" xr:uid="{00000000-0005-0000-0000-000009530000}"/>
    <cellStyle name="Normal 3 3 19 2 14" xfId="12517" xr:uid="{00000000-0005-0000-0000-00000A530000}"/>
    <cellStyle name="Normal 3 3 19 2 14 2" xfId="30048" xr:uid="{00000000-0005-0000-0000-00000B530000}"/>
    <cellStyle name="Normal 3 3 19 2 15" xfId="30043" xr:uid="{00000000-0005-0000-0000-00000C530000}"/>
    <cellStyle name="Normal 3 3 19 2 2" xfId="12518" xr:uid="{00000000-0005-0000-0000-00000D530000}"/>
    <cellStyle name="Normal 3 3 19 2 2 2" xfId="30049" xr:uid="{00000000-0005-0000-0000-00000E530000}"/>
    <cellStyle name="Normal 3 3 19 2 3" xfId="12519" xr:uid="{00000000-0005-0000-0000-00000F530000}"/>
    <cellStyle name="Normal 3 3 19 2 3 2" xfId="30050" xr:uid="{00000000-0005-0000-0000-000010530000}"/>
    <cellStyle name="Normal 3 3 19 2 4" xfId="12520" xr:uid="{00000000-0005-0000-0000-000011530000}"/>
    <cellStyle name="Normal 3 3 19 2 4 2" xfId="30051" xr:uid="{00000000-0005-0000-0000-000012530000}"/>
    <cellStyle name="Normal 3 3 19 2 5" xfId="12521" xr:uid="{00000000-0005-0000-0000-000013530000}"/>
    <cellStyle name="Normal 3 3 19 2 5 2" xfId="30052" xr:uid="{00000000-0005-0000-0000-000014530000}"/>
    <cellStyle name="Normal 3 3 19 2 6" xfId="12522" xr:uid="{00000000-0005-0000-0000-000015530000}"/>
    <cellStyle name="Normal 3 3 19 2 6 2" xfId="30053" xr:uid="{00000000-0005-0000-0000-000016530000}"/>
    <cellStyle name="Normal 3 3 19 2 7" xfId="12523" xr:uid="{00000000-0005-0000-0000-000017530000}"/>
    <cellStyle name="Normal 3 3 19 2 7 2" xfId="30054" xr:uid="{00000000-0005-0000-0000-000018530000}"/>
    <cellStyle name="Normal 3 3 19 2 8" xfId="12524" xr:uid="{00000000-0005-0000-0000-000019530000}"/>
    <cellStyle name="Normal 3 3 19 2 8 2" xfId="30055" xr:uid="{00000000-0005-0000-0000-00001A530000}"/>
    <cellStyle name="Normal 3 3 19 2 9" xfId="12525" xr:uid="{00000000-0005-0000-0000-00001B530000}"/>
    <cellStyle name="Normal 3 3 19 2 9 2" xfId="30056" xr:uid="{00000000-0005-0000-0000-00001C530000}"/>
    <cellStyle name="Normal 3 3 19 3" xfId="12526" xr:uid="{00000000-0005-0000-0000-00001D530000}"/>
    <cellStyle name="Normal 3 3 19 3 2" xfId="30057" xr:uid="{00000000-0005-0000-0000-00001E530000}"/>
    <cellStyle name="Normal 3 3 19 4" xfId="12527" xr:uid="{00000000-0005-0000-0000-00001F530000}"/>
    <cellStyle name="Normal 3 3 19 4 2" xfId="30058" xr:uid="{00000000-0005-0000-0000-000020530000}"/>
    <cellStyle name="Normal 3 3 19 5" xfId="12528" xr:uid="{00000000-0005-0000-0000-000021530000}"/>
    <cellStyle name="Normal 3 3 19 5 2" xfId="30059" xr:uid="{00000000-0005-0000-0000-000022530000}"/>
    <cellStyle name="Normal 3 3 19 6" xfId="12529" xr:uid="{00000000-0005-0000-0000-000023530000}"/>
    <cellStyle name="Normal 3 3 19 6 2" xfId="30060" xr:uid="{00000000-0005-0000-0000-000024530000}"/>
    <cellStyle name="Normal 3 3 19 7" xfId="12530" xr:uid="{00000000-0005-0000-0000-000025530000}"/>
    <cellStyle name="Normal 3 3 19 7 2" xfId="30061" xr:uid="{00000000-0005-0000-0000-000026530000}"/>
    <cellStyle name="Normal 3 3 19 8" xfId="12531" xr:uid="{00000000-0005-0000-0000-000027530000}"/>
    <cellStyle name="Normal 3 3 19 8 2" xfId="30062" xr:uid="{00000000-0005-0000-0000-000028530000}"/>
    <cellStyle name="Normal 3 3 19 9" xfId="12532" xr:uid="{00000000-0005-0000-0000-000029530000}"/>
    <cellStyle name="Normal 3 3 19 9 2" xfId="30063" xr:uid="{00000000-0005-0000-0000-00002A530000}"/>
    <cellStyle name="Normal 3 3 2" xfId="382" xr:uid="{00000000-0005-0000-0000-00002B530000}"/>
    <cellStyle name="Normal 3 3 2 10" xfId="12534" xr:uid="{00000000-0005-0000-0000-00002C530000}"/>
    <cellStyle name="Normal 3 3 2 10 10" xfId="12535" xr:uid="{00000000-0005-0000-0000-00002D530000}"/>
    <cellStyle name="Normal 3 3 2 10 10 2" xfId="30065" xr:uid="{00000000-0005-0000-0000-00002E530000}"/>
    <cellStyle name="Normal 3 3 2 10 11" xfId="12536" xr:uid="{00000000-0005-0000-0000-00002F530000}"/>
    <cellStyle name="Normal 3 3 2 10 11 2" xfId="30066" xr:uid="{00000000-0005-0000-0000-000030530000}"/>
    <cellStyle name="Normal 3 3 2 10 12" xfId="12537" xr:uid="{00000000-0005-0000-0000-000031530000}"/>
    <cellStyle name="Normal 3 3 2 10 12 2" xfId="30067" xr:uid="{00000000-0005-0000-0000-000032530000}"/>
    <cellStyle name="Normal 3 3 2 10 13" xfId="12538" xr:uid="{00000000-0005-0000-0000-000033530000}"/>
    <cellStyle name="Normal 3 3 2 10 13 2" xfId="30068" xr:uid="{00000000-0005-0000-0000-000034530000}"/>
    <cellStyle name="Normal 3 3 2 10 14" xfId="12539" xr:uid="{00000000-0005-0000-0000-000035530000}"/>
    <cellStyle name="Normal 3 3 2 10 14 2" xfId="30069" xr:uid="{00000000-0005-0000-0000-000036530000}"/>
    <cellStyle name="Normal 3 3 2 10 15" xfId="30064" xr:uid="{00000000-0005-0000-0000-000037530000}"/>
    <cellStyle name="Normal 3 3 2 10 2" xfId="12540" xr:uid="{00000000-0005-0000-0000-000038530000}"/>
    <cellStyle name="Normal 3 3 2 10 2 2" xfId="30070" xr:uid="{00000000-0005-0000-0000-000039530000}"/>
    <cellStyle name="Normal 3 3 2 10 3" xfId="12541" xr:uid="{00000000-0005-0000-0000-00003A530000}"/>
    <cellStyle name="Normal 3 3 2 10 3 2" xfId="30071" xr:uid="{00000000-0005-0000-0000-00003B530000}"/>
    <cellStyle name="Normal 3 3 2 10 4" xfId="12542" xr:uid="{00000000-0005-0000-0000-00003C530000}"/>
    <cellStyle name="Normal 3 3 2 10 4 2" xfId="30072" xr:uid="{00000000-0005-0000-0000-00003D530000}"/>
    <cellStyle name="Normal 3 3 2 10 5" xfId="12543" xr:uid="{00000000-0005-0000-0000-00003E530000}"/>
    <cellStyle name="Normal 3 3 2 10 5 2" xfId="30073" xr:uid="{00000000-0005-0000-0000-00003F530000}"/>
    <cellStyle name="Normal 3 3 2 10 6" xfId="12544" xr:uid="{00000000-0005-0000-0000-000040530000}"/>
    <cellStyle name="Normal 3 3 2 10 6 2" xfId="30074" xr:uid="{00000000-0005-0000-0000-000041530000}"/>
    <cellStyle name="Normal 3 3 2 10 7" xfId="12545" xr:uid="{00000000-0005-0000-0000-000042530000}"/>
    <cellStyle name="Normal 3 3 2 10 7 2" xfId="30075" xr:uid="{00000000-0005-0000-0000-000043530000}"/>
    <cellStyle name="Normal 3 3 2 10 8" xfId="12546" xr:uid="{00000000-0005-0000-0000-000044530000}"/>
    <cellStyle name="Normal 3 3 2 10 8 2" xfId="30076" xr:uid="{00000000-0005-0000-0000-000045530000}"/>
    <cellStyle name="Normal 3 3 2 10 9" xfId="12547" xr:uid="{00000000-0005-0000-0000-000046530000}"/>
    <cellStyle name="Normal 3 3 2 10 9 2" xfId="30077" xr:uid="{00000000-0005-0000-0000-000047530000}"/>
    <cellStyle name="Normal 3 3 2 11" xfId="12548" xr:uid="{00000000-0005-0000-0000-000048530000}"/>
    <cellStyle name="Normal 3 3 2 11 10" xfId="12549" xr:uid="{00000000-0005-0000-0000-000049530000}"/>
    <cellStyle name="Normal 3 3 2 11 10 2" xfId="30079" xr:uid="{00000000-0005-0000-0000-00004A530000}"/>
    <cellStyle name="Normal 3 3 2 11 11" xfId="12550" xr:uid="{00000000-0005-0000-0000-00004B530000}"/>
    <cellStyle name="Normal 3 3 2 11 11 2" xfId="30080" xr:uid="{00000000-0005-0000-0000-00004C530000}"/>
    <cellStyle name="Normal 3 3 2 11 12" xfId="12551" xr:uid="{00000000-0005-0000-0000-00004D530000}"/>
    <cellStyle name="Normal 3 3 2 11 12 2" xfId="30081" xr:uid="{00000000-0005-0000-0000-00004E530000}"/>
    <cellStyle name="Normal 3 3 2 11 13" xfId="12552" xr:uid="{00000000-0005-0000-0000-00004F530000}"/>
    <cellStyle name="Normal 3 3 2 11 13 2" xfId="30082" xr:uid="{00000000-0005-0000-0000-000050530000}"/>
    <cellStyle name="Normal 3 3 2 11 14" xfId="12553" xr:uid="{00000000-0005-0000-0000-000051530000}"/>
    <cellStyle name="Normal 3 3 2 11 14 2" xfId="30083" xr:uid="{00000000-0005-0000-0000-000052530000}"/>
    <cellStyle name="Normal 3 3 2 11 15" xfId="30078" xr:uid="{00000000-0005-0000-0000-000053530000}"/>
    <cellStyle name="Normal 3 3 2 11 2" xfId="12554" xr:uid="{00000000-0005-0000-0000-000054530000}"/>
    <cellStyle name="Normal 3 3 2 11 2 2" xfId="30084" xr:uid="{00000000-0005-0000-0000-000055530000}"/>
    <cellStyle name="Normal 3 3 2 11 3" xfId="12555" xr:uid="{00000000-0005-0000-0000-000056530000}"/>
    <cellStyle name="Normal 3 3 2 11 3 2" xfId="30085" xr:uid="{00000000-0005-0000-0000-000057530000}"/>
    <cellStyle name="Normal 3 3 2 11 4" xfId="12556" xr:uid="{00000000-0005-0000-0000-000058530000}"/>
    <cellStyle name="Normal 3 3 2 11 4 2" xfId="30086" xr:uid="{00000000-0005-0000-0000-000059530000}"/>
    <cellStyle name="Normal 3 3 2 11 5" xfId="12557" xr:uid="{00000000-0005-0000-0000-00005A530000}"/>
    <cellStyle name="Normal 3 3 2 11 5 2" xfId="30087" xr:uid="{00000000-0005-0000-0000-00005B530000}"/>
    <cellStyle name="Normal 3 3 2 11 6" xfId="12558" xr:uid="{00000000-0005-0000-0000-00005C530000}"/>
    <cellStyle name="Normal 3 3 2 11 6 2" xfId="30088" xr:uid="{00000000-0005-0000-0000-00005D530000}"/>
    <cellStyle name="Normal 3 3 2 11 7" xfId="12559" xr:uid="{00000000-0005-0000-0000-00005E530000}"/>
    <cellStyle name="Normal 3 3 2 11 7 2" xfId="30089" xr:uid="{00000000-0005-0000-0000-00005F530000}"/>
    <cellStyle name="Normal 3 3 2 11 8" xfId="12560" xr:uid="{00000000-0005-0000-0000-000060530000}"/>
    <cellStyle name="Normal 3 3 2 11 8 2" xfId="30090" xr:uid="{00000000-0005-0000-0000-000061530000}"/>
    <cellStyle name="Normal 3 3 2 11 9" xfId="12561" xr:uid="{00000000-0005-0000-0000-000062530000}"/>
    <cellStyle name="Normal 3 3 2 11 9 2" xfId="30091" xr:uid="{00000000-0005-0000-0000-000063530000}"/>
    <cellStyle name="Normal 3 3 2 12" xfId="12562" xr:uid="{00000000-0005-0000-0000-000064530000}"/>
    <cellStyle name="Normal 3 3 2 12 10" xfId="12563" xr:uid="{00000000-0005-0000-0000-000065530000}"/>
    <cellStyle name="Normal 3 3 2 12 10 2" xfId="30093" xr:uid="{00000000-0005-0000-0000-000066530000}"/>
    <cellStyle name="Normal 3 3 2 12 11" xfId="12564" xr:uid="{00000000-0005-0000-0000-000067530000}"/>
    <cellStyle name="Normal 3 3 2 12 11 2" xfId="30094" xr:uid="{00000000-0005-0000-0000-000068530000}"/>
    <cellStyle name="Normal 3 3 2 12 12" xfId="12565" xr:uid="{00000000-0005-0000-0000-000069530000}"/>
    <cellStyle name="Normal 3 3 2 12 12 2" xfId="30095" xr:uid="{00000000-0005-0000-0000-00006A530000}"/>
    <cellStyle name="Normal 3 3 2 12 13" xfId="12566" xr:uid="{00000000-0005-0000-0000-00006B530000}"/>
    <cellStyle name="Normal 3 3 2 12 13 2" xfId="30096" xr:uid="{00000000-0005-0000-0000-00006C530000}"/>
    <cellStyle name="Normal 3 3 2 12 14" xfId="12567" xr:uid="{00000000-0005-0000-0000-00006D530000}"/>
    <cellStyle name="Normal 3 3 2 12 14 2" xfId="30097" xr:uid="{00000000-0005-0000-0000-00006E530000}"/>
    <cellStyle name="Normal 3 3 2 12 15" xfId="30092" xr:uid="{00000000-0005-0000-0000-00006F530000}"/>
    <cellStyle name="Normal 3 3 2 12 2" xfId="12568" xr:uid="{00000000-0005-0000-0000-000070530000}"/>
    <cellStyle name="Normal 3 3 2 12 2 2" xfId="30098" xr:uid="{00000000-0005-0000-0000-000071530000}"/>
    <cellStyle name="Normal 3 3 2 12 3" xfId="12569" xr:uid="{00000000-0005-0000-0000-000072530000}"/>
    <cellStyle name="Normal 3 3 2 12 3 2" xfId="30099" xr:uid="{00000000-0005-0000-0000-000073530000}"/>
    <cellStyle name="Normal 3 3 2 12 4" xfId="12570" xr:uid="{00000000-0005-0000-0000-000074530000}"/>
    <cellStyle name="Normal 3 3 2 12 4 2" xfId="30100" xr:uid="{00000000-0005-0000-0000-000075530000}"/>
    <cellStyle name="Normal 3 3 2 12 5" xfId="12571" xr:uid="{00000000-0005-0000-0000-000076530000}"/>
    <cellStyle name="Normal 3 3 2 12 5 2" xfId="30101" xr:uid="{00000000-0005-0000-0000-000077530000}"/>
    <cellStyle name="Normal 3 3 2 12 6" xfId="12572" xr:uid="{00000000-0005-0000-0000-000078530000}"/>
    <cellStyle name="Normal 3 3 2 12 6 2" xfId="30102" xr:uid="{00000000-0005-0000-0000-000079530000}"/>
    <cellStyle name="Normal 3 3 2 12 7" xfId="12573" xr:uid="{00000000-0005-0000-0000-00007A530000}"/>
    <cellStyle name="Normal 3 3 2 12 7 2" xfId="30103" xr:uid="{00000000-0005-0000-0000-00007B530000}"/>
    <cellStyle name="Normal 3 3 2 12 8" xfId="12574" xr:uid="{00000000-0005-0000-0000-00007C530000}"/>
    <cellStyle name="Normal 3 3 2 12 8 2" xfId="30104" xr:uid="{00000000-0005-0000-0000-00007D530000}"/>
    <cellStyle name="Normal 3 3 2 12 9" xfId="12575" xr:uid="{00000000-0005-0000-0000-00007E530000}"/>
    <cellStyle name="Normal 3 3 2 12 9 2" xfId="30105" xr:uid="{00000000-0005-0000-0000-00007F530000}"/>
    <cellStyle name="Normal 3 3 2 13" xfId="12576" xr:uid="{00000000-0005-0000-0000-000080530000}"/>
    <cellStyle name="Normal 3 3 2 13 10" xfId="12577" xr:uid="{00000000-0005-0000-0000-000081530000}"/>
    <cellStyle name="Normal 3 3 2 13 10 2" xfId="30107" xr:uid="{00000000-0005-0000-0000-000082530000}"/>
    <cellStyle name="Normal 3 3 2 13 11" xfId="12578" xr:uid="{00000000-0005-0000-0000-000083530000}"/>
    <cellStyle name="Normal 3 3 2 13 11 2" xfId="30108" xr:uid="{00000000-0005-0000-0000-000084530000}"/>
    <cellStyle name="Normal 3 3 2 13 12" xfId="12579" xr:uid="{00000000-0005-0000-0000-000085530000}"/>
    <cellStyle name="Normal 3 3 2 13 12 2" xfId="30109" xr:uid="{00000000-0005-0000-0000-000086530000}"/>
    <cellStyle name="Normal 3 3 2 13 13" xfId="12580" xr:uid="{00000000-0005-0000-0000-000087530000}"/>
    <cellStyle name="Normal 3 3 2 13 13 2" xfId="30110" xr:uid="{00000000-0005-0000-0000-000088530000}"/>
    <cellStyle name="Normal 3 3 2 13 14" xfId="12581" xr:uid="{00000000-0005-0000-0000-000089530000}"/>
    <cellStyle name="Normal 3 3 2 13 14 2" xfId="30111" xr:uid="{00000000-0005-0000-0000-00008A530000}"/>
    <cellStyle name="Normal 3 3 2 13 15" xfId="30106" xr:uid="{00000000-0005-0000-0000-00008B530000}"/>
    <cellStyle name="Normal 3 3 2 13 2" xfId="12582" xr:uid="{00000000-0005-0000-0000-00008C530000}"/>
    <cellStyle name="Normal 3 3 2 13 2 2" xfId="30112" xr:uid="{00000000-0005-0000-0000-00008D530000}"/>
    <cellStyle name="Normal 3 3 2 13 3" xfId="12583" xr:uid="{00000000-0005-0000-0000-00008E530000}"/>
    <cellStyle name="Normal 3 3 2 13 3 2" xfId="30113" xr:uid="{00000000-0005-0000-0000-00008F530000}"/>
    <cellStyle name="Normal 3 3 2 13 4" xfId="12584" xr:uid="{00000000-0005-0000-0000-000090530000}"/>
    <cellStyle name="Normal 3 3 2 13 4 2" xfId="30114" xr:uid="{00000000-0005-0000-0000-000091530000}"/>
    <cellStyle name="Normal 3 3 2 13 5" xfId="12585" xr:uid="{00000000-0005-0000-0000-000092530000}"/>
    <cellStyle name="Normal 3 3 2 13 5 2" xfId="30115" xr:uid="{00000000-0005-0000-0000-000093530000}"/>
    <cellStyle name="Normal 3 3 2 13 6" xfId="12586" xr:uid="{00000000-0005-0000-0000-000094530000}"/>
    <cellStyle name="Normal 3 3 2 13 6 2" xfId="30116" xr:uid="{00000000-0005-0000-0000-000095530000}"/>
    <cellStyle name="Normal 3 3 2 13 7" xfId="12587" xr:uid="{00000000-0005-0000-0000-000096530000}"/>
    <cellStyle name="Normal 3 3 2 13 7 2" xfId="30117" xr:uid="{00000000-0005-0000-0000-000097530000}"/>
    <cellStyle name="Normal 3 3 2 13 8" xfId="12588" xr:uid="{00000000-0005-0000-0000-000098530000}"/>
    <cellStyle name="Normal 3 3 2 13 8 2" xfId="30118" xr:uid="{00000000-0005-0000-0000-000099530000}"/>
    <cellStyle name="Normal 3 3 2 13 9" xfId="12589" xr:uid="{00000000-0005-0000-0000-00009A530000}"/>
    <cellStyle name="Normal 3 3 2 13 9 2" xfId="30119" xr:uid="{00000000-0005-0000-0000-00009B530000}"/>
    <cellStyle name="Normal 3 3 2 14" xfId="12590" xr:uid="{00000000-0005-0000-0000-00009C530000}"/>
    <cellStyle name="Normal 3 3 2 14 10" xfId="12591" xr:uid="{00000000-0005-0000-0000-00009D530000}"/>
    <cellStyle name="Normal 3 3 2 14 10 2" xfId="30121" xr:uid="{00000000-0005-0000-0000-00009E530000}"/>
    <cellStyle name="Normal 3 3 2 14 11" xfId="12592" xr:uid="{00000000-0005-0000-0000-00009F530000}"/>
    <cellStyle name="Normal 3 3 2 14 11 2" xfId="30122" xr:uid="{00000000-0005-0000-0000-0000A0530000}"/>
    <cellStyle name="Normal 3 3 2 14 12" xfId="12593" xr:uid="{00000000-0005-0000-0000-0000A1530000}"/>
    <cellStyle name="Normal 3 3 2 14 12 2" xfId="30123" xr:uid="{00000000-0005-0000-0000-0000A2530000}"/>
    <cellStyle name="Normal 3 3 2 14 13" xfId="12594" xr:uid="{00000000-0005-0000-0000-0000A3530000}"/>
    <cellStyle name="Normal 3 3 2 14 13 2" xfId="30124" xr:uid="{00000000-0005-0000-0000-0000A4530000}"/>
    <cellStyle name="Normal 3 3 2 14 14" xfId="12595" xr:uid="{00000000-0005-0000-0000-0000A5530000}"/>
    <cellStyle name="Normal 3 3 2 14 14 2" xfId="30125" xr:uid="{00000000-0005-0000-0000-0000A6530000}"/>
    <cellStyle name="Normal 3 3 2 14 15" xfId="30120" xr:uid="{00000000-0005-0000-0000-0000A7530000}"/>
    <cellStyle name="Normal 3 3 2 14 2" xfId="12596" xr:uid="{00000000-0005-0000-0000-0000A8530000}"/>
    <cellStyle name="Normal 3 3 2 14 2 2" xfId="30126" xr:uid="{00000000-0005-0000-0000-0000A9530000}"/>
    <cellStyle name="Normal 3 3 2 14 3" xfId="12597" xr:uid="{00000000-0005-0000-0000-0000AA530000}"/>
    <cellStyle name="Normal 3 3 2 14 3 2" xfId="30127" xr:uid="{00000000-0005-0000-0000-0000AB530000}"/>
    <cellStyle name="Normal 3 3 2 14 4" xfId="12598" xr:uid="{00000000-0005-0000-0000-0000AC530000}"/>
    <cellStyle name="Normal 3 3 2 14 4 2" xfId="30128" xr:uid="{00000000-0005-0000-0000-0000AD530000}"/>
    <cellStyle name="Normal 3 3 2 14 5" xfId="12599" xr:uid="{00000000-0005-0000-0000-0000AE530000}"/>
    <cellStyle name="Normal 3 3 2 14 5 2" xfId="30129" xr:uid="{00000000-0005-0000-0000-0000AF530000}"/>
    <cellStyle name="Normal 3 3 2 14 6" xfId="12600" xr:uid="{00000000-0005-0000-0000-0000B0530000}"/>
    <cellStyle name="Normal 3 3 2 14 6 2" xfId="30130" xr:uid="{00000000-0005-0000-0000-0000B1530000}"/>
    <cellStyle name="Normal 3 3 2 14 7" xfId="12601" xr:uid="{00000000-0005-0000-0000-0000B2530000}"/>
    <cellStyle name="Normal 3 3 2 14 7 2" xfId="30131" xr:uid="{00000000-0005-0000-0000-0000B3530000}"/>
    <cellStyle name="Normal 3 3 2 14 8" xfId="12602" xr:uid="{00000000-0005-0000-0000-0000B4530000}"/>
    <cellStyle name="Normal 3 3 2 14 8 2" xfId="30132" xr:uid="{00000000-0005-0000-0000-0000B5530000}"/>
    <cellStyle name="Normal 3 3 2 14 9" xfId="12603" xr:uid="{00000000-0005-0000-0000-0000B6530000}"/>
    <cellStyle name="Normal 3 3 2 14 9 2" xfId="30133" xr:uid="{00000000-0005-0000-0000-0000B7530000}"/>
    <cellStyle name="Normal 3 3 2 15" xfId="12604" xr:uid="{00000000-0005-0000-0000-0000B8530000}"/>
    <cellStyle name="Normal 3 3 2 16" xfId="12605" xr:uid="{00000000-0005-0000-0000-0000B9530000}"/>
    <cellStyle name="Normal 3 3 2 17" xfId="12606" xr:uid="{00000000-0005-0000-0000-0000BA530000}"/>
    <cellStyle name="Normal 3 3 2 17 10" xfId="12607" xr:uid="{00000000-0005-0000-0000-0000BB530000}"/>
    <cellStyle name="Normal 3 3 2 17 10 2" xfId="30135" xr:uid="{00000000-0005-0000-0000-0000BC530000}"/>
    <cellStyle name="Normal 3 3 2 17 11" xfId="12608" xr:uid="{00000000-0005-0000-0000-0000BD530000}"/>
    <cellStyle name="Normal 3 3 2 17 11 2" xfId="30136" xr:uid="{00000000-0005-0000-0000-0000BE530000}"/>
    <cellStyle name="Normal 3 3 2 17 12" xfId="12609" xr:uid="{00000000-0005-0000-0000-0000BF530000}"/>
    <cellStyle name="Normal 3 3 2 17 12 2" xfId="30137" xr:uid="{00000000-0005-0000-0000-0000C0530000}"/>
    <cellStyle name="Normal 3 3 2 17 13" xfId="12610" xr:uid="{00000000-0005-0000-0000-0000C1530000}"/>
    <cellStyle name="Normal 3 3 2 17 13 2" xfId="30138" xr:uid="{00000000-0005-0000-0000-0000C2530000}"/>
    <cellStyle name="Normal 3 3 2 17 14" xfId="12611" xr:uid="{00000000-0005-0000-0000-0000C3530000}"/>
    <cellStyle name="Normal 3 3 2 17 14 2" xfId="30139" xr:uid="{00000000-0005-0000-0000-0000C4530000}"/>
    <cellStyle name="Normal 3 3 2 17 15" xfId="30134" xr:uid="{00000000-0005-0000-0000-0000C5530000}"/>
    <cellStyle name="Normal 3 3 2 17 2" xfId="12612" xr:uid="{00000000-0005-0000-0000-0000C6530000}"/>
    <cellStyle name="Normal 3 3 2 17 2 2" xfId="30140" xr:uid="{00000000-0005-0000-0000-0000C7530000}"/>
    <cellStyle name="Normal 3 3 2 17 3" xfId="12613" xr:uid="{00000000-0005-0000-0000-0000C8530000}"/>
    <cellStyle name="Normal 3 3 2 17 3 2" xfId="30141" xr:uid="{00000000-0005-0000-0000-0000C9530000}"/>
    <cellStyle name="Normal 3 3 2 17 4" xfId="12614" xr:uid="{00000000-0005-0000-0000-0000CA530000}"/>
    <cellStyle name="Normal 3 3 2 17 4 2" xfId="30142" xr:uid="{00000000-0005-0000-0000-0000CB530000}"/>
    <cellStyle name="Normal 3 3 2 17 5" xfId="12615" xr:uid="{00000000-0005-0000-0000-0000CC530000}"/>
    <cellStyle name="Normal 3 3 2 17 5 2" xfId="30143" xr:uid="{00000000-0005-0000-0000-0000CD530000}"/>
    <cellStyle name="Normal 3 3 2 17 6" xfId="12616" xr:uid="{00000000-0005-0000-0000-0000CE530000}"/>
    <cellStyle name="Normal 3 3 2 17 6 2" xfId="30144" xr:uid="{00000000-0005-0000-0000-0000CF530000}"/>
    <cellStyle name="Normal 3 3 2 17 7" xfId="12617" xr:uid="{00000000-0005-0000-0000-0000D0530000}"/>
    <cellStyle name="Normal 3 3 2 17 7 2" xfId="30145" xr:uid="{00000000-0005-0000-0000-0000D1530000}"/>
    <cellStyle name="Normal 3 3 2 17 8" xfId="12618" xr:uid="{00000000-0005-0000-0000-0000D2530000}"/>
    <cellStyle name="Normal 3 3 2 17 8 2" xfId="30146" xr:uid="{00000000-0005-0000-0000-0000D3530000}"/>
    <cellStyle name="Normal 3 3 2 17 9" xfId="12619" xr:uid="{00000000-0005-0000-0000-0000D4530000}"/>
    <cellStyle name="Normal 3 3 2 17 9 2" xfId="30147" xr:uid="{00000000-0005-0000-0000-0000D5530000}"/>
    <cellStyle name="Normal 3 3 2 18" xfId="12620" xr:uid="{00000000-0005-0000-0000-0000D6530000}"/>
    <cellStyle name="Normal 3 3 2 18 10" xfId="12621" xr:uid="{00000000-0005-0000-0000-0000D7530000}"/>
    <cellStyle name="Normal 3 3 2 18 10 2" xfId="30149" xr:uid="{00000000-0005-0000-0000-0000D8530000}"/>
    <cellStyle name="Normal 3 3 2 18 11" xfId="12622" xr:uid="{00000000-0005-0000-0000-0000D9530000}"/>
    <cellStyle name="Normal 3 3 2 18 11 2" xfId="30150" xr:uid="{00000000-0005-0000-0000-0000DA530000}"/>
    <cellStyle name="Normal 3 3 2 18 12" xfId="12623" xr:uid="{00000000-0005-0000-0000-0000DB530000}"/>
    <cellStyle name="Normal 3 3 2 18 12 2" xfId="30151" xr:uid="{00000000-0005-0000-0000-0000DC530000}"/>
    <cellStyle name="Normal 3 3 2 18 13" xfId="12624" xr:uid="{00000000-0005-0000-0000-0000DD530000}"/>
    <cellStyle name="Normal 3 3 2 18 13 2" xfId="30152" xr:uid="{00000000-0005-0000-0000-0000DE530000}"/>
    <cellStyle name="Normal 3 3 2 18 14" xfId="12625" xr:uid="{00000000-0005-0000-0000-0000DF530000}"/>
    <cellStyle name="Normal 3 3 2 18 14 2" xfId="30153" xr:uid="{00000000-0005-0000-0000-0000E0530000}"/>
    <cellStyle name="Normal 3 3 2 18 15" xfId="30148" xr:uid="{00000000-0005-0000-0000-0000E1530000}"/>
    <cellStyle name="Normal 3 3 2 18 2" xfId="12626" xr:uid="{00000000-0005-0000-0000-0000E2530000}"/>
    <cellStyle name="Normal 3 3 2 18 2 2" xfId="30154" xr:uid="{00000000-0005-0000-0000-0000E3530000}"/>
    <cellStyle name="Normal 3 3 2 18 3" xfId="12627" xr:uid="{00000000-0005-0000-0000-0000E4530000}"/>
    <cellStyle name="Normal 3 3 2 18 3 2" xfId="30155" xr:uid="{00000000-0005-0000-0000-0000E5530000}"/>
    <cellStyle name="Normal 3 3 2 18 4" xfId="12628" xr:uid="{00000000-0005-0000-0000-0000E6530000}"/>
    <cellStyle name="Normal 3 3 2 18 4 2" xfId="30156" xr:uid="{00000000-0005-0000-0000-0000E7530000}"/>
    <cellStyle name="Normal 3 3 2 18 5" xfId="12629" xr:uid="{00000000-0005-0000-0000-0000E8530000}"/>
    <cellStyle name="Normal 3 3 2 18 5 2" xfId="30157" xr:uid="{00000000-0005-0000-0000-0000E9530000}"/>
    <cellStyle name="Normal 3 3 2 18 6" xfId="12630" xr:uid="{00000000-0005-0000-0000-0000EA530000}"/>
    <cellStyle name="Normal 3 3 2 18 6 2" xfId="30158" xr:uid="{00000000-0005-0000-0000-0000EB530000}"/>
    <cellStyle name="Normal 3 3 2 18 7" xfId="12631" xr:uid="{00000000-0005-0000-0000-0000EC530000}"/>
    <cellStyle name="Normal 3 3 2 18 7 2" xfId="30159" xr:uid="{00000000-0005-0000-0000-0000ED530000}"/>
    <cellStyle name="Normal 3 3 2 18 8" xfId="12632" xr:uid="{00000000-0005-0000-0000-0000EE530000}"/>
    <cellStyle name="Normal 3 3 2 18 8 2" xfId="30160" xr:uid="{00000000-0005-0000-0000-0000EF530000}"/>
    <cellStyle name="Normal 3 3 2 18 9" xfId="12633" xr:uid="{00000000-0005-0000-0000-0000F0530000}"/>
    <cellStyle name="Normal 3 3 2 18 9 2" xfId="30161" xr:uid="{00000000-0005-0000-0000-0000F1530000}"/>
    <cellStyle name="Normal 3 3 2 19" xfId="12533" xr:uid="{00000000-0005-0000-0000-0000F2530000}"/>
    <cellStyle name="Normal 3 3 2 2" xfId="574" xr:uid="{00000000-0005-0000-0000-0000F3530000}"/>
    <cellStyle name="Normal 3 3 2 2 10" xfId="12635" xr:uid="{00000000-0005-0000-0000-0000F4530000}"/>
    <cellStyle name="Normal 3 3 2 2 10 2" xfId="30163" xr:uid="{00000000-0005-0000-0000-0000F5530000}"/>
    <cellStyle name="Normal 3 3 2 2 11" xfId="12636" xr:uid="{00000000-0005-0000-0000-0000F6530000}"/>
    <cellStyle name="Normal 3 3 2 2 11 2" xfId="30164" xr:uid="{00000000-0005-0000-0000-0000F7530000}"/>
    <cellStyle name="Normal 3 3 2 2 12" xfId="12637" xr:uid="{00000000-0005-0000-0000-0000F8530000}"/>
    <cellStyle name="Normal 3 3 2 2 12 2" xfId="30165" xr:uid="{00000000-0005-0000-0000-0000F9530000}"/>
    <cellStyle name="Normal 3 3 2 2 13" xfId="12638" xr:uid="{00000000-0005-0000-0000-0000FA530000}"/>
    <cellStyle name="Normal 3 3 2 2 13 2" xfId="30166" xr:uid="{00000000-0005-0000-0000-0000FB530000}"/>
    <cellStyle name="Normal 3 3 2 2 14" xfId="12639" xr:uid="{00000000-0005-0000-0000-0000FC530000}"/>
    <cellStyle name="Normal 3 3 2 2 14 2" xfId="30167" xr:uid="{00000000-0005-0000-0000-0000FD530000}"/>
    <cellStyle name="Normal 3 3 2 2 15" xfId="12640" xr:uid="{00000000-0005-0000-0000-0000FE530000}"/>
    <cellStyle name="Normal 3 3 2 2 15 2" xfId="30168" xr:uid="{00000000-0005-0000-0000-0000FF530000}"/>
    <cellStyle name="Normal 3 3 2 2 16" xfId="12641" xr:uid="{00000000-0005-0000-0000-000000540000}"/>
    <cellStyle name="Normal 3 3 2 2 16 2" xfId="30169" xr:uid="{00000000-0005-0000-0000-000001540000}"/>
    <cellStyle name="Normal 3 3 2 2 17" xfId="12642" xr:uid="{00000000-0005-0000-0000-000002540000}"/>
    <cellStyle name="Normal 3 3 2 2 17 2" xfId="30170" xr:uid="{00000000-0005-0000-0000-000003540000}"/>
    <cellStyle name="Normal 3 3 2 2 18" xfId="12634" xr:uid="{00000000-0005-0000-0000-000004540000}"/>
    <cellStyle name="Normal 3 3 2 2 19" xfId="30162" xr:uid="{00000000-0005-0000-0000-000005540000}"/>
    <cellStyle name="Normal 3 3 2 2 2" xfId="12643" xr:uid="{00000000-0005-0000-0000-000006540000}"/>
    <cellStyle name="Normal 3 3 2 2 3" xfId="12644" xr:uid="{00000000-0005-0000-0000-000007540000}"/>
    <cellStyle name="Normal 3 3 2 2 4" xfId="12645" xr:uid="{00000000-0005-0000-0000-000008540000}"/>
    <cellStyle name="Normal 3 3 2 2 5" xfId="12646" xr:uid="{00000000-0005-0000-0000-000009540000}"/>
    <cellStyle name="Normal 3 3 2 2 5 2" xfId="30171" xr:uid="{00000000-0005-0000-0000-00000A540000}"/>
    <cellStyle name="Normal 3 3 2 2 6" xfId="12647" xr:uid="{00000000-0005-0000-0000-00000B540000}"/>
    <cellStyle name="Normal 3 3 2 2 6 2" xfId="30172" xr:uid="{00000000-0005-0000-0000-00000C540000}"/>
    <cellStyle name="Normal 3 3 2 2 7" xfId="12648" xr:uid="{00000000-0005-0000-0000-00000D540000}"/>
    <cellStyle name="Normal 3 3 2 2 7 2" xfId="30173" xr:uid="{00000000-0005-0000-0000-00000E540000}"/>
    <cellStyle name="Normal 3 3 2 2 8" xfId="12649" xr:uid="{00000000-0005-0000-0000-00000F540000}"/>
    <cellStyle name="Normal 3 3 2 2 8 2" xfId="30174" xr:uid="{00000000-0005-0000-0000-000010540000}"/>
    <cellStyle name="Normal 3 3 2 2 9" xfId="12650" xr:uid="{00000000-0005-0000-0000-000011540000}"/>
    <cellStyle name="Normal 3 3 2 2 9 2" xfId="30175" xr:uid="{00000000-0005-0000-0000-000012540000}"/>
    <cellStyle name="Normal 3 3 2 3" xfId="12651" xr:uid="{00000000-0005-0000-0000-000013540000}"/>
    <cellStyle name="Normal 3 3 2 4" xfId="12652" xr:uid="{00000000-0005-0000-0000-000014540000}"/>
    <cellStyle name="Normal 3 3 2 5" xfId="12653" xr:uid="{00000000-0005-0000-0000-000015540000}"/>
    <cellStyle name="Normal 3 3 2 6" xfId="12654" xr:uid="{00000000-0005-0000-0000-000016540000}"/>
    <cellStyle name="Normal 3 3 2 6 10" xfId="12655" xr:uid="{00000000-0005-0000-0000-000017540000}"/>
    <cellStyle name="Normal 3 3 2 6 10 2" xfId="30177" xr:uid="{00000000-0005-0000-0000-000018540000}"/>
    <cellStyle name="Normal 3 3 2 6 11" xfId="12656" xr:uid="{00000000-0005-0000-0000-000019540000}"/>
    <cellStyle name="Normal 3 3 2 6 11 2" xfId="30178" xr:uid="{00000000-0005-0000-0000-00001A540000}"/>
    <cellStyle name="Normal 3 3 2 6 12" xfId="12657" xr:uid="{00000000-0005-0000-0000-00001B540000}"/>
    <cellStyle name="Normal 3 3 2 6 12 2" xfId="30179" xr:uid="{00000000-0005-0000-0000-00001C540000}"/>
    <cellStyle name="Normal 3 3 2 6 13" xfId="12658" xr:uid="{00000000-0005-0000-0000-00001D540000}"/>
    <cellStyle name="Normal 3 3 2 6 13 2" xfId="30180" xr:uid="{00000000-0005-0000-0000-00001E540000}"/>
    <cellStyle name="Normal 3 3 2 6 14" xfId="12659" xr:uid="{00000000-0005-0000-0000-00001F540000}"/>
    <cellStyle name="Normal 3 3 2 6 14 2" xfId="30181" xr:uid="{00000000-0005-0000-0000-000020540000}"/>
    <cellStyle name="Normal 3 3 2 6 15" xfId="12660" xr:uid="{00000000-0005-0000-0000-000021540000}"/>
    <cellStyle name="Normal 3 3 2 6 15 2" xfId="30182" xr:uid="{00000000-0005-0000-0000-000022540000}"/>
    <cellStyle name="Normal 3 3 2 6 16" xfId="30176" xr:uid="{00000000-0005-0000-0000-000023540000}"/>
    <cellStyle name="Normal 3 3 2 6 2" xfId="12661" xr:uid="{00000000-0005-0000-0000-000024540000}"/>
    <cellStyle name="Normal 3 3 2 6 2 10" xfId="12662" xr:uid="{00000000-0005-0000-0000-000025540000}"/>
    <cellStyle name="Normal 3 3 2 6 2 10 2" xfId="30184" xr:uid="{00000000-0005-0000-0000-000026540000}"/>
    <cellStyle name="Normal 3 3 2 6 2 11" xfId="12663" xr:uid="{00000000-0005-0000-0000-000027540000}"/>
    <cellStyle name="Normal 3 3 2 6 2 11 2" xfId="30185" xr:uid="{00000000-0005-0000-0000-000028540000}"/>
    <cellStyle name="Normal 3 3 2 6 2 12" xfId="12664" xr:uid="{00000000-0005-0000-0000-000029540000}"/>
    <cellStyle name="Normal 3 3 2 6 2 12 2" xfId="30186" xr:uid="{00000000-0005-0000-0000-00002A540000}"/>
    <cellStyle name="Normal 3 3 2 6 2 13" xfId="12665" xr:uid="{00000000-0005-0000-0000-00002B540000}"/>
    <cellStyle name="Normal 3 3 2 6 2 13 2" xfId="30187" xr:uid="{00000000-0005-0000-0000-00002C540000}"/>
    <cellStyle name="Normal 3 3 2 6 2 14" xfId="12666" xr:uid="{00000000-0005-0000-0000-00002D540000}"/>
    <cellStyle name="Normal 3 3 2 6 2 14 2" xfId="30188" xr:uid="{00000000-0005-0000-0000-00002E540000}"/>
    <cellStyle name="Normal 3 3 2 6 2 15" xfId="30183" xr:uid="{00000000-0005-0000-0000-00002F540000}"/>
    <cellStyle name="Normal 3 3 2 6 2 2" xfId="12667" xr:uid="{00000000-0005-0000-0000-000030540000}"/>
    <cellStyle name="Normal 3 3 2 6 2 2 2" xfId="30189" xr:uid="{00000000-0005-0000-0000-000031540000}"/>
    <cellStyle name="Normal 3 3 2 6 2 3" xfId="12668" xr:uid="{00000000-0005-0000-0000-000032540000}"/>
    <cellStyle name="Normal 3 3 2 6 2 3 2" xfId="30190" xr:uid="{00000000-0005-0000-0000-000033540000}"/>
    <cellStyle name="Normal 3 3 2 6 2 4" xfId="12669" xr:uid="{00000000-0005-0000-0000-000034540000}"/>
    <cellStyle name="Normal 3 3 2 6 2 4 2" xfId="30191" xr:uid="{00000000-0005-0000-0000-000035540000}"/>
    <cellStyle name="Normal 3 3 2 6 2 5" xfId="12670" xr:uid="{00000000-0005-0000-0000-000036540000}"/>
    <cellStyle name="Normal 3 3 2 6 2 5 2" xfId="30192" xr:uid="{00000000-0005-0000-0000-000037540000}"/>
    <cellStyle name="Normal 3 3 2 6 2 6" xfId="12671" xr:uid="{00000000-0005-0000-0000-000038540000}"/>
    <cellStyle name="Normal 3 3 2 6 2 6 2" xfId="30193" xr:uid="{00000000-0005-0000-0000-000039540000}"/>
    <cellStyle name="Normal 3 3 2 6 2 7" xfId="12672" xr:uid="{00000000-0005-0000-0000-00003A540000}"/>
    <cellStyle name="Normal 3 3 2 6 2 7 2" xfId="30194" xr:uid="{00000000-0005-0000-0000-00003B540000}"/>
    <cellStyle name="Normal 3 3 2 6 2 8" xfId="12673" xr:uid="{00000000-0005-0000-0000-00003C540000}"/>
    <cellStyle name="Normal 3 3 2 6 2 8 2" xfId="30195" xr:uid="{00000000-0005-0000-0000-00003D540000}"/>
    <cellStyle name="Normal 3 3 2 6 2 9" xfId="12674" xr:uid="{00000000-0005-0000-0000-00003E540000}"/>
    <cellStyle name="Normal 3 3 2 6 2 9 2" xfId="30196" xr:uid="{00000000-0005-0000-0000-00003F540000}"/>
    <cellStyle name="Normal 3 3 2 6 3" xfId="12675" xr:uid="{00000000-0005-0000-0000-000040540000}"/>
    <cellStyle name="Normal 3 3 2 6 3 2" xfId="30197" xr:uid="{00000000-0005-0000-0000-000041540000}"/>
    <cellStyle name="Normal 3 3 2 6 4" xfId="12676" xr:uid="{00000000-0005-0000-0000-000042540000}"/>
    <cellStyle name="Normal 3 3 2 6 4 2" xfId="30198" xr:uid="{00000000-0005-0000-0000-000043540000}"/>
    <cellStyle name="Normal 3 3 2 6 5" xfId="12677" xr:uid="{00000000-0005-0000-0000-000044540000}"/>
    <cellStyle name="Normal 3 3 2 6 5 2" xfId="30199" xr:uid="{00000000-0005-0000-0000-000045540000}"/>
    <cellStyle name="Normal 3 3 2 6 6" xfId="12678" xr:uid="{00000000-0005-0000-0000-000046540000}"/>
    <cellStyle name="Normal 3 3 2 6 6 2" xfId="30200" xr:uid="{00000000-0005-0000-0000-000047540000}"/>
    <cellStyle name="Normal 3 3 2 6 7" xfId="12679" xr:uid="{00000000-0005-0000-0000-000048540000}"/>
    <cellStyle name="Normal 3 3 2 6 7 2" xfId="30201" xr:uid="{00000000-0005-0000-0000-000049540000}"/>
    <cellStyle name="Normal 3 3 2 6 8" xfId="12680" xr:uid="{00000000-0005-0000-0000-00004A540000}"/>
    <cellStyle name="Normal 3 3 2 6 8 2" xfId="30202" xr:uid="{00000000-0005-0000-0000-00004B540000}"/>
    <cellStyle name="Normal 3 3 2 6 9" xfId="12681" xr:uid="{00000000-0005-0000-0000-00004C540000}"/>
    <cellStyle name="Normal 3 3 2 6 9 2" xfId="30203" xr:uid="{00000000-0005-0000-0000-00004D540000}"/>
    <cellStyle name="Normal 3 3 2 7" xfId="12682" xr:uid="{00000000-0005-0000-0000-00004E540000}"/>
    <cellStyle name="Normal 3 3 2 7 10" xfId="12683" xr:uid="{00000000-0005-0000-0000-00004F540000}"/>
    <cellStyle name="Normal 3 3 2 7 10 2" xfId="30205" xr:uid="{00000000-0005-0000-0000-000050540000}"/>
    <cellStyle name="Normal 3 3 2 7 11" xfId="12684" xr:uid="{00000000-0005-0000-0000-000051540000}"/>
    <cellStyle name="Normal 3 3 2 7 11 2" xfId="30206" xr:uid="{00000000-0005-0000-0000-000052540000}"/>
    <cellStyle name="Normal 3 3 2 7 12" xfId="12685" xr:uid="{00000000-0005-0000-0000-000053540000}"/>
    <cellStyle name="Normal 3 3 2 7 12 2" xfId="30207" xr:uid="{00000000-0005-0000-0000-000054540000}"/>
    <cellStyle name="Normal 3 3 2 7 13" xfId="12686" xr:uid="{00000000-0005-0000-0000-000055540000}"/>
    <cellStyle name="Normal 3 3 2 7 13 2" xfId="30208" xr:uid="{00000000-0005-0000-0000-000056540000}"/>
    <cellStyle name="Normal 3 3 2 7 14" xfId="12687" xr:uid="{00000000-0005-0000-0000-000057540000}"/>
    <cellStyle name="Normal 3 3 2 7 14 2" xfId="30209" xr:uid="{00000000-0005-0000-0000-000058540000}"/>
    <cellStyle name="Normal 3 3 2 7 15" xfId="12688" xr:uid="{00000000-0005-0000-0000-000059540000}"/>
    <cellStyle name="Normal 3 3 2 7 15 2" xfId="30210" xr:uid="{00000000-0005-0000-0000-00005A540000}"/>
    <cellStyle name="Normal 3 3 2 7 16" xfId="30204" xr:uid="{00000000-0005-0000-0000-00005B540000}"/>
    <cellStyle name="Normal 3 3 2 7 2" xfId="12689" xr:uid="{00000000-0005-0000-0000-00005C540000}"/>
    <cellStyle name="Normal 3 3 2 7 2 10" xfId="12690" xr:uid="{00000000-0005-0000-0000-00005D540000}"/>
    <cellStyle name="Normal 3 3 2 7 2 10 2" xfId="30212" xr:uid="{00000000-0005-0000-0000-00005E540000}"/>
    <cellStyle name="Normal 3 3 2 7 2 11" xfId="12691" xr:uid="{00000000-0005-0000-0000-00005F540000}"/>
    <cellStyle name="Normal 3 3 2 7 2 11 2" xfId="30213" xr:uid="{00000000-0005-0000-0000-000060540000}"/>
    <cellStyle name="Normal 3 3 2 7 2 12" xfId="12692" xr:uid="{00000000-0005-0000-0000-000061540000}"/>
    <cellStyle name="Normal 3 3 2 7 2 12 2" xfId="30214" xr:uid="{00000000-0005-0000-0000-000062540000}"/>
    <cellStyle name="Normal 3 3 2 7 2 13" xfId="12693" xr:uid="{00000000-0005-0000-0000-000063540000}"/>
    <cellStyle name="Normal 3 3 2 7 2 13 2" xfId="30215" xr:uid="{00000000-0005-0000-0000-000064540000}"/>
    <cellStyle name="Normal 3 3 2 7 2 14" xfId="12694" xr:uid="{00000000-0005-0000-0000-000065540000}"/>
    <cellStyle name="Normal 3 3 2 7 2 14 2" xfId="30216" xr:uid="{00000000-0005-0000-0000-000066540000}"/>
    <cellStyle name="Normal 3 3 2 7 2 15" xfId="30211" xr:uid="{00000000-0005-0000-0000-000067540000}"/>
    <cellStyle name="Normal 3 3 2 7 2 2" xfId="12695" xr:uid="{00000000-0005-0000-0000-000068540000}"/>
    <cellStyle name="Normal 3 3 2 7 2 2 2" xfId="30217" xr:uid="{00000000-0005-0000-0000-000069540000}"/>
    <cellStyle name="Normal 3 3 2 7 2 3" xfId="12696" xr:uid="{00000000-0005-0000-0000-00006A540000}"/>
    <cellStyle name="Normal 3 3 2 7 2 3 2" xfId="30218" xr:uid="{00000000-0005-0000-0000-00006B540000}"/>
    <cellStyle name="Normal 3 3 2 7 2 4" xfId="12697" xr:uid="{00000000-0005-0000-0000-00006C540000}"/>
    <cellStyle name="Normal 3 3 2 7 2 4 2" xfId="30219" xr:uid="{00000000-0005-0000-0000-00006D540000}"/>
    <cellStyle name="Normal 3 3 2 7 2 5" xfId="12698" xr:uid="{00000000-0005-0000-0000-00006E540000}"/>
    <cellStyle name="Normal 3 3 2 7 2 5 2" xfId="30220" xr:uid="{00000000-0005-0000-0000-00006F540000}"/>
    <cellStyle name="Normal 3 3 2 7 2 6" xfId="12699" xr:uid="{00000000-0005-0000-0000-000070540000}"/>
    <cellStyle name="Normal 3 3 2 7 2 6 2" xfId="30221" xr:uid="{00000000-0005-0000-0000-000071540000}"/>
    <cellStyle name="Normal 3 3 2 7 2 7" xfId="12700" xr:uid="{00000000-0005-0000-0000-000072540000}"/>
    <cellStyle name="Normal 3 3 2 7 2 7 2" xfId="30222" xr:uid="{00000000-0005-0000-0000-000073540000}"/>
    <cellStyle name="Normal 3 3 2 7 2 8" xfId="12701" xr:uid="{00000000-0005-0000-0000-000074540000}"/>
    <cellStyle name="Normal 3 3 2 7 2 8 2" xfId="30223" xr:uid="{00000000-0005-0000-0000-000075540000}"/>
    <cellStyle name="Normal 3 3 2 7 2 9" xfId="12702" xr:uid="{00000000-0005-0000-0000-000076540000}"/>
    <cellStyle name="Normal 3 3 2 7 2 9 2" xfId="30224" xr:uid="{00000000-0005-0000-0000-000077540000}"/>
    <cellStyle name="Normal 3 3 2 7 3" xfId="12703" xr:uid="{00000000-0005-0000-0000-000078540000}"/>
    <cellStyle name="Normal 3 3 2 7 3 2" xfId="30225" xr:uid="{00000000-0005-0000-0000-000079540000}"/>
    <cellStyle name="Normal 3 3 2 7 4" xfId="12704" xr:uid="{00000000-0005-0000-0000-00007A540000}"/>
    <cellStyle name="Normal 3 3 2 7 4 2" xfId="30226" xr:uid="{00000000-0005-0000-0000-00007B540000}"/>
    <cellStyle name="Normal 3 3 2 7 5" xfId="12705" xr:uid="{00000000-0005-0000-0000-00007C540000}"/>
    <cellStyle name="Normal 3 3 2 7 5 2" xfId="30227" xr:uid="{00000000-0005-0000-0000-00007D540000}"/>
    <cellStyle name="Normal 3 3 2 7 6" xfId="12706" xr:uid="{00000000-0005-0000-0000-00007E540000}"/>
    <cellStyle name="Normal 3 3 2 7 6 2" xfId="30228" xr:uid="{00000000-0005-0000-0000-00007F540000}"/>
    <cellStyle name="Normal 3 3 2 7 7" xfId="12707" xr:uid="{00000000-0005-0000-0000-000080540000}"/>
    <cellStyle name="Normal 3 3 2 7 7 2" xfId="30229" xr:uid="{00000000-0005-0000-0000-000081540000}"/>
    <cellStyle name="Normal 3 3 2 7 8" xfId="12708" xr:uid="{00000000-0005-0000-0000-000082540000}"/>
    <cellStyle name="Normal 3 3 2 7 8 2" xfId="30230" xr:uid="{00000000-0005-0000-0000-000083540000}"/>
    <cellStyle name="Normal 3 3 2 7 9" xfId="12709" xr:uid="{00000000-0005-0000-0000-000084540000}"/>
    <cellStyle name="Normal 3 3 2 7 9 2" xfId="30231" xr:uid="{00000000-0005-0000-0000-000085540000}"/>
    <cellStyle name="Normal 3 3 2 8" xfId="12710" xr:uid="{00000000-0005-0000-0000-000086540000}"/>
    <cellStyle name="Normal 3 3 2 8 10" xfId="12711" xr:uid="{00000000-0005-0000-0000-000087540000}"/>
    <cellStyle name="Normal 3 3 2 8 10 2" xfId="30233" xr:uid="{00000000-0005-0000-0000-000088540000}"/>
    <cellStyle name="Normal 3 3 2 8 11" xfId="12712" xr:uid="{00000000-0005-0000-0000-000089540000}"/>
    <cellStyle name="Normal 3 3 2 8 11 2" xfId="30234" xr:uid="{00000000-0005-0000-0000-00008A540000}"/>
    <cellStyle name="Normal 3 3 2 8 12" xfId="12713" xr:uid="{00000000-0005-0000-0000-00008B540000}"/>
    <cellStyle name="Normal 3 3 2 8 12 2" xfId="30235" xr:uid="{00000000-0005-0000-0000-00008C540000}"/>
    <cellStyle name="Normal 3 3 2 8 13" xfId="12714" xr:uid="{00000000-0005-0000-0000-00008D540000}"/>
    <cellStyle name="Normal 3 3 2 8 13 2" xfId="30236" xr:uid="{00000000-0005-0000-0000-00008E540000}"/>
    <cellStyle name="Normal 3 3 2 8 14" xfId="12715" xr:uid="{00000000-0005-0000-0000-00008F540000}"/>
    <cellStyle name="Normal 3 3 2 8 14 2" xfId="30237" xr:uid="{00000000-0005-0000-0000-000090540000}"/>
    <cellStyle name="Normal 3 3 2 8 15" xfId="12716" xr:uid="{00000000-0005-0000-0000-000091540000}"/>
    <cellStyle name="Normal 3 3 2 8 15 2" xfId="30238" xr:uid="{00000000-0005-0000-0000-000092540000}"/>
    <cellStyle name="Normal 3 3 2 8 16" xfId="30232" xr:uid="{00000000-0005-0000-0000-000093540000}"/>
    <cellStyle name="Normal 3 3 2 8 2" xfId="12717" xr:uid="{00000000-0005-0000-0000-000094540000}"/>
    <cellStyle name="Normal 3 3 2 8 2 10" xfId="12718" xr:uid="{00000000-0005-0000-0000-000095540000}"/>
    <cellStyle name="Normal 3 3 2 8 2 10 2" xfId="30240" xr:uid="{00000000-0005-0000-0000-000096540000}"/>
    <cellStyle name="Normal 3 3 2 8 2 11" xfId="12719" xr:uid="{00000000-0005-0000-0000-000097540000}"/>
    <cellStyle name="Normal 3 3 2 8 2 11 2" xfId="30241" xr:uid="{00000000-0005-0000-0000-000098540000}"/>
    <cellStyle name="Normal 3 3 2 8 2 12" xfId="12720" xr:uid="{00000000-0005-0000-0000-000099540000}"/>
    <cellStyle name="Normal 3 3 2 8 2 12 2" xfId="30242" xr:uid="{00000000-0005-0000-0000-00009A540000}"/>
    <cellStyle name="Normal 3 3 2 8 2 13" xfId="12721" xr:uid="{00000000-0005-0000-0000-00009B540000}"/>
    <cellStyle name="Normal 3 3 2 8 2 13 2" xfId="30243" xr:uid="{00000000-0005-0000-0000-00009C540000}"/>
    <cellStyle name="Normal 3 3 2 8 2 14" xfId="12722" xr:uid="{00000000-0005-0000-0000-00009D540000}"/>
    <cellStyle name="Normal 3 3 2 8 2 14 2" xfId="30244" xr:uid="{00000000-0005-0000-0000-00009E540000}"/>
    <cellStyle name="Normal 3 3 2 8 2 15" xfId="30239" xr:uid="{00000000-0005-0000-0000-00009F540000}"/>
    <cellStyle name="Normal 3 3 2 8 2 2" xfId="12723" xr:uid="{00000000-0005-0000-0000-0000A0540000}"/>
    <cellStyle name="Normal 3 3 2 8 2 2 2" xfId="30245" xr:uid="{00000000-0005-0000-0000-0000A1540000}"/>
    <cellStyle name="Normal 3 3 2 8 2 3" xfId="12724" xr:uid="{00000000-0005-0000-0000-0000A2540000}"/>
    <cellStyle name="Normal 3 3 2 8 2 3 2" xfId="30246" xr:uid="{00000000-0005-0000-0000-0000A3540000}"/>
    <cellStyle name="Normal 3 3 2 8 2 4" xfId="12725" xr:uid="{00000000-0005-0000-0000-0000A4540000}"/>
    <cellStyle name="Normal 3 3 2 8 2 4 2" xfId="30247" xr:uid="{00000000-0005-0000-0000-0000A5540000}"/>
    <cellStyle name="Normal 3 3 2 8 2 5" xfId="12726" xr:uid="{00000000-0005-0000-0000-0000A6540000}"/>
    <cellStyle name="Normal 3 3 2 8 2 5 2" xfId="30248" xr:uid="{00000000-0005-0000-0000-0000A7540000}"/>
    <cellStyle name="Normal 3 3 2 8 2 6" xfId="12727" xr:uid="{00000000-0005-0000-0000-0000A8540000}"/>
    <cellStyle name="Normal 3 3 2 8 2 6 2" xfId="30249" xr:uid="{00000000-0005-0000-0000-0000A9540000}"/>
    <cellStyle name="Normal 3 3 2 8 2 7" xfId="12728" xr:uid="{00000000-0005-0000-0000-0000AA540000}"/>
    <cellStyle name="Normal 3 3 2 8 2 7 2" xfId="30250" xr:uid="{00000000-0005-0000-0000-0000AB540000}"/>
    <cellStyle name="Normal 3 3 2 8 2 8" xfId="12729" xr:uid="{00000000-0005-0000-0000-0000AC540000}"/>
    <cellStyle name="Normal 3 3 2 8 2 8 2" xfId="30251" xr:uid="{00000000-0005-0000-0000-0000AD540000}"/>
    <cellStyle name="Normal 3 3 2 8 2 9" xfId="12730" xr:uid="{00000000-0005-0000-0000-0000AE540000}"/>
    <cellStyle name="Normal 3 3 2 8 2 9 2" xfId="30252" xr:uid="{00000000-0005-0000-0000-0000AF540000}"/>
    <cellStyle name="Normal 3 3 2 8 3" xfId="12731" xr:uid="{00000000-0005-0000-0000-0000B0540000}"/>
    <cellStyle name="Normal 3 3 2 8 3 2" xfId="30253" xr:uid="{00000000-0005-0000-0000-0000B1540000}"/>
    <cellStyle name="Normal 3 3 2 8 4" xfId="12732" xr:uid="{00000000-0005-0000-0000-0000B2540000}"/>
    <cellStyle name="Normal 3 3 2 8 4 2" xfId="30254" xr:uid="{00000000-0005-0000-0000-0000B3540000}"/>
    <cellStyle name="Normal 3 3 2 8 5" xfId="12733" xr:uid="{00000000-0005-0000-0000-0000B4540000}"/>
    <cellStyle name="Normal 3 3 2 8 5 2" xfId="30255" xr:uid="{00000000-0005-0000-0000-0000B5540000}"/>
    <cellStyle name="Normal 3 3 2 8 6" xfId="12734" xr:uid="{00000000-0005-0000-0000-0000B6540000}"/>
    <cellStyle name="Normal 3 3 2 8 6 2" xfId="30256" xr:uid="{00000000-0005-0000-0000-0000B7540000}"/>
    <cellStyle name="Normal 3 3 2 8 7" xfId="12735" xr:uid="{00000000-0005-0000-0000-0000B8540000}"/>
    <cellStyle name="Normal 3 3 2 8 7 2" xfId="30257" xr:uid="{00000000-0005-0000-0000-0000B9540000}"/>
    <cellStyle name="Normal 3 3 2 8 8" xfId="12736" xr:uid="{00000000-0005-0000-0000-0000BA540000}"/>
    <cellStyle name="Normal 3 3 2 8 8 2" xfId="30258" xr:uid="{00000000-0005-0000-0000-0000BB540000}"/>
    <cellStyle name="Normal 3 3 2 8 9" xfId="12737" xr:uid="{00000000-0005-0000-0000-0000BC540000}"/>
    <cellStyle name="Normal 3 3 2 8 9 2" xfId="30259" xr:uid="{00000000-0005-0000-0000-0000BD540000}"/>
    <cellStyle name="Normal 3 3 2 9" xfId="12738" xr:uid="{00000000-0005-0000-0000-0000BE540000}"/>
    <cellStyle name="Normal 3 3 2 9 10" xfId="12739" xr:uid="{00000000-0005-0000-0000-0000BF540000}"/>
    <cellStyle name="Normal 3 3 2 9 10 2" xfId="30261" xr:uid="{00000000-0005-0000-0000-0000C0540000}"/>
    <cellStyle name="Normal 3 3 2 9 11" xfId="12740" xr:uid="{00000000-0005-0000-0000-0000C1540000}"/>
    <cellStyle name="Normal 3 3 2 9 11 2" xfId="30262" xr:uid="{00000000-0005-0000-0000-0000C2540000}"/>
    <cellStyle name="Normal 3 3 2 9 12" xfId="12741" xr:uid="{00000000-0005-0000-0000-0000C3540000}"/>
    <cellStyle name="Normal 3 3 2 9 12 2" xfId="30263" xr:uid="{00000000-0005-0000-0000-0000C4540000}"/>
    <cellStyle name="Normal 3 3 2 9 13" xfId="12742" xr:uid="{00000000-0005-0000-0000-0000C5540000}"/>
    <cellStyle name="Normal 3 3 2 9 13 2" xfId="30264" xr:uid="{00000000-0005-0000-0000-0000C6540000}"/>
    <cellStyle name="Normal 3 3 2 9 14" xfId="12743" xr:uid="{00000000-0005-0000-0000-0000C7540000}"/>
    <cellStyle name="Normal 3 3 2 9 14 2" xfId="30265" xr:uid="{00000000-0005-0000-0000-0000C8540000}"/>
    <cellStyle name="Normal 3 3 2 9 15" xfId="30260" xr:uid="{00000000-0005-0000-0000-0000C9540000}"/>
    <cellStyle name="Normal 3 3 2 9 2" xfId="12744" xr:uid="{00000000-0005-0000-0000-0000CA540000}"/>
    <cellStyle name="Normal 3 3 2 9 2 2" xfId="30266" xr:uid="{00000000-0005-0000-0000-0000CB540000}"/>
    <cellStyle name="Normal 3 3 2 9 3" xfId="12745" xr:uid="{00000000-0005-0000-0000-0000CC540000}"/>
    <cellStyle name="Normal 3 3 2 9 3 2" xfId="30267" xr:uid="{00000000-0005-0000-0000-0000CD540000}"/>
    <cellStyle name="Normal 3 3 2 9 4" xfId="12746" xr:uid="{00000000-0005-0000-0000-0000CE540000}"/>
    <cellStyle name="Normal 3 3 2 9 4 2" xfId="30268" xr:uid="{00000000-0005-0000-0000-0000CF540000}"/>
    <cellStyle name="Normal 3 3 2 9 5" xfId="12747" xr:uid="{00000000-0005-0000-0000-0000D0540000}"/>
    <cellStyle name="Normal 3 3 2 9 5 2" xfId="30269" xr:uid="{00000000-0005-0000-0000-0000D1540000}"/>
    <cellStyle name="Normal 3 3 2 9 6" xfId="12748" xr:uid="{00000000-0005-0000-0000-0000D2540000}"/>
    <cellStyle name="Normal 3 3 2 9 6 2" xfId="30270" xr:uid="{00000000-0005-0000-0000-0000D3540000}"/>
    <cellStyle name="Normal 3 3 2 9 7" xfId="12749" xr:uid="{00000000-0005-0000-0000-0000D4540000}"/>
    <cellStyle name="Normal 3 3 2 9 7 2" xfId="30271" xr:uid="{00000000-0005-0000-0000-0000D5540000}"/>
    <cellStyle name="Normal 3 3 2 9 8" xfId="12750" xr:uid="{00000000-0005-0000-0000-0000D6540000}"/>
    <cellStyle name="Normal 3 3 2 9 8 2" xfId="30272" xr:uid="{00000000-0005-0000-0000-0000D7540000}"/>
    <cellStyle name="Normal 3 3 2 9 9" xfId="12751" xr:uid="{00000000-0005-0000-0000-0000D8540000}"/>
    <cellStyle name="Normal 3 3 2 9 9 2" xfId="30273" xr:uid="{00000000-0005-0000-0000-0000D9540000}"/>
    <cellStyle name="Normal 3 3 20" xfId="12752" xr:uid="{00000000-0005-0000-0000-0000DA540000}"/>
    <cellStyle name="Normal 3 3 20 10" xfId="12753" xr:uid="{00000000-0005-0000-0000-0000DB540000}"/>
    <cellStyle name="Normal 3 3 20 10 2" xfId="30275" xr:uid="{00000000-0005-0000-0000-0000DC540000}"/>
    <cellStyle name="Normal 3 3 20 11" xfId="12754" xr:uid="{00000000-0005-0000-0000-0000DD540000}"/>
    <cellStyle name="Normal 3 3 20 11 2" xfId="30276" xr:uid="{00000000-0005-0000-0000-0000DE540000}"/>
    <cellStyle name="Normal 3 3 20 12" xfId="12755" xr:uid="{00000000-0005-0000-0000-0000DF540000}"/>
    <cellStyle name="Normal 3 3 20 12 2" xfId="30277" xr:uid="{00000000-0005-0000-0000-0000E0540000}"/>
    <cellStyle name="Normal 3 3 20 13" xfId="12756" xr:uid="{00000000-0005-0000-0000-0000E1540000}"/>
    <cellStyle name="Normal 3 3 20 13 2" xfId="30278" xr:uid="{00000000-0005-0000-0000-0000E2540000}"/>
    <cellStyle name="Normal 3 3 20 14" xfId="12757" xr:uid="{00000000-0005-0000-0000-0000E3540000}"/>
    <cellStyle name="Normal 3 3 20 14 2" xfId="30279" xr:uid="{00000000-0005-0000-0000-0000E4540000}"/>
    <cellStyle name="Normal 3 3 20 15" xfId="12758" xr:uid="{00000000-0005-0000-0000-0000E5540000}"/>
    <cellStyle name="Normal 3 3 20 15 2" xfId="30280" xr:uid="{00000000-0005-0000-0000-0000E6540000}"/>
    <cellStyle name="Normal 3 3 20 16" xfId="30274" xr:uid="{00000000-0005-0000-0000-0000E7540000}"/>
    <cellStyle name="Normal 3 3 20 2" xfId="12759" xr:uid="{00000000-0005-0000-0000-0000E8540000}"/>
    <cellStyle name="Normal 3 3 20 2 10" xfId="12760" xr:uid="{00000000-0005-0000-0000-0000E9540000}"/>
    <cellStyle name="Normal 3 3 20 2 10 2" xfId="30282" xr:uid="{00000000-0005-0000-0000-0000EA540000}"/>
    <cellStyle name="Normal 3 3 20 2 11" xfId="12761" xr:uid="{00000000-0005-0000-0000-0000EB540000}"/>
    <cellStyle name="Normal 3 3 20 2 11 2" xfId="30283" xr:uid="{00000000-0005-0000-0000-0000EC540000}"/>
    <cellStyle name="Normal 3 3 20 2 12" xfId="12762" xr:uid="{00000000-0005-0000-0000-0000ED540000}"/>
    <cellStyle name="Normal 3 3 20 2 12 2" xfId="30284" xr:uid="{00000000-0005-0000-0000-0000EE540000}"/>
    <cellStyle name="Normal 3 3 20 2 13" xfId="12763" xr:uid="{00000000-0005-0000-0000-0000EF540000}"/>
    <cellStyle name="Normal 3 3 20 2 13 2" xfId="30285" xr:uid="{00000000-0005-0000-0000-0000F0540000}"/>
    <cellStyle name="Normal 3 3 20 2 14" xfId="12764" xr:uid="{00000000-0005-0000-0000-0000F1540000}"/>
    <cellStyle name="Normal 3 3 20 2 14 2" xfId="30286" xr:uid="{00000000-0005-0000-0000-0000F2540000}"/>
    <cellStyle name="Normal 3 3 20 2 15" xfId="30281" xr:uid="{00000000-0005-0000-0000-0000F3540000}"/>
    <cellStyle name="Normal 3 3 20 2 2" xfId="12765" xr:uid="{00000000-0005-0000-0000-0000F4540000}"/>
    <cellStyle name="Normal 3 3 20 2 2 2" xfId="30287" xr:uid="{00000000-0005-0000-0000-0000F5540000}"/>
    <cellStyle name="Normal 3 3 20 2 3" xfId="12766" xr:uid="{00000000-0005-0000-0000-0000F6540000}"/>
    <cellStyle name="Normal 3 3 20 2 3 2" xfId="30288" xr:uid="{00000000-0005-0000-0000-0000F7540000}"/>
    <cellStyle name="Normal 3 3 20 2 4" xfId="12767" xr:uid="{00000000-0005-0000-0000-0000F8540000}"/>
    <cellStyle name="Normal 3 3 20 2 4 2" xfId="30289" xr:uid="{00000000-0005-0000-0000-0000F9540000}"/>
    <cellStyle name="Normal 3 3 20 2 5" xfId="12768" xr:uid="{00000000-0005-0000-0000-0000FA540000}"/>
    <cellStyle name="Normal 3 3 20 2 5 2" xfId="30290" xr:uid="{00000000-0005-0000-0000-0000FB540000}"/>
    <cellStyle name="Normal 3 3 20 2 6" xfId="12769" xr:uid="{00000000-0005-0000-0000-0000FC540000}"/>
    <cellStyle name="Normal 3 3 20 2 6 2" xfId="30291" xr:uid="{00000000-0005-0000-0000-0000FD540000}"/>
    <cellStyle name="Normal 3 3 20 2 7" xfId="12770" xr:uid="{00000000-0005-0000-0000-0000FE540000}"/>
    <cellStyle name="Normal 3 3 20 2 7 2" xfId="30292" xr:uid="{00000000-0005-0000-0000-0000FF540000}"/>
    <cellStyle name="Normal 3 3 20 2 8" xfId="12771" xr:uid="{00000000-0005-0000-0000-000000550000}"/>
    <cellStyle name="Normal 3 3 20 2 8 2" xfId="30293" xr:uid="{00000000-0005-0000-0000-000001550000}"/>
    <cellStyle name="Normal 3 3 20 2 9" xfId="12772" xr:uid="{00000000-0005-0000-0000-000002550000}"/>
    <cellStyle name="Normal 3 3 20 2 9 2" xfId="30294" xr:uid="{00000000-0005-0000-0000-000003550000}"/>
    <cellStyle name="Normal 3 3 20 3" xfId="12773" xr:uid="{00000000-0005-0000-0000-000004550000}"/>
    <cellStyle name="Normal 3 3 20 3 2" xfId="30295" xr:uid="{00000000-0005-0000-0000-000005550000}"/>
    <cellStyle name="Normal 3 3 20 4" xfId="12774" xr:uid="{00000000-0005-0000-0000-000006550000}"/>
    <cellStyle name="Normal 3 3 20 4 2" xfId="30296" xr:uid="{00000000-0005-0000-0000-000007550000}"/>
    <cellStyle name="Normal 3 3 20 5" xfId="12775" xr:uid="{00000000-0005-0000-0000-000008550000}"/>
    <cellStyle name="Normal 3 3 20 5 2" xfId="30297" xr:uid="{00000000-0005-0000-0000-000009550000}"/>
    <cellStyle name="Normal 3 3 20 6" xfId="12776" xr:uid="{00000000-0005-0000-0000-00000A550000}"/>
    <cellStyle name="Normal 3 3 20 6 2" xfId="30298" xr:uid="{00000000-0005-0000-0000-00000B550000}"/>
    <cellStyle name="Normal 3 3 20 7" xfId="12777" xr:uid="{00000000-0005-0000-0000-00000C550000}"/>
    <cellStyle name="Normal 3 3 20 7 2" xfId="30299" xr:uid="{00000000-0005-0000-0000-00000D550000}"/>
    <cellStyle name="Normal 3 3 20 8" xfId="12778" xr:uid="{00000000-0005-0000-0000-00000E550000}"/>
    <cellStyle name="Normal 3 3 20 8 2" xfId="30300" xr:uid="{00000000-0005-0000-0000-00000F550000}"/>
    <cellStyle name="Normal 3 3 20 9" xfId="12779" xr:uid="{00000000-0005-0000-0000-000010550000}"/>
    <cellStyle name="Normal 3 3 20 9 2" xfId="30301" xr:uid="{00000000-0005-0000-0000-000011550000}"/>
    <cellStyle name="Normal 3 3 21" xfId="12780" xr:uid="{00000000-0005-0000-0000-000012550000}"/>
    <cellStyle name="Normal 3 3 21 10" xfId="12781" xr:uid="{00000000-0005-0000-0000-000013550000}"/>
    <cellStyle name="Normal 3 3 21 10 2" xfId="30303" xr:uid="{00000000-0005-0000-0000-000014550000}"/>
    <cellStyle name="Normal 3 3 21 11" xfId="12782" xr:uid="{00000000-0005-0000-0000-000015550000}"/>
    <cellStyle name="Normal 3 3 21 11 2" xfId="30304" xr:uid="{00000000-0005-0000-0000-000016550000}"/>
    <cellStyle name="Normal 3 3 21 12" xfId="12783" xr:uid="{00000000-0005-0000-0000-000017550000}"/>
    <cellStyle name="Normal 3 3 21 12 2" xfId="30305" xr:uid="{00000000-0005-0000-0000-000018550000}"/>
    <cellStyle name="Normal 3 3 21 13" xfId="12784" xr:uid="{00000000-0005-0000-0000-000019550000}"/>
    <cellStyle name="Normal 3 3 21 13 2" xfId="30306" xr:uid="{00000000-0005-0000-0000-00001A550000}"/>
    <cellStyle name="Normal 3 3 21 14" xfId="12785" xr:uid="{00000000-0005-0000-0000-00001B550000}"/>
    <cellStyle name="Normal 3 3 21 14 2" xfId="30307" xr:uid="{00000000-0005-0000-0000-00001C550000}"/>
    <cellStyle name="Normal 3 3 21 15" xfId="12786" xr:uid="{00000000-0005-0000-0000-00001D550000}"/>
    <cellStyle name="Normal 3 3 21 15 2" xfId="30308" xr:uid="{00000000-0005-0000-0000-00001E550000}"/>
    <cellStyle name="Normal 3 3 21 16" xfId="30302" xr:uid="{00000000-0005-0000-0000-00001F550000}"/>
    <cellStyle name="Normal 3 3 21 2" xfId="12787" xr:uid="{00000000-0005-0000-0000-000020550000}"/>
    <cellStyle name="Normal 3 3 21 2 10" xfId="12788" xr:uid="{00000000-0005-0000-0000-000021550000}"/>
    <cellStyle name="Normal 3 3 21 2 10 2" xfId="30310" xr:uid="{00000000-0005-0000-0000-000022550000}"/>
    <cellStyle name="Normal 3 3 21 2 11" xfId="12789" xr:uid="{00000000-0005-0000-0000-000023550000}"/>
    <cellStyle name="Normal 3 3 21 2 11 2" xfId="30311" xr:uid="{00000000-0005-0000-0000-000024550000}"/>
    <cellStyle name="Normal 3 3 21 2 12" xfId="12790" xr:uid="{00000000-0005-0000-0000-000025550000}"/>
    <cellStyle name="Normal 3 3 21 2 12 2" xfId="30312" xr:uid="{00000000-0005-0000-0000-000026550000}"/>
    <cellStyle name="Normal 3 3 21 2 13" xfId="12791" xr:uid="{00000000-0005-0000-0000-000027550000}"/>
    <cellStyle name="Normal 3 3 21 2 13 2" xfId="30313" xr:uid="{00000000-0005-0000-0000-000028550000}"/>
    <cellStyle name="Normal 3 3 21 2 14" xfId="12792" xr:uid="{00000000-0005-0000-0000-000029550000}"/>
    <cellStyle name="Normal 3 3 21 2 14 2" xfId="30314" xr:uid="{00000000-0005-0000-0000-00002A550000}"/>
    <cellStyle name="Normal 3 3 21 2 15" xfId="30309" xr:uid="{00000000-0005-0000-0000-00002B550000}"/>
    <cellStyle name="Normal 3 3 21 2 2" xfId="12793" xr:uid="{00000000-0005-0000-0000-00002C550000}"/>
    <cellStyle name="Normal 3 3 21 2 2 2" xfId="30315" xr:uid="{00000000-0005-0000-0000-00002D550000}"/>
    <cellStyle name="Normal 3 3 21 2 3" xfId="12794" xr:uid="{00000000-0005-0000-0000-00002E550000}"/>
    <cellStyle name="Normal 3 3 21 2 3 2" xfId="30316" xr:uid="{00000000-0005-0000-0000-00002F550000}"/>
    <cellStyle name="Normal 3 3 21 2 4" xfId="12795" xr:uid="{00000000-0005-0000-0000-000030550000}"/>
    <cellStyle name="Normal 3 3 21 2 4 2" xfId="30317" xr:uid="{00000000-0005-0000-0000-000031550000}"/>
    <cellStyle name="Normal 3 3 21 2 5" xfId="12796" xr:uid="{00000000-0005-0000-0000-000032550000}"/>
    <cellStyle name="Normal 3 3 21 2 5 2" xfId="30318" xr:uid="{00000000-0005-0000-0000-000033550000}"/>
    <cellStyle name="Normal 3 3 21 2 6" xfId="12797" xr:uid="{00000000-0005-0000-0000-000034550000}"/>
    <cellStyle name="Normal 3 3 21 2 6 2" xfId="30319" xr:uid="{00000000-0005-0000-0000-000035550000}"/>
    <cellStyle name="Normal 3 3 21 2 7" xfId="12798" xr:uid="{00000000-0005-0000-0000-000036550000}"/>
    <cellStyle name="Normal 3 3 21 2 7 2" xfId="30320" xr:uid="{00000000-0005-0000-0000-000037550000}"/>
    <cellStyle name="Normal 3 3 21 2 8" xfId="12799" xr:uid="{00000000-0005-0000-0000-000038550000}"/>
    <cellStyle name="Normal 3 3 21 2 8 2" xfId="30321" xr:uid="{00000000-0005-0000-0000-000039550000}"/>
    <cellStyle name="Normal 3 3 21 2 9" xfId="12800" xr:uid="{00000000-0005-0000-0000-00003A550000}"/>
    <cellStyle name="Normal 3 3 21 2 9 2" xfId="30322" xr:uid="{00000000-0005-0000-0000-00003B550000}"/>
    <cellStyle name="Normal 3 3 21 3" xfId="12801" xr:uid="{00000000-0005-0000-0000-00003C550000}"/>
    <cellStyle name="Normal 3 3 21 3 2" xfId="30323" xr:uid="{00000000-0005-0000-0000-00003D550000}"/>
    <cellStyle name="Normal 3 3 21 4" xfId="12802" xr:uid="{00000000-0005-0000-0000-00003E550000}"/>
    <cellStyle name="Normal 3 3 21 4 2" xfId="30324" xr:uid="{00000000-0005-0000-0000-00003F550000}"/>
    <cellStyle name="Normal 3 3 21 5" xfId="12803" xr:uid="{00000000-0005-0000-0000-000040550000}"/>
    <cellStyle name="Normal 3 3 21 5 2" xfId="30325" xr:uid="{00000000-0005-0000-0000-000041550000}"/>
    <cellStyle name="Normal 3 3 21 6" xfId="12804" xr:uid="{00000000-0005-0000-0000-000042550000}"/>
    <cellStyle name="Normal 3 3 21 6 2" xfId="30326" xr:uid="{00000000-0005-0000-0000-000043550000}"/>
    <cellStyle name="Normal 3 3 21 7" xfId="12805" xr:uid="{00000000-0005-0000-0000-000044550000}"/>
    <cellStyle name="Normal 3 3 21 7 2" xfId="30327" xr:uid="{00000000-0005-0000-0000-000045550000}"/>
    <cellStyle name="Normal 3 3 21 8" xfId="12806" xr:uid="{00000000-0005-0000-0000-000046550000}"/>
    <cellStyle name="Normal 3 3 21 8 2" xfId="30328" xr:uid="{00000000-0005-0000-0000-000047550000}"/>
    <cellStyle name="Normal 3 3 21 9" xfId="12807" xr:uid="{00000000-0005-0000-0000-000048550000}"/>
    <cellStyle name="Normal 3 3 21 9 2" xfId="30329" xr:uid="{00000000-0005-0000-0000-000049550000}"/>
    <cellStyle name="Normal 3 3 22" xfId="12808" xr:uid="{00000000-0005-0000-0000-00004A550000}"/>
    <cellStyle name="Normal 3 3 22 10" xfId="12809" xr:uid="{00000000-0005-0000-0000-00004B550000}"/>
    <cellStyle name="Normal 3 3 22 10 2" xfId="30331" xr:uid="{00000000-0005-0000-0000-00004C550000}"/>
    <cellStyle name="Normal 3 3 22 11" xfId="12810" xr:uid="{00000000-0005-0000-0000-00004D550000}"/>
    <cellStyle name="Normal 3 3 22 11 2" xfId="30332" xr:uid="{00000000-0005-0000-0000-00004E550000}"/>
    <cellStyle name="Normal 3 3 22 12" xfId="12811" xr:uid="{00000000-0005-0000-0000-00004F550000}"/>
    <cellStyle name="Normal 3 3 22 12 2" xfId="30333" xr:uid="{00000000-0005-0000-0000-000050550000}"/>
    <cellStyle name="Normal 3 3 22 13" xfId="12812" xr:uid="{00000000-0005-0000-0000-000051550000}"/>
    <cellStyle name="Normal 3 3 22 13 2" xfId="30334" xr:uid="{00000000-0005-0000-0000-000052550000}"/>
    <cellStyle name="Normal 3 3 22 14" xfId="12813" xr:uid="{00000000-0005-0000-0000-000053550000}"/>
    <cellStyle name="Normal 3 3 22 14 2" xfId="30335" xr:uid="{00000000-0005-0000-0000-000054550000}"/>
    <cellStyle name="Normal 3 3 22 15" xfId="30330" xr:uid="{00000000-0005-0000-0000-000055550000}"/>
    <cellStyle name="Normal 3 3 22 2" xfId="12814" xr:uid="{00000000-0005-0000-0000-000056550000}"/>
    <cellStyle name="Normal 3 3 22 2 2" xfId="30336" xr:uid="{00000000-0005-0000-0000-000057550000}"/>
    <cellStyle name="Normal 3 3 22 3" xfId="12815" xr:uid="{00000000-0005-0000-0000-000058550000}"/>
    <cellStyle name="Normal 3 3 22 3 2" xfId="30337" xr:uid="{00000000-0005-0000-0000-000059550000}"/>
    <cellStyle name="Normal 3 3 22 4" xfId="12816" xr:uid="{00000000-0005-0000-0000-00005A550000}"/>
    <cellStyle name="Normal 3 3 22 4 2" xfId="30338" xr:uid="{00000000-0005-0000-0000-00005B550000}"/>
    <cellStyle name="Normal 3 3 22 5" xfId="12817" xr:uid="{00000000-0005-0000-0000-00005C550000}"/>
    <cellStyle name="Normal 3 3 22 5 2" xfId="30339" xr:uid="{00000000-0005-0000-0000-00005D550000}"/>
    <cellStyle name="Normal 3 3 22 6" xfId="12818" xr:uid="{00000000-0005-0000-0000-00005E550000}"/>
    <cellStyle name="Normal 3 3 22 6 2" xfId="30340" xr:uid="{00000000-0005-0000-0000-00005F550000}"/>
    <cellStyle name="Normal 3 3 22 7" xfId="12819" xr:uid="{00000000-0005-0000-0000-000060550000}"/>
    <cellStyle name="Normal 3 3 22 7 2" xfId="30341" xr:uid="{00000000-0005-0000-0000-000061550000}"/>
    <cellStyle name="Normal 3 3 22 8" xfId="12820" xr:uid="{00000000-0005-0000-0000-000062550000}"/>
    <cellStyle name="Normal 3 3 22 8 2" xfId="30342" xr:uid="{00000000-0005-0000-0000-000063550000}"/>
    <cellStyle name="Normal 3 3 22 9" xfId="12821" xr:uid="{00000000-0005-0000-0000-000064550000}"/>
    <cellStyle name="Normal 3 3 22 9 2" xfId="30343" xr:uid="{00000000-0005-0000-0000-000065550000}"/>
    <cellStyle name="Normal 3 3 23" xfId="12822" xr:uid="{00000000-0005-0000-0000-000066550000}"/>
    <cellStyle name="Normal 3 3 23 10" xfId="12823" xr:uid="{00000000-0005-0000-0000-000067550000}"/>
    <cellStyle name="Normal 3 3 23 10 2" xfId="30345" xr:uid="{00000000-0005-0000-0000-000068550000}"/>
    <cellStyle name="Normal 3 3 23 11" xfId="12824" xr:uid="{00000000-0005-0000-0000-000069550000}"/>
    <cellStyle name="Normal 3 3 23 11 2" xfId="30346" xr:uid="{00000000-0005-0000-0000-00006A550000}"/>
    <cellStyle name="Normal 3 3 23 12" xfId="12825" xr:uid="{00000000-0005-0000-0000-00006B550000}"/>
    <cellStyle name="Normal 3 3 23 12 2" xfId="30347" xr:uid="{00000000-0005-0000-0000-00006C550000}"/>
    <cellStyle name="Normal 3 3 23 13" xfId="12826" xr:uid="{00000000-0005-0000-0000-00006D550000}"/>
    <cellStyle name="Normal 3 3 23 13 2" xfId="30348" xr:uid="{00000000-0005-0000-0000-00006E550000}"/>
    <cellStyle name="Normal 3 3 23 14" xfId="12827" xr:uid="{00000000-0005-0000-0000-00006F550000}"/>
    <cellStyle name="Normal 3 3 23 14 2" xfId="30349" xr:uid="{00000000-0005-0000-0000-000070550000}"/>
    <cellStyle name="Normal 3 3 23 15" xfId="30344" xr:uid="{00000000-0005-0000-0000-000071550000}"/>
    <cellStyle name="Normal 3 3 23 2" xfId="12828" xr:uid="{00000000-0005-0000-0000-000072550000}"/>
    <cellStyle name="Normal 3 3 23 2 2" xfId="30350" xr:uid="{00000000-0005-0000-0000-000073550000}"/>
    <cellStyle name="Normal 3 3 23 3" xfId="12829" xr:uid="{00000000-0005-0000-0000-000074550000}"/>
    <cellStyle name="Normal 3 3 23 3 2" xfId="30351" xr:uid="{00000000-0005-0000-0000-000075550000}"/>
    <cellStyle name="Normal 3 3 23 4" xfId="12830" xr:uid="{00000000-0005-0000-0000-000076550000}"/>
    <cellStyle name="Normal 3 3 23 4 2" xfId="30352" xr:uid="{00000000-0005-0000-0000-000077550000}"/>
    <cellStyle name="Normal 3 3 23 5" xfId="12831" xr:uid="{00000000-0005-0000-0000-000078550000}"/>
    <cellStyle name="Normal 3 3 23 5 2" xfId="30353" xr:uid="{00000000-0005-0000-0000-000079550000}"/>
    <cellStyle name="Normal 3 3 23 6" xfId="12832" xr:uid="{00000000-0005-0000-0000-00007A550000}"/>
    <cellStyle name="Normal 3 3 23 6 2" xfId="30354" xr:uid="{00000000-0005-0000-0000-00007B550000}"/>
    <cellStyle name="Normal 3 3 23 7" xfId="12833" xr:uid="{00000000-0005-0000-0000-00007C550000}"/>
    <cellStyle name="Normal 3 3 23 7 2" xfId="30355" xr:uid="{00000000-0005-0000-0000-00007D550000}"/>
    <cellStyle name="Normal 3 3 23 8" xfId="12834" xr:uid="{00000000-0005-0000-0000-00007E550000}"/>
    <cellStyle name="Normal 3 3 23 8 2" xfId="30356" xr:uid="{00000000-0005-0000-0000-00007F550000}"/>
    <cellStyle name="Normal 3 3 23 9" xfId="12835" xr:uid="{00000000-0005-0000-0000-000080550000}"/>
    <cellStyle name="Normal 3 3 23 9 2" xfId="30357" xr:uid="{00000000-0005-0000-0000-000081550000}"/>
    <cellStyle name="Normal 3 3 24" xfId="12836" xr:uid="{00000000-0005-0000-0000-000082550000}"/>
    <cellStyle name="Normal 3 3 24 10" xfId="12837" xr:uid="{00000000-0005-0000-0000-000083550000}"/>
    <cellStyle name="Normal 3 3 24 10 2" xfId="30359" xr:uid="{00000000-0005-0000-0000-000084550000}"/>
    <cellStyle name="Normal 3 3 24 11" xfId="12838" xr:uid="{00000000-0005-0000-0000-000085550000}"/>
    <cellStyle name="Normal 3 3 24 11 2" xfId="30360" xr:uid="{00000000-0005-0000-0000-000086550000}"/>
    <cellStyle name="Normal 3 3 24 12" xfId="12839" xr:uid="{00000000-0005-0000-0000-000087550000}"/>
    <cellStyle name="Normal 3 3 24 12 2" xfId="30361" xr:uid="{00000000-0005-0000-0000-000088550000}"/>
    <cellStyle name="Normal 3 3 24 13" xfId="12840" xr:uid="{00000000-0005-0000-0000-000089550000}"/>
    <cellStyle name="Normal 3 3 24 13 2" xfId="30362" xr:uid="{00000000-0005-0000-0000-00008A550000}"/>
    <cellStyle name="Normal 3 3 24 14" xfId="12841" xr:uid="{00000000-0005-0000-0000-00008B550000}"/>
    <cellStyle name="Normal 3 3 24 14 2" xfId="30363" xr:uid="{00000000-0005-0000-0000-00008C550000}"/>
    <cellStyle name="Normal 3 3 24 15" xfId="30358" xr:uid="{00000000-0005-0000-0000-00008D550000}"/>
    <cellStyle name="Normal 3 3 24 2" xfId="12842" xr:uid="{00000000-0005-0000-0000-00008E550000}"/>
    <cellStyle name="Normal 3 3 24 2 2" xfId="30364" xr:uid="{00000000-0005-0000-0000-00008F550000}"/>
    <cellStyle name="Normal 3 3 24 3" xfId="12843" xr:uid="{00000000-0005-0000-0000-000090550000}"/>
    <cellStyle name="Normal 3 3 24 3 2" xfId="30365" xr:uid="{00000000-0005-0000-0000-000091550000}"/>
    <cellStyle name="Normal 3 3 24 4" xfId="12844" xr:uid="{00000000-0005-0000-0000-000092550000}"/>
    <cellStyle name="Normal 3 3 24 4 2" xfId="30366" xr:uid="{00000000-0005-0000-0000-000093550000}"/>
    <cellStyle name="Normal 3 3 24 5" xfId="12845" xr:uid="{00000000-0005-0000-0000-000094550000}"/>
    <cellStyle name="Normal 3 3 24 5 2" xfId="30367" xr:uid="{00000000-0005-0000-0000-000095550000}"/>
    <cellStyle name="Normal 3 3 24 6" xfId="12846" xr:uid="{00000000-0005-0000-0000-000096550000}"/>
    <cellStyle name="Normal 3 3 24 6 2" xfId="30368" xr:uid="{00000000-0005-0000-0000-000097550000}"/>
    <cellStyle name="Normal 3 3 24 7" xfId="12847" xr:uid="{00000000-0005-0000-0000-000098550000}"/>
    <cellStyle name="Normal 3 3 24 7 2" xfId="30369" xr:uid="{00000000-0005-0000-0000-000099550000}"/>
    <cellStyle name="Normal 3 3 24 8" xfId="12848" xr:uid="{00000000-0005-0000-0000-00009A550000}"/>
    <cellStyle name="Normal 3 3 24 8 2" xfId="30370" xr:uid="{00000000-0005-0000-0000-00009B550000}"/>
    <cellStyle name="Normal 3 3 24 9" xfId="12849" xr:uid="{00000000-0005-0000-0000-00009C550000}"/>
    <cellStyle name="Normal 3 3 24 9 2" xfId="30371" xr:uid="{00000000-0005-0000-0000-00009D550000}"/>
    <cellStyle name="Normal 3 3 25" xfId="12850" xr:uid="{00000000-0005-0000-0000-00009E550000}"/>
    <cellStyle name="Normal 3 3 25 10" xfId="12851" xr:uid="{00000000-0005-0000-0000-00009F550000}"/>
    <cellStyle name="Normal 3 3 25 10 2" xfId="30373" xr:uid="{00000000-0005-0000-0000-0000A0550000}"/>
    <cellStyle name="Normal 3 3 25 11" xfId="12852" xr:uid="{00000000-0005-0000-0000-0000A1550000}"/>
    <cellStyle name="Normal 3 3 25 11 2" xfId="30374" xr:uid="{00000000-0005-0000-0000-0000A2550000}"/>
    <cellStyle name="Normal 3 3 25 12" xfId="12853" xr:uid="{00000000-0005-0000-0000-0000A3550000}"/>
    <cellStyle name="Normal 3 3 25 12 2" xfId="30375" xr:uid="{00000000-0005-0000-0000-0000A4550000}"/>
    <cellStyle name="Normal 3 3 25 13" xfId="12854" xr:uid="{00000000-0005-0000-0000-0000A5550000}"/>
    <cellStyle name="Normal 3 3 25 13 2" xfId="30376" xr:uid="{00000000-0005-0000-0000-0000A6550000}"/>
    <cellStyle name="Normal 3 3 25 14" xfId="12855" xr:uid="{00000000-0005-0000-0000-0000A7550000}"/>
    <cellStyle name="Normal 3 3 25 14 2" xfId="30377" xr:uid="{00000000-0005-0000-0000-0000A8550000}"/>
    <cellStyle name="Normal 3 3 25 15" xfId="30372" xr:uid="{00000000-0005-0000-0000-0000A9550000}"/>
    <cellStyle name="Normal 3 3 25 2" xfId="12856" xr:uid="{00000000-0005-0000-0000-0000AA550000}"/>
    <cellStyle name="Normal 3 3 25 2 2" xfId="30378" xr:uid="{00000000-0005-0000-0000-0000AB550000}"/>
    <cellStyle name="Normal 3 3 25 3" xfId="12857" xr:uid="{00000000-0005-0000-0000-0000AC550000}"/>
    <cellStyle name="Normal 3 3 25 3 2" xfId="30379" xr:uid="{00000000-0005-0000-0000-0000AD550000}"/>
    <cellStyle name="Normal 3 3 25 4" xfId="12858" xr:uid="{00000000-0005-0000-0000-0000AE550000}"/>
    <cellStyle name="Normal 3 3 25 4 2" xfId="30380" xr:uid="{00000000-0005-0000-0000-0000AF550000}"/>
    <cellStyle name="Normal 3 3 25 5" xfId="12859" xr:uid="{00000000-0005-0000-0000-0000B0550000}"/>
    <cellStyle name="Normal 3 3 25 5 2" xfId="30381" xr:uid="{00000000-0005-0000-0000-0000B1550000}"/>
    <cellStyle name="Normal 3 3 25 6" xfId="12860" xr:uid="{00000000-0005-0000-0000-0000B2550000}"/>
    <cellStyle name="Normal 3 3 25 6 2" xfId="30382" xr:uid="{00000000-0005-0000-0000-0000B3550000}"/>
    <cellStyle name="Normal 3 3 25 7" xfId="12861" xr:uid="{00000000-0005-0000-0000-0000B4550000}"/>
    <cellStyle name="Normal 3 3 25 7 2" xfId="30383" xr:uid="{00000000-0005-0000-0000-0000B5550000}"/>
    <cellStyle name="Normal 3 3 25 8" xfId="12862" xr:uid="{00000000-0005-0000-0000-0000B6550000}"/>
    <cellStyle name="Normal 3 3 25 8 2" xfId="30384" xr:uid="{00000000-0005-0000-0000-0000B7550000}"/>
    <cellStyle name="Normal 3 3 25 9" xfId="12863" xr:uid="{00000000-0005-0000-0000-0000B8550000}"/>
    <cellStyle name="Normal 3 3 25 9 2" xfId="30385" xr:uid="{00000000-0005-0000-0000-0000B9550000}"/>
    <cellStyle name="Normal 3 3 26" xfId="12864" xr:uid="{00000000-0005-0000-0000-0000BA550000}"/>
    <cellStyle name="Normal 3 3 26 10" xfId="12865" xr:uid="{00000000-0005-0000-0000-0000BB550000}"/>
    <cellStyle name="Normal 3 3 26 10 2" xfId="30387" xr:uid="{00000000-0005-0000-0000-0000BC550000}"/>
    <cellStyle name="Normal 3 3 26 11" xfId="12866" xr:uid="{00000000-0005-0000-0000-0000BD550000}"/>
    <cellStyle name="Normal 3 3 26 11 2" xfId="30388" xr:uid="{00000000-0005-0000-0000-0000BE550000}"/>
    <cellStyle name="Normal 3 3 26 12" xfId="12867" xr:uid="{00000000-0005-0000-0000-0000BF550000}"/>
    <cellStyle name="Normal 3 3 26 12 2" xfId="30389" xr:uid="{00000000-0005-0000-0000-0000C0550000}"/>
    <cellStyle name="Normal 3 3 26 13" xfId="12868" xr:uid="{00000000-0005-0000-0000-0000C1550000}"/>
    <cellStyle name="Normal 3 3 26 13 2" xfId="30390" xr:uid="{00000000-0005-0000-0000-0000C2550000}"/>
    <cellStyle name="Normal 3 3 26 14" xfId="12869" xr:uid="{00000000-0005-0000-0000-0000C3550000}"/>
    <cellStyle name="Normal 3 3 26 14 2" xfId="30391" xr:uid="{00000000-0005-0000-0000-0000C4550000}"/>
    <cellStyle name="Normal 3 3 26 15" xfId="30386" xr:uid="{00000000-0005-0000-0000-0000C5550000}"/>
    <cellStyle name="Normal 3 3 26 2" xfId="12870" xr:uid="{00000000-0005-0000-0000-0000C6550000}"/>
    <cellStyle name="Normal 3 3 26 2 2" xfId="30392" xr:uid="{00000000-0005-0000-0000-0000C7550000}"/>
    <cellStyle name="Normal 3 3 26 3" xfId="12871" xr:uid="{00000000-0005-0000-0000-0000C8550000}"/>
    <cellStyle name="Normal 3 3 26 3 2" xfId="30393" xr:uid="{00000000-0005-0000-0000-0000C9550000}"/>
    <cellStyle name="Normal 3 3 26 4" xfId="12872" xr:uid="{00000000-0005-0000-0000-0000CA550000}"/>
    <cellStyle name="Normal 3 3 26 4 2" xfId="30394" xr:uid="{00000000-0005-0000-0000-0000CB550000}"/>
    <cellStyle name="Normal 3 3 26 5" xfId="12873" xr:uid="{00000000-0005-0000-0000-0000CC550000}"/>
    <cellStyle name="Normal 3 3 26 5 2" xfId="30395" xr:uid="{00000000-0005-0000-0000-0000CD550000}"/>
    <cellStyle name="Normal 3 3 26 6" xfId="12874" xr:uid="{00000000-0005-0000-0000-0000CE550000}"/>
    <cellStyle name="Normal 3 3 26 6 2" xfId="30396" xr:uid="{00000000-0005-0000-0000-0000CF550000}"/>
    <cellStyle name="Normal 3 3 26 7" xfId="12875" xr:uid="{00000000-0005-0000-0000-0000D0550000}"/>
    <cellStyle name="Normal 3 3 26 7 2" xfId="30397" xr:uid="{00000000-0005-0000-0000-0000D1550000}"/>
    <cellStyle name="Normal 3 3 26 8" xfId="12876" xr:uid="{00000000-0005-0000-0000-0000D2550000}"/>
    <cellStyle name="Normal 3 3 26 8 2" xfId="30398" xr:uid="{00000000-0005-0000-0000-0000D3550000}"/>
    <cellStyle name="Normal 3 3 26 9" xfId="12877" xr:uid="{00000000-0005-0000-0000-0000D4550000}"/>
    <cellStyle name="Normal 3 3 26 9 2" xfId="30399" xr:uid="{00000000-0005-0000-0000-0000D5550000}"/>
    <cellStyle name="Normal 3 3 27" xfId="12878" xr:uid="{00000000-0005-0000-0000-0000D6550000}"/>
    <cellStyle name="Normal 3 3 27 10" xfId="12879" xr:uid="{00000000-0005-0000-0000-0000D7550000}"/>
    <cellStyle name="Normal 3 3 27 10 2" xfId="30401" xr:uid="{00000000-0005-0000-0000-0000D8550000}"/>
    <cellStyle name="Normal 3 3 27 11" xfId="12880" xr:uid="{00000000-0005-0000-0000-0000D9550000}"/>
    <cellStyle name="Normal 3 3 27 11 2" xfId="30402" xr:uid="{00000000-0005-0000-0000-0000DA550000}"/>
    <cellStyle name="Normal 3 3 27 12" xfId="12881" xr:uid="{00000000-0005-0000-0000-0000DB550000}"/>
    <cellStyle name="Normal 3 3 27 12 2" xfId="30403" xr:uid="{00000000-0005-0000-0000-0000DC550000}"/>
    <cellStyle name="Normal 3 3 27 13" xfId="12882" xr:uid="{00000000-0005-0000-0000-0000DD550000}"/>
    <cellStyle name="Normal 3 3 27 13 2" xfId="30404" xr:uid="{00000000-0005-0000-0000-0000DE550000}"/>
    <cellStyle name="Normal 3 3 27 14" xfId="12883" xr:uid="{00000000-0005-0000-0000-0000DF550000}"/>
    <cellStyle name="Normal 3 3 27 14 2" xfId="30405" xr:uid="{00000000-0005-0000-0000-0000E0550000}"/>
    <cellStyle name="Normal 3 3 27 15" xfId="30400" xr:uid="{00000000-0005-0000-0000-0000E1550000}"/>
    <cellStyle name="Normal 3 3 27 2" xfId="12884" xr:uid="{00000000-0005-0000-0000-0000E2550000}"/>
    <cellStyle name="Normal 3 3 27 2 2" xfId="30406" xr:uid="{00000000-0005-0000-0000-0000E3550000}"/>
    <cellStyle name="Normal 3 3 27 3" xfId="12885" xr:uid="{00000000-0005-0000-0000-0000E4550000}"/>
    <cellStyle name="Normal 3 3 27 3 2" xfId="30407" xr:uid="{00000000-0005-0000-0000-0000E5550000}"/>
    <cellStyle name="Normal 3 3 27 4" xfId="12886" xr:uid="{00000000-0005-0000-0000-0000E6550000}"/>
    <cellStyle name="Normal 3 3 27 4 2" xfId="30408" xr:uid="{00000000-0005-0000-0000-0000E7550000}"/>
    <cellStyle name="Normal 3 3 27 5" xfId="12887" xr:uid="{00000000-0005-0000-0000-0000E8550000}"/>
    <cellStyle name="Normal 3 3 27 5 2" xfId="30409" xr:uid="{00000000-0005-0000-0000-0000E9550000}"/>
    <cellStyle name="Normal 3 3 27 6" xfId="12888" xr:uid="{00000000-0005-0000-0000-0000EA550000}"/>
    <cellStyle name="Normal 3 3 27 6 2" xfId="30410" xr:uid="{00000000-0005-0000-0000-0000EB550000}"/>
    <cellStyle name="Normal 3 3 27 7" xfId="12889" xr:uid="{00000000-0005-0000-0000-0000EC550000}"/>
    <cellStyle name="Normal 3 3 27 7 2" xfId="30411" xr:uid="{00000000-0005-0000-0000-0000ED550000}"/>
    <cellStyle name="Normal 3 3 27 8" xfId="12890" xr:uid="{00000000-0005-0000-0000-0000EE550000}"/>
    <cellStyle name="Normal 3 3 27 8 2" xfId="30412" xr:uid="{00000000-0005-0000-0000-0000EF550000}"/>
    <cellStyle name="Normal 3 3 27 9" xfId="12891" xr:uid="{00000000-0005-0000-0000-0000F0550000}"/>
    <cellStyle name="Normal 3 3 27 9 2" xfId="30413" xr:uid="{00000000-0005-0000-0000-0000F1550000}"/>
    <cellStyle name="Normal 3 3 28" xfId="12892" xr:uid="{00000000-0005-0000-0000-0000F2550000}"/>
    <cellStyle name="Normal 3 3 29" xfId="12893" xr:uid="{00000000-0005-0000-0000-0000F3550000}"/>
    <cellStyle name="Normal 3 3 3" xfId="489" xr:uid="{00000000-0005-0000-0000-0000F4550000}"/>
    <cellStyle name="Normal 3 3 3 10" xfId="12895" xr:uid="{00000000-0005-0000-0000-0000F5550000}"/>
    <cellStyle name="Normal 3 3 3 10 10" xfId="12896" xr:uid="{00000000-0005-0000-0000-0000F6550000}"/>
    <cellStyle name="Normal 3 3 3 10 10 2" xfId="30416" xr:uid="{00000000-0005-0000-0000-0000F7550000}"/>
    <cellStyle name="Normal 3 3 3 10 11" xfId="12897" xr:uid="{00000000-0005-0000-0000-0000F8550000}"/>
    <cellStyle name="Normal 3 3 3 10 11 2" xfId="30417" xr:uid="{00000000-0005-0000-0000-0000F9550000}"/>
    <cellStyle name="Normal 3 3 3 10 12" xfId="12898" xr:uid="{00000000-0005-0000-0000-0000FA550000}"/>
    <cellStyle name="Normal 3 3 3 10 12 2" xfId="30418" xr:uid="{00000000-0005-0000-0000-0000FB550000}"/>
    <cellStyle name="Normal 3 3 3 10 13" xfId="12899" xr:uid="{00000000-0005-0000-0000-0000FC550000}"/>
    <cellStyle name="Normal 3 3 3 10 13 2" xfId="30419" xr:uid="{00000000-0005-0000-0000-0000FD550000}"/>
    <cellStyle name="Normal 3 3 3 10 14" xfId="12900" xr:uid="{00000000-0005-0000-0000-0000FE550000}"/>
    <cellStyle name="Normal 3 3 3 10 14 2" xfId="30420" xr:uid="{00000000-0005-0000-0000-0000FF550000}"/>
    <cellStyle name="Normal 3 3 3 10 15" xfId="30415" xr:uid="{00000000-0005-0000-0000-000000560000}"/>
    <cellStyle name="Normal 3 3 3 10 2" xfId="12901" xr:uid="{00000000-0005-0000-0000-000001560000}"/>
    <cellStyle name="Normal 3 3 3 10 2 2" xfId="30421" xr:uid="{00000000-0005-0000-0000-000002560000}"/>
    <cellStyle name="Normal 3 3 3 10 3" xfId="12902" xr:uid="{00000000-0005-0000-0000-000003560000}"/>
    <cellStyle name="Normal 3 3 3 10 3 2" xfId="30422" xr:uid="{00000000-0005-0000-0000-000004560000}"/>
    <cellStyle name="Normal 3 3 3 10 4" xfId="12903" xr:uid="{00000000-0005-0000-0000-000005560000}"/>
    <cellStyle name="Normal 3 3 3 10 4 2" xfId="30423" xr:uid="{00000000-0005-0000-0000-000006560000}"/>
    <cellStyle name="Normal 3 3 3 10 5" xfId="12904" xr:uid="{00000000-0005-0000-0000-000007560000}"/>
    <cellStyle name="Normal 3 3 3 10 5 2" xfId="30424" xr:uid="{00000000-0005-0000-0000-000008560000}"/>
    <cellStyle name="Normal 3 3 3 10 6" xfId="12905" xr:uid="{00000000-0005-0000-0000-000009560000}"/>
    <cellStyle name="Normal 3 3 3 10 6 2" xfId="30425" xr:uid="{00000000-0005-0000-0000-00000A560000}"/>
    <cellStyle name="Normal 3 3 3 10 7" xfId="12906" xr:uid="{00000000-0005-0000-0000-00000B560000}"/>
    <cellStyle name="Normal 3 3 3 10 7 2" xfId="30426" xr:uid="{00000000-0005-0000-0000-00000C560000}"/>
    <cellStyle name="Normal 3 3 3 10 8" xfId="12907" xr:uid="{00000000-0005-0000-0000-00000D560000}"/>
    <cellStyle name="Normal 3 3 3 10 8 2" xfId="30427" xr:uid="{00000000-0005-0000-0000-00000E560000}"/>
    <cellStyle name="Normal 3 3 3 10 9" xfId="12908" xr:uid="{00000000-0005-0000-0000-00000F560000}"/>
    <cellStyle name="Normal 3 3 3 10 9 2" xfId="30428" xr:uid="{00000000-0005-0000-0000-000010560000}"/>
    <cellStyle name="Normal 3 3 3 11" xfId="12909" xr:uid="{00000000-0005-0000-0000-000011560000}"/>
    <cellStyle name="Normal 3 3 3 11 10" xfId="12910" xr:uid="{00000000-0005-0000-0000-000012560000}"/>
    <cellStyle name="Normal 3 3 3 11 10 2" xfId="30430" xr:uid="{00000000-0005-0000-0000-000013560000}"/>
    <cellStyle name="Normal 3 3 3 11 11" xfId="12911" xr:uid="{00000000-0005-0000-0000-000014560000}"/>
    <cellStyle name="Normal 3 3 3 11 11 2" xfId="30431" xr:uid="{00000000-0005-0000-0000-000015560000}"/>
    <cellStyle name="Normal 3 3 3 11 12" xfId="12912" xr:uid="{00000000-0005-0000-0000-000016560000}"/>
    <cellStyle name="Normal 3 3 3 11 12 2" xfId="30432" xr:uid="{00000000-0005-0000-0000-000017560000}"/>
    <cellStyle name="Normal 3 3 3 11 13" xfId="12913" xr:uid="{00000000-0005-0000-0000-000018560000}"/>
    <cellStyle name="Normal 3 3 3 11 13 2" xfId="30433" xr:uid="{00000000-0005-0000-0000-000019560000}"/>
    <cellStyle name="Normal 3 3 3 11 14" xfId="12914" xr:uid="{00000000-0005-0000-0000-00001A560000}"/>
    <cellStyle name="Normal 3 3 3 11 14 2" xfId="30434" xr:uid="{00000000-0005-0000-0000-00001B560000}"/>
    <cellStyle name="Normal 3 3 3 11 15" xfId="30429" xr:uid="{00000000-0005-0000-0000-00001C560000}"/>
    <cellStyle name="Normal 3 3 3 11 2" xfId="12915" xr:uid="{00000000-0005-0000-0000-00001D560000}"/>
    <cellStyle name="Normal 3 3 3 11 2 2" xfId="30435" xr:uid="{00000000-0005-0000-0000-00001E560000}"/>
    <cellStyle name="Normal 3 3 3 11 3" xfId="12916" xr:uid="{00000000-0005-0000-0000-00001F560000}"/>
    <cellStyle name="Normal 3 3 3 11 3 2" xfId="30436" xr:uid="{00000000-0005-0000-0000-000020560000}"/>
    <cellStyle name="Normal 3 3 3 11 4" xfId="12917" xr:uid="{00000000-0005-0000-0000-000021560000}"/>
    <cellStyle name="Normal 3 3 3 11 4 2" xfId="30437" xr:uid="{00000000-0005-0000-0000-000022560000}"/>
    <cellStyle name="Normal 3 3 3 11 5" xfId="12918" xr:uid="{00000000-0005-0000-0000-000023560000}"/>
    <cellStyle name="Normal 3 3 3 11 5 2" xfId="30438" xr:uid="{00000000-0005-0000-0000-000024560000}"/>
    <cellStyle name="Normal 3 3 3 11 6" xfId="12919" xr:uid="{00000000-0005-0000-0000-000025560000}"/>
    <cellStyle name="Normal 3 3 3 11 6 2" xfId="30439" xr:uid="{00000000-0005-0000-0000-000026560000}"/>
    <cellStyle name="Normal 3 3 3 11 7" xfId="12920" xr:uid="{00000000-0005-0000-0000-000027560000}"/>
    <cellStyle name="Normal 3 3 3 11 7 2" xfId="30440" xr:uid="{00000000-0005-0000-0000-000028560000}"/>
    <cellStyle name="Normal 3 3 3 11 8" xfId="12921" xr:uid="{00000000-0005-0000-0000-000029560000}"/>
    <cellStyle name="Normal 3 3 3 11 8 2" xfId="30441" xr:uid="{00000000-0005-0000-0000-00002A560000}"/>
    <cellStyle name="Normal 3 3 3 11 9" xfId="12922" xr:uid="{00000000-0005-0000-0000-00002B560000}"/>
    <cellStyle name="Normal 3 3 3 11 9 2" xfId="30442" xr:uid="{00000000-0005-0000-0000-00002C560000}"/>
    <cellStyle name="Normal 3 3 3 12" xfId="12923" xr:uid="{00000000-0005-0000-0000-00002D560000}"/>
    <cellStyle name="Normal 3 3 3 12 10" xfId="12924" xr:uid="{00000000-0005-0000-0000-00002E560000}"/>
    <cellStyle name="Normal 3 3 3 12 10 2" xfId="30444" xr:uid="{00000000-0005-0000-0000-00002F560000}"/>
    <cellStyle name="Normal 3 3 3 12 11" xfId="12925" xr:uid="{00000000-0005-0000-0000-000030560000}"/>
    <cellStyle name="Normal 3 3 3 12 11 2" xfId="30445" xr:uid="{00000000-0005-0000-0000-000031560000}"/>
    <cellStyle name="Normal 3 3 3 12 12" xfId="12926" xr:uid="{00000000-0005-0000-0000-000032560000}"/>
    <cellStyle name="Normal 3 3 3 12 12 2" xfId="30446" xr:uid="{00000000-0005-0000-0000-000033560000}"/>
    <cellStyle name="Normal 3 3 3 12 13" xfId="12927" xr:uid="{00000000-0005-0000-0000-000034560000}"/>
    <cellStyle name="Normal 3 3 3 12 13 2" xfId="30447" xr:uid="{00000000-0005-0000-0000-000035560000}"/>
    <cellStyle name="Normal 3 3 3 12 14" xfId="12928" xr:uid="{00000000-0005-0000-0000-000036560000}"/>
    <cellStyle name="Normal 3 3 3 12 14 2" xfId="30448" xr:uid="{00000000-0005-0000-0000-000037560000}"/>
    <cellStyle name="Normal 3 3 3 12 15" xfId="30443" xr:uid="{00000000-0005-0000-0000-000038560000}"/>
    <cellStyle name="Normal 3 3 3 12 2" xfId="12929" xr:uid="{00000000-0005-0000-0000-000039560000}"/>
    <cellStyle name="Normal 3 3 3 12 2 2" xfId="30449" xr:uid="{00000000-0005-0000-0000-00003A560000}"/>
    <cellStyle name="Normal 3 3 3 12 3" xfId="12930" xr:uid="{00000000-0005-0000-0000-00003B560000}"/>
    <cellStyle name="Normal 3 3 3 12 3 2" xfId="30450" xr:uid="{00000000-0005-0000-0000-00003C560000}"/>
    <cellStyle name="Normal 3 3 3 12 4" xfId="12931" xr:uid="{00000000-0005-0000-0000-00003D560000}"/>
    <cellStyle name="Normal 3 3 3 12 4 2" xfId="30451" xr:uid="{00000000-0005-0000-0000-00003E560000}"/>
    <cellStyle name="Normal 3 3 3 12 5" xfId="12932" xr:uid="{00000000-0005-0000-0000-00003F560000}"/>
    <cellStyle name="Normal 3 3 3 12 5 2" xfId="30452" xr:uid="{00000000-0005-0000-0000-000040560000}"/>
    <cellStyle name="Normal 3 3 3 12 6" xfId="12933" xr:uid="{00000000-0005-0000-0000-000041560000}"/>
    <cellStyle name="Normal 3 3 3 12 6 2" xfId="30453" xr:uid="{00000000-0005-0000-0000-000042560000}"/>
    <cellStyle name="Normal 3 3 3 12 7" xfId="12934" xr:uid="{00000000-0005-0000-0000-000043560000}"/>
    <cellStyle name="Normal 3 3 3 12 7 2" xfId="30454" xr:uid="{00000000-0005-0000-0000-000044560000}"/>
    <cellStyle name="Normal 3 3 3 12 8" xfId="12935" xr:uid="{00000000-0005-0000-0000-000045560000}"/>
    <cellStyle name="Normal 3 3 3 12 8 2" xfId="30455" xr:uid="{00000000-0005-0000-0000-000046560000}"/>
    <cellStyle name="Normal 3 3 3 12 9" xfId="12936" xr:uid="{00000000-0005-0000-0000-000047560000}"/>
    <cellStyle name="Normal 3 3 3 12 9 2" xfId="30456" xr:uid="{00000000-0005-0000-0000-000048560000}"/>
    <cellStyle name="Normal 3 3 3 13" xfId="12937" xr:uid="{00000000-0005-0000-0000-000049560000}"/>
    <cellStyle name="Normal 3 3 3 13 10" xfId="12938" xr:uid="{00000000-0005-0000-0000-00004A560000}"/>
    <cellStyle name="Normal 3 3 3 13 10 2" xfId="30458" xr:uid="{00000000-0005-0000-0000-00004B560000}"/>
    <cellStyle name="Normal 3 3 3 13 11" xfId="12939" xr:uid="{00000000-0005-0000-0000-00004C560000}"/>
    <cellStyle name="Normal 3 3 3 13 11 2" xfId="30459" xr:uid="{00000000-0005-0000-0000-00004D560000}"/>
    <cellStyle name="Normal 3 3 3 13 12" xfId="12940" xr:uid="{00000000-0005-0000-0000-00004E560000}"/>
    <cellStyle name="Normal 3 3 3 13 12 2" xfId="30460" xr:uid="{00000000-0005-0000-0000-00004F560000}"/>
    <cellStyle name="Normal 3 3 3 13 13" xfId="12941" xr:uid="{00000000-0005-0000-0000-000050560000}"/>
    <cellStyle name="Normal 3 3 3 13 13 2" xfId="30461" xr:uid="{00000000-0005-0000-0000-000051560000}"/>
    <cellStyle name="Normal 3 3 3 13 14" xfId="12942" xr:uid="{00000000-0005-0000-0000-000052560000}"/>
    <cellStyle name="Normal 3 3 3 13 14 2" xfId="30462" xr:uid="{00000000-0005-0000-0000-000053560000}"/>
    <cellStyle name="Normal 3 3 3 13 15" xfId="30457" xr:uid="{00000000-0005-0000-0000-000054560000}"/>
    <cellStyle name="Normal 3 3 3 13 2" xfId="12943" xr:uid="{00000000-0005-0000-0000-000055560000}"/>
    <cellStyle name="Normal 3 3 3 13 2 2" xfId="30463" xr:uid="{00000000-0005-0000-0000-000056560000}"/>
    <cellStyle name="Normal 3 3 3 13 3" xfId="12944" xr:uid="{00000000-0005-0000-0000-000057560000}"/>
    <cellStyle name="Normal 3 3 3 13 3 2" xfId="30464" xr:uid="{00000000-0005-0000-0000-000058560000}"/>
    <cellStyle name="Normal 3 3 3 13 4" xfId="12945" xr:uid="{00000000-0005-0000-0000-000059560000}"/>
    <cellStyle name="Normal 3 3 3 13 4 2" xfId="30465" xr:uid="{00000000-0005-0000-0000-00005A560000}"/>
    <cellStyle name="Normal 3 3 3 13 5" xfId="12946" xr:uid="{00000000-0005-0000-0000-00005B560000}"/>
    <cellStyle name="Normal 3 3 3 13 5 2" xfId="30466" xr:uid="{00000000-0005-0000-0000-00005C560000}"/>
    <cellStyle name="Normal 3 3 3 13 6" xfId="12947" xr:uid="{00000000-0005-0000-0000-00005D560000}"/>
    <cellStyle name="Normal 3 3 3 13 6 2" xfId="30467" xr:uid="{00000000-0005-0000-0000-00005E560000}"/>
    <cellStyle name="Normal 3 3 3 13 7" xfId="12948" xr:uid="{00000000-0005-0000-0000-00005F560000}"/>
    <cellStyle name="Normal 3 3 3 13 7 2" xfId="30468" xr:uid="{00000000-0005-0000-0000-000060560000}"/>
    <cellStyle name="Normal 3 3 3 13 8" xfId="12949" xr:uid="{00000000-0005-0000-0000-000061560000}"/>
    <cellStyle name="Normal 3 3 3 13 8 2" xfId="30469" xr:uid="{00000000-0005-0000-0000-000062560000}"/>
    <cellStyle name="Normal 3 3 3 13 9" xfId="12950" xr:uid="{00000000-0005-0000-0000-000063560000}"/>
    <cellStyle name="Normal 3 3 3 13 9 2" xfId="30470" xr:uid="{00000000-0005-0000-0000-000064560000}"/>
    <cellStyle name="Normal 3 3 3 14" xfId="12951" xr:uid="{00000000-0005-0000-0000-000065560000}"/>
    <cellStyle name="Normal 3 3 3 14 10" xfId="12952" xr:uid="{00000000-0005-0000-0000-000066560000}"/>
    <cellStyle name="Normal 3 3 3 14 10 2" xfId="30472" xr:uid="{00000000-0005-0000-0000-000067560000}"/>
    <cellStyle name="Normal 3 3 3 14 11" xfId="12953" xr:uid="{00000000-0005-0000-0000-000068560000}"/>
    <cellStyle name="Normal 3 3 3 14 11 2" xfId="30473" xr:uid="{00000000-0005-0000-0000-000069560000}"/>
    <cellStyle name="Normal 3 3 3 14 12" xfId="12954" xr:uid="{00000000-0005-0000-0000-00006A560000}"/>
    <cellStyle name="Normal 3 3 3 14 12 2" xfId="30474" xr:uid="{00000000-0005-0000-0000-00006B560000}"/>
    <cellStyle name="Normal 3 3 3 14 13" xfId="12955" xr:uid="{00000000-0005-0000-0000-00006C560000}"/>
    <cellStyle name="Normal 3 3 3 14 13 2" xfId="30475" xr:uid="{00000000-0005-0000-0000-00006D560000}"/>
    <cellStyle name="Normal 3 3 3 14 14" xfId="12956" xr:uid="{00000000-0005-0000-0000-00006E560000}"/>
    <cellStyle name="Normal 3 3 3 14 14 2" xfId="30476" xr:uid="{00000000-0005-0000-0000-00006F560000}"/>
    <cellStyle name="Normal 3 3 3 14 15" xfId="30471" xr:uid="{00000000-0005-0000-0000-000070560000}"/>
    <cellStyle name="Normal 3 3 3 14 2" xfId="12957" xr:uid="{00000000-0005-0000-0000-000071560000}"/>
    <cellStyle name="Normal 3 3 3 14 2 2" xfId="30477" xr:uid="{00000000-0005-0000-0000-000072560000}"/>
    <cellStyle name="Normal 3 3 3 14 3" xfId="12958" xr:uid="{00000000-0005-0000-0000-000073560000}"/>
    <cellStyle name="Normal 3 3 3 14 3 2" xfId="30478" xr:uid="{00000000-0005-0000-0000-000074560000}"/>
    <cellStyle name="Normal 3 3 3 14 4" xfId="12959" xr:uid="{00000000-0005-0000-0000-000075560000}"/>
    <cellStyle name="Normal 3 3 3 14 4 2" xfId="30479" xr:uid="{00000000-0005-0000-0000-000076560000}"/>
    <cellStyle name="Normal 3 3 3 14 5" xfId="12960" xr:uid="{00000000-0005-0000-0000-000077560000}"/>
    <cellStyle name="Normal 3 3 3 14 5 2" xfId="30480" xr:uid="{00000000-0005-0000-0000-000078560000}"/>
    <cellStyle name="Normal 3 3 3 14 6" xfId="12961" xr:uid="{00000000-0005-0000-0000-000079560000}"/>
    <cellStyle name="Normal 3 3 3 14 6 2" xfId="30481" xr:uid="{00000000-0005-0000-0000-00007A560000}"/>
    <cellStyle name="Normal 3 3 3 14 7" xfId="12962" xr:uid="{00000000-0005-0000-0000-00007B560000}"/>
    <cellStyle name="Normal 3 3 3 14 7 2" xfId="30482" xr:uid="{00000000-0005-0000-0000-00007C560000}"/>
    <cellStyle name="Normal 3 3 3 14 8" xfId="12963" xr:uid="{00000000-0005-0000-0000-00007D560000}"/>
    <cellStyle name="Normal 3 3 3 14 8 2" xfId="30483" xr:uid="{00000000-0005-0000-0000-00007E560000}"/>
    <cellStyle name="Normal 3 3 3 14 9" xfId="12964" xr:uid="{00000000-0005-0000-0000-00007F560000}"/>
    <cellStyle name="Normal 3 3 3 14 9 2" xfId="30484" xr:uid="{00000000-0005-0000-0000-000080560000}"/>
    <cellStyle name="Normal 3 3 3 15" xfId="12965" xr:uid="{00000000-0005-0000-0000-000081560000}"/>
    <cellStyle name="Normal 3 3 3 15 2" xfId="30485" xr:uid="{00000000-0005-0000-0000-000082560000}"/>
    <cellStyle name="Normal 3 3 3 16" xfId="12966" xr:uid="{00000000-0005-0000-0000-000083560000}"/>
    <cellStyle name="Normal 3 3 3 16 2" xfId="30486" xr:uid="{00000000-0005-0000-0000-000084560000}"/>
    <cellStyle name="Normal 3 3 3 17" xfId="12967" xr:uid="{00000000-0005-0000-0000-000085560000}"/>
    <cellStyle name="Normal 3 3 3 17 2" xfId="30487" xr:uid="{00000000-0005-0000-0000-000086560000}"/>
    <cellStyle name="Normal 3 3 3 18" xfId="12968" xr:uid="{00000000-0005-0000-0000-000087560000}"/>
    <cellStyle name="Normal 3 3 3 18 2" xfId="30488" xr:uid="{00000000-0005-0000-0000-000088560000}"/>
    <cellStyle name="Normal 3 3 3 19" xfId="12969" xr:uid="{00000000-0005-0000-0000-000089560000}"/>
    <cellStyle name="Normal 3 3 3 19 2" xfId="30489" xr:uid="{00000000-0005-0000-0000-00008A560000}"/>
    <cellStyle name="Normal 3 3 3 2" xfId="12970" xr:uid="{00000000-0005-0000-0000-00008B560000}"/>
    <cellStyle name="Normal 3 3 3 20" xfId="12971" xr:uid="{00000000-0005-0000-0000-00008C560000}"/>
    <cellStyle name="Normal 3 3 3 20 2" xfId="30490" xr:uid="{00000000-0005-0000-0000-00008D560000}"/>
    <cellStyle name="Normal 3 3 3 21" xfId="12972" xr:uid="{00000000-0005-0000-0000-00008E560000}"/>
    <cellStyle name="Normal 3 3 3 21 2" xfId="30491" xr:uid="{00000000-0005-0000-0000-00008F560000}"/>
    <cellStyle name="Normal 3 3 3 22" xfId="12973" xr:uid="{00000000-0005-0000-0000-000090560000}"/>
    <cellStyle name="Normal 3 3 3 22 2" xfId="30492" xr:uid="{00000000-0005-0000-0000-000091560000}"/>
    <cellStyle name="Normal 3 3 3 23" xfId="12974" xr:uid="{00000000-0005-0000-0000-000092560000}"/>
    <cellStyle name="Normal 3 3 3 23 2" xfId="30493" xr:uid="{00000000-0005-0000-0000-000093560000}"/>
    <cellStyle name="Normal 3 3 3 24" xfId="12975" xr:uid="{00000000-0005-0000-0000-000094560000}"/>
    <cellStyle name="Normal 3 3 3 24 2" xfId="30494" xr:uid="{00000000-0005-0000-0000-000095560000}"/>
    <cellStyle name="Normal 3 3 3 25" xfId="12976" xr:uid="{00000000-0005-0000-0000-000096560000}"/>
    <cellStyle name="Normal 3 3 3 25 2" xfId="30495" xr:uid="{00000000-0005-0000-0000-000097560000}"/>
    <cellStyle name="Normal 3 3 3 26" xfId="12977" xr:uid="{00000000-0005-0000-0000-000098560000}"/>
    <cellStyle name="Normal 3 3 3 26 2" xfId="30496" xr:uid="{00000000-0005-0000-0000-000099560000}"/>
    <cellStyle name="Normal 3 3 3 27" xfId="12978" xr:uid="{00000000-0005-0000-0000-00009A560000}"/>
    <cellStyle name="Normal 3 3 3 27 2" xfId="30497" xr:uid="{00000000-0005-0000-0000-00009B560000}"/>
    <cellStyle name="Normal 3 3 3 28" xfId="12894" xr:uid="{00000000-0005-0000-0000-00009C560000}"/>
    <cellStyle name="Normal 3 3 3 29" xfId="30414" xr:uid="{00000000-0005-0000-0000-00009D560000}"/>
    <cellStyle name="Normal 3 3 3 3" xfId="12979" xr:uid="{00000000-0005-0000-0000-00009E560000}"/>
    <cellStyle name="Normal 3 3 3 4" xfId="12980" xr:uid="{00000000-0005-0000-0000-00009F560000}"/>
    <cellStyle name="Normal 3 3 3 5" xfId="12981" xr:uid="{00000000-0005-0000-0000-0000A0560000}"/>
    <cellStyle name="Normal 3 3 3 6" xfId="12982" xr:uid="{00000000-0005-0000-0000-0000A1560000}"/>
    <cellStyle name="Normal 3 3 3 6 10" xfId="12983" xr:uid="{00000000-0005-0000-0000-0000A2560000}"/>
    <cellStyle name="Normal 3 3 3 6 10 2" xfId="30499" xr:uid="{00000000-0005-0000-0000-0000A3560000}"/>
    <cellStyle name="Normal 3 3 3 6 11" xfId="12984" xr:uid="{00000000-0005-0000-0000-0000A4560000}"/>
    <cellStyle name="Normal 3 3 3 6 11 2" xfId="30500" xr:uid="{00000000-0005-0000-0000-0000A5560000}"/>
    <cellStyle name="Normal 3 3 3 6 12" xfId="12985" xr:uid="{00000000-0005-0000-0000-0000A6560000}"/>
    <cellStyle name="Normal 3 3 3 6 12 2" xfId="30501" xr:uid="{00000000-0005-0000-0000-0000A7560000}"/>
    <cellStyle name="Normal 3 3 3 6 13" xfId="12986" xr:uid="{00000000-0005-0000-0000-0000A8560000}"/>
    <cellStyle name="Normal 3 3 3 6 13 2" xfId="30502" xr:uid="{00000000-0005-0000-0000-0000A9560000}"/>
    <cellStyle name="Normal 3 3 3 6 14" xfId="12987" xr:uid="{00000000-0005-0000-0000-0000AA560000}"/>
    <cellStyle name="Normal 3 3 3 6 14 2" xfId="30503" xr:uid="{00000000-0005-0000-0000-0000AB560000}"/>
    <cellStyle name="Normal 3 3 3 6 15" xfId="12988" xr:uid="{00000000-0005-0000-0000-0000AC560000}"/>
    <cellStyle name="Normal 3 3 3 6 15 2" xfId="30504" xr:uid="{00000000-0005-0000-0000-0000AD560000}"/>
    <cellStyle name="Normal 3 3 3 6 16" xfId="30498" xr:uid="{00000000-0005-0000-0000-0000AE560000}"/>
    <cellStyle name="Normal 3 3 3 6 2" xfId="12989" xr:uid="{00000000-0005-0000-0000-0000AF560000}"/>
    <cellStyle name="Normal 3 3 3 6 2 10" xfId="12990" xr:uid="{00000000-0005-0000-0000-0000B0560000}"/>
    <cellStyle name="Normal 3 3 3 6 2 10 2" xfId="30506" xr:uid="{00000000-0005-0000-0000-0000B1560000}"/>
    <cellStyle name="Normal 3 3 3 6 2 11" xfId="12991" xr:uid="{00000000-0005-0000-0000-0000B2560000}"/>
    <cellStyle name="Normal 3 3 3 6 2 11 2" xfId="30507" xr:uid="{00000000-0005-0000-0000-0000B3560000}"/>
    <cellStyle name="Normal 3 3 3 6 2 12" xfId="12992" xr:uid="{00000000-0005-0000-0000-0000B4560000}"/>
    <cellStyle name="Normal 3 3 3 6 2 12 2" xfId="30508" xr:uid="{00000000-0005-0000-0000-0000B5560000}"/>
    <cellStyle name="Normal 3 3 3 6 2 13" xfId="12993" xr:uid="{00000000-0005-0000-0000-0000B6560000}"/>
    <cellStyle name="Normal 3 3 3 6 2 13 2" xfId="30509" xr:uid="{00000000-0005-0000-0000-0000B7560000}"/>
    <cellStyle name="Normal 3 3 3 6 2 14" xfId="12994" xr:uid="{00000000-0005-0000-0000-0000B8560000}"/>
    <cellStyle name="Normal 3 3 3 6 2 14 2" xfId="30510" xr:uid="{00000000-0005-0000-0000-0000B9560000}"/>
    <cellStyle name="Normal 3 3 3 6 2 15" xfId="30505" xr:uid="{00000000-0005-0000-0000-0000BA560000}"/>
    <cellStyle name="Normal 3 3 3 6 2 2" xfId="12995" xr:uid="{00000000-0005-0000-0000-0000BB560000}"/>
    <cellStyle name="Normal 3 3 3 6 2 2 2" xfId="30511" xr:uid="{00000000-0005-0000-0000-0000BC560000}"/>
    <cellStyle name="Normal 3 3 3 6 2 3" xfId="12996" xr:uid="{00000000-0005-0000-0000-0000BD560000}"/>
    <cellStyle name="Normal 3 3 3 6 2 3 2" xfId="30512" xr:uid="{00000000-0005-0000-0000-0000BE560000}"/>
    <cellStyle name="Normal 3 3 3 6 2 4" xfId="12997" xr:uid="{00000000-0005-0000-0000-0000BF560000}"/>
    <cellStyle name="Normal 3 3 3 6 2 4 2" xfId="30513" xr:uid="{00000000-0005-0000-0000-0000C0560000}"/>
    <cellStyle name="Normal 3 3 3 6 2 5" xfId="12998" xr:uid="{00000000-0005-0000-0000-0000C1560000}"/>
    <cellStyle name="Normal 3 3 3 6 2 5 2" xfId="30514" xr:uid="{00000000-0005-0000-0000-0000C2560000}"/>
    <cellStyle name="Normal 3 3 3 6 2 6" xfId="12999" xr:uid="{00000000-0005-0000-0000-0000C3560000}"/>
    <cellStyle name="Normal 3 3 3 6 2 6 2" xfId="30515" xr:uid="{00000000-0005-0000-0000-0000C4560000}"/>
    <cellStyle name="Normal 3 3 3 6 2 7" xfId="13000" xr:uid="{00000000-0005-0000-0000-0000C5560000}"/>
    <cellStyle name="Normal 3 3 3 6 2 7 2" xfId="30516" xr:uid="{00000000-0005-0000-0000-0000C6560000}"/>
    <cellStyle name="Normal 3 3 3 6 2 8" xfId="13001" xr:uid="{00000000-0005-0000-0000-0000C7560000}"/>
    <cellStyle name="Normal 3 3 3 6 2 8 2" xfId="30517" xr:uid="{00000000-0005-0000-0000-0000C8560000}"/>
    <cellStyle name="Normal 3 3 3 6 2 9" xfId="13002" xr:uid="{00000000-0005-0000-0000-0000C9560000}"/>
    <cellStyle name="Normal 3 3 3 6 2 9 2" xfId="30518" xr:uid="{00000000-0005-0000-0000-0000CA560000}"/>
    <cellStyle name="Normal 3 3 3 6 3" xfId="13003" xr:uid="{00000000-0005-0000-0000-0000CB560000}"/>
    <cellStyle name="Normal 3 3 3 6 3 2" xfId="30519" xr:uid="{00000000-0005-0000-0000-0000CC560000}"/>
    <cellStyle name="Normal 3 3 3 6 4" xfId="13004" xr:uid="{00000000-0005-0000-0000-0000CD560000}"/>
    <cellStyle name="Normal 3 3 3 6 4 2" xfId="30520" xr:uid="{00000000-0005-0000-0000-0000CE560000}"/>
    <cellStyle name="Normal 3 3 3 6 5" xfId="13005" xr:uid="{00000000-0005-0000-0000-0000CF560000}"/>
    <cellStyle name="Normal 3 3 3 6 5 2" xfId="30521" xr:uid="{00000000-0005-0000-0000-0000D0560000}"/>
    <cellStyle name="Normal 3 3 3 6 6" xfId="13006" xr:uid="{00000000-0005-0000-0000-0000D1560000}"/>
    <cellStyle name="Normal 3 3 3 6 6 2" xfId="30522" xr:uid="{00000000-0005-0000-0000-0000D2560000}"/>
    <cellStyle name="Normal 3 3 3 6 7" xfId="13007" xr:uid="{00000000-0005-0000-0000-0000D3560000}"/>
    <cellStyle name="Normal 3 3 3 6 7 2" xfId="30523" xr:uid="{00000000-0005-0000-0000-0000D4560000}"/>
    <cellStyle name="Normal 3 3 3 6 8" xfId="13008" xr:uid="{00000000-0005-0000-0000-0000D5560000}"/>
    <cellStyle name="Normal 3 3 3 6 8 2" xfId="30524" xr:uid="{00000000-0005-0000-0000-0000D6560000}"/>
    <cellStyle name="Normal 3 3 3 6 9" xfId="13009" xr:uid="{00000000-0005-0000-0000-0000D7560000}"/>
    <cellStyle name="Normal 3 3 3 6 9 2" xfId="30525" xr:uid="{00000000-0005-0000-0000-0000D8560000}"/>
    <cellStyle name="Normal 3 3 3 7" xfId="13010" xr:uid="{00000000-0005-0000-0000-0000D9560000}"/>
    <cellStyle name="Normal 3 3 3 7 10" xfId="13011" xr:uid="{00000000-0005-0000-0000-0000DA560000}"/>
    <cellStyle name="Normal 3 3 3 7 10 2" xfId="30527" xr:uid="{00000000-0005-0000-0000-0000DB560000}"/>
    <cellStyle name="Normal 3 3 3 7 11" xfId="13012" xr:uid="{00000000-0005-0000-0000-0000DC560000}"/>
    <cellStyle name="Normal 3 3 3 7 11 2" xfId="30528" xr:uid="{00000000-0005-0000-0000-0000DD560000}"/>
    <cellStyle name="Normal 3 3 3 7 12" xfId="13013" xr:uid="{00000000-0005-0000-0000-0000DE560000}"/>
    <cellStyle name="Normal 3 3 3 7 12 2" xfId="30529" xr:uid="{00000000-0005-0000-0000-0000DF560000}"/>
    <cellStyle name="Normal 3 3 3 7 13" xfId="13014" xr:uid="{00000000-0005-0000-0000-0000E0560000}"/>
    <cellStyle name="Normal 3 3 3 7 13 2" xfId="30530" xr:uid="{00000000-0005-0000-0000-0000E1560000}"/>
    <cellStyle name="Normal 3 3 3 7 14" xfId="13015" xr:uid="{00000000-0005-0000-0000-0000E2560000}"/>
    <cellStyle name="Normal 3 3 3 7 14 2" xfId="30531" xr:uid="{00000000-0005-0000-0000-0000E3560000}"/>
    <cellStyle name="Normal 3 3 3 7 15" xfId="13016" xr:uid="{00000000-0005-0000-0000-0000E4560000}"/>
    <cellStyle name="Normal 3 3 3 7 15 2" xfId="30532" xr:uid="{00000000-0005-0000-0000-0000E5560000}"/>
    <cellStyle name="Normal 3 3 3 7 16" xfId="30526" xr:uid="{00000000-0005-0000-0000-0000E6560000}"/>
    <cellStyle name="Normal 3 3 3 7 2" xfId="13017" xr:uid="{00000000-0005-0000-0000-0000E7560000}"/>
    <cellStyle name="Normal 3 3 3 7 2 10" xfId="13018" xr:uid="{00000000-0005-0000-0000-0000E8560000}"/>
    <cellStyle name="Normal 3 3 3 7 2 10 2" xfId="30534" xr:uid="{00000000-0005-0000-0000-0000E9560000}"/>
    <cellStyle name="Normal 3 3 3 7 2 11" xfId="13019" xr:uid="{00000000-0005-0000-0000-0000EA560000}"/>
    <cellStyle name="Normal 3 3 3 7 2 11 2" xfId="30535" xr:uid="{00000000-0005-0000-0000-0000EB560000}"/>
    <cellStyle name="Normal 3 3 3 7 2 12" xfId="13020" xr:uid="{00000000-0005-0000-0000-0000EC560000}"/>
    <cellStyle name="Normal 3 3 3 7 2 12 2" xfId="30536" xr:uid="{00000000-0005-0000-0000-0000ED560000}"/>
    <cellStyle name="Normal 3 3 3 7 2 13" xfId="13021" xr:uid="{00000000-0005-0000-0000-0000EE560000}"/>
    <cellStyle name="Normal 3 3 3 7 2 13 2" xfId="30537" xr:uid="{00000000-0005-0000-0000-0000EF560000}"/>
    <cellStyle name="Normal 3 3 3 7 2 14" xfId="13022" xr:uid="{00000000-0005-0000-0000-0000F0560000}"/>
    <cellStyle name="Normal 3 3 3 7 2 14 2" xfId="30538" xr:uid="{00000000-0005-0000-0000-0000F1560000}"/>
    <cellStyle name="Normal 3 3 3 7 2 15" xfId="30533" xr:uid="{00000000-0005-0000-0000-0000F2560000}"/>
    <cellStyle name="Normal 3 3 3 7 2 2" xfId="13023" xr:uid="{00000000-0005-0000-0000-0000F3560000}"/>
    <cellStyle name="Normal 3 3 3 7 2 2 2" xfId="30539" xr:uid="{00000000-0005-0000-0000-0000F4560000}"/>
    <cellStyle name="Normal 3 3 3 7 2 3" xfId="13024" xr:uid="{00000000-0005-0000-0000-0000F5560000}"/>
    <cellStyle name="Normal 3 3 3 7 2 3 2" xfId="30540" xr:uid="{00000000-0005-0000-0000-0000F6560000}"/>
    <cellStyle name="Normal 3 3 3 7 2 4" xfId="13025" xr:uid="{00000000-0005-0000-0000-0000F7560000}"/>
    <cellStyle name="Normal 3 3 3 7 2 4 2" xfId="30541" xr:uid="{00000000-0005-0000-0000-0000F8560000}"/>
    <cellStyle name="Normal 3 3 3 7 2 5" xfId="13026" xr:uid="{00000000-0005-0000-0000-0000F9560000}"/>
    <cellStyle name="Normal 3 3 3 7 2 5 2" xfId="30542" xr:uid="{00000000-0005-0000-0000-0000FA560000}"/>
    <cellStyle name="Normal 3 3 3 7 2 6" xfId="13027" xr:uid="{00000000-0005-0000-0000-0000FB560000}"/>
    <cellStyle name="Normal 3 3 3 7 2 6 2" xfId="30543" xr:uid="{00000000-0005-0000-0000-0000FC560000}"/>
    <cellStyle name="Normal 3 3 3 7 2 7" xfId="13028" xr:uid="{00000000-0005-0000-0000-0000FD560000}"/>
    <cellStyle name="Normal 3 3 3 7 2 7 2" xfId="30544" xr:uid="{00000000-0005-0000-0000-0000FE560000}"/>
    <cellStyle name="Normal 3 3 3 7 2 8" xfId="13029" xr:uid="{00000000-0005-0000-0000-0000FF560000}"/>
    <cellStyle name="Normal 3 3 3 7 2 8 2" xfId="30545" xr:uid="{00000000-0005-0000-0000-000000570000}"/>
    <cellStyle name="Normal 3 3 3 7 2 9" xfId="13030" xr:uid="{00000000-0005-0000-0000-000001570000}"/>
    <cellStyle name="Normal 3 3 3 7 2 9 2" xfId="30546" xr:uid="{00000000-0005-0000-0000-000002570000}"/>
    <cellStyle name="Normal 3 3 3 7 3" xfId="13031" xr:uid="{00000000-0005-0000-0000-000003570000}"/>
    <cellStyle name="Normal 3 3 3 7 3 2" xfId="30547" xr:uid="{00000000-0005-0000-0000-000004570000}"/>
    <cellStyle name="Normal 3 3 3 7 4" xfId="13032" xr:uid="{00000000-0005-0000-0000-000005570000}"/>
    <cellStyle name="Normal 3 3 3 7 4 2" xfId="30548" xr:uid="{00000000-0005-0000-0000-000006570000}"/>
    <cellStyle name="Normal 3 3 3 7 5" xfId="13033" xr:uid="{00000000-0005-0000-0000-000007570000}"/>
    <cellStyle name="Normal 3 3 3 7 5 2" xfId="30549" xr:uid="{00000000-0005-0000-0000-000008570000}"/>
    <cellStyle name="Normal 3 3 3 7 6" xfId="13034" xr:uid="{00000000-0005-0000-0000-000009570000}"/>
    <cellStyle name="Normal 3 3 3 7 6 2" xfId="30550" xr:uid="{00000000-0005-0000-0000-00000A570000}"/>
    <cellStyle name="Normal 3 3 3 7 7" xfId="13035" xr:uid="{00000000-0005-0000-0000-00000B570000}"/>
    <cellStyle name="Normal 3 3 3 7 7 2" xfId="30551" xr:uid="{00000000-0005-0000-0000-00000C570000}"/>
    <cellStyle name="Normal 3 3 3 7 8" xfId="13036" xr:uid="{00000000-0005-0000-0000-00000D570000}"/>
    <cellStyle name="Normal 3 3 3 7 8 2" xfId="30552" xr:uid="{00000000-0005-0000-0000-00000E570000}"/>
    <cellStyle name="Normal 3 3 3 7 9" xfId="13037" xr:uid="{00000000-0005-0000-0000-00000F570000}"/>
    <cellStyle name="Normal 3 3 3 7 9 2" xfId="30553" xr:uid="{00000000-0005-0000-0000-000010570000}"/>
    <cellStyle name="Normal 3 3 3 8" xfId="13038" xr:uid="{00000000-0005-0000-0000-000011570000}"/>
    <cellStyle name="Normal 3 3 3 8 10" xfId="13039" xr:uid="{00000000-0005-0000-0000-000012570000}"/>
    <cellStyle name="Normal 3 3 3 8 10 2" xfId="30555" xr:uid="{00000000-0005-0000-0000-000013570000}"/>
    <cellStyle name="Normal 3 3 3 8 11" xfId="13040" xr:uid="{00000000-0005-0000-0000-000014570000}"/>
    <cellStyle name="Normal 3 3 3 8 11 2" xfId="30556" xr:uid="{00000000-0005-0000-0000-000015570000}"/>
    <cellStyle name="Normal 3 3 3 8 12" xfId="13041" xr:uid="{00000000-0005-0000-0000-000016570000}"/>
    <cellStyle name="Normal 3 3 3 8 12 2" xfId="30557" xr:uid="{00000000-0005-0000-0000-000017570000}"/>
    <cellStyle name="Normal 3 3 3 8 13" xfId="13042" xr:uid="{00000000-0005-0000-0000-000018570000}"/>
    <cellStyle name="Normal 3 3 3 8 13 2" xfId="30558" xr:uid="{00000000-0005-0000-0000-000019570000}"/>
    <cellStyle name="Normal 3 3 3 8 14" xfId="13043" xr:uid="{00000000-0005-0000-0000-00001A570000}"/>
    <cellStyle name="Normal 3 3 3 8 14 2" xfId="30559" xr:uid="{00000000-0005-0000-0000-00001B570000}"/>
    <cellStyle name="Normal 3 3 3 8 15" xfId="13044" xr:uid="{00000000-0005-0000-0000-00001C570000}"/>
    <cellStyle name="Normal 3 3 3 8 15 2" xfId="30560" xr:uid="{00000000-0005-0000-0000-00001D570000}"/>
    <cellStyle name="Normal 3 3 3 8 16" xfId="30554" xr:uid="{00000000-0005-0000-0000-00001E570000}"/>
    <cellStyle name="Normal 3 3 3 8 2" xfId="13045" xr:uid="{00000000-0005-0000-0000-00001F570000}"/>
    <cellStyle name="Normal 3 3 3 8 2 10" xfId="13046" xr:uid="{00000000-0005-0000-0000-000020570000}"/>
    <cellStyle name="Normal 3 3 3 8 2 10 2" xfId="30562" xr:uid="{00000000-0005-0000-0000-000021570000}"/>
    <cellStyle name="Normal 3 3 3 8 2 11" xfId="13047" xr:uid="{00000000-0005-0000-0000-000022570000}"/>
    <cellStyle name="Normal 3 3 3 8 2 11 2" xfId="30563" xr:uid="{00000000-0005-0000-0000-000023570000}"/>
    <cellStyle name="Normal 3 3 3 8 2 12" xfId="13048" xr:uid="{00000000-0005-0000-0000-000024570000}"/>
    <cellStyle name="Normal 3 3 3 8 2 12 2" xfId="30564" xr:uid="{00000000-0005-0000-0000-000025570000}"/>
    <cellStyle name="Normal 3 3 3 8 2 13" xfId="13049" xr:uid="{00000000-0005-0000-0000-000026570000}"/>
    <cellStyle name="Normal 3 3 3 8 2 13 2" xfId="30565" xr:uid="{00000000-0005-0000-0000-000027570000}"/>
    <cellStyle name="Normal 3 3 3 8 2 14" xfId="13050" xr:uid="{00000000-0005-0000-0000-000028570000}"/>
    <cellStyle name="Normal 3 3 3 8 2 14 2" xfId="30566" xr:uid="{00000000-0005-0000-0000-000029570000}"/>
    <cellStyle name="Normal 3 3 3 8 2 15" xfId="30561" xr:uid="{00000000-0005-0000-0000-00002A570000}"/>
    <cellStyle name="Normal 3 3 3 8 2 2" xfId="13051" xr:uid="{00000000-0005-0000-0000-00002B570000}"/>
    <cellStyle name="Normal 3 3 3 8 2 2 2" xfId="30567" xr:uid="{00000000-0005-0000-0000-00002C570000}"/>
    <cellStyle name="Normal 3 3 3 8 2 3" xfId="13052" xr:uid="{00000000-0005-0000-0000-00002D570000}"/>
    <cellStyle name="Normal 3 3 3 8 2 3 2" xfId="30568" xr:uid="{00000000-0005-0000-0000-00002E570000}"/>
    <cellStyle name="Normal 3 3 3 8 2 4" xfId="13053" xr:uid="{00000000-0005-0000-0000-00002F570000}"/>
    <cellStyle name="Normal 3 3 3 8 2 4 2" xfId="30569" xr:uid="{00000000-0005-0000-0000-000030570000}"/>
    <cellStyle name="Normal 3 3 3 8 2 5" xfId="13054" xr:uid="{00000000-0005-0000-0000-000031570000}"/>
    <cellStyle name="Normal 3 3 3 8 2 5 2" xfId="30570" xr:uid="{00000000-0005-0000-0000-000032570000}"/>
    <cellStyle name="Normal 3 3 3 8 2 6" xfId="13055" xr:uid="{00000000-0005-0000-0000-000033570000}"/>
    <cellStyle name="Normal 3 3 3 8 2 6 2" xfId="30571" xr:uid="{00000000-0005-0000-0000-000034570000}"/>
    <cellStyle name="Normal 3 3 3 8 2 7" xfId="13056" xr:uid="{00000000-0005-0000-0000-000035570000}"/>
    <cellStyle name="Normal 3 3 3 8 2 7 2" xfId="30572" xr:uid="{00000000-0005-0000-0000-000036570000}"/>
    <cellStyle name="Normal 3 3 3 8 2 8" xfId="13057" xr:uid="{00000000-0005-0000-0000-000037570000}"/>
    <cellStyle name="Normal 3 3 3 8 2 8 2" xfId="30573" xr:uid="{00000000-0005-0000-0000-000038570000}"/>
    <cellStyle name="Normal 3 3 3 8 2 9" xfId="13058" xr:uid="{00000000-0005-0000-0000-000039570000}"/>
    <cellStyle name="Normal 3 3 3 8 2 9 2" xfId="30574" xr:uid="{00000000-0005-0000-0000-00003A570000}"/>
    <cellStyle name="Normal 3 3 3 8 3" xfId="13059" xr:uid="{00000000-0005-0000-0000-00003B570000}"/>
    <cellStyle name="Normal 3 3 3 8 3 2" xfId="30575" xr:uid="{00000000-0005-0000-0000-00003C570000}"/>
    <cellStyle name="Normal 3 3 3 8 4" xfId="13060" xr:uid="{00000000-0005-0000-0000-00003D570000}"/>
    <cellStyle name="Normal 3 3 3 8 4 2" xfId="30576" xr:uid="{00000000-0005-0000-0000-00003E570000}"/>
    <cellStyle name="Normal 3 3 3 8 5" xfId="13061" xr:uid="{00000000-0005-0000-0000-00003F570000}"/>
    <cellStyle name="Normal 3 3 3 8 5 2" xfId="30577" xr:uid="{00000000-0005-0000-0000-000040570000}"/>
    <cellStyle name="Normal 3 3 3 8 6" xfId="13062" xr:uid="{00000000-0005-0000-0000-000041570000}"/>
    <cellStyle name="Normal 3 3 3 8 6 2" xfId="30578" xr:uid="{00000000-0005-0000-0000-000042570000}"/>
    <cellStyle name="Normal 3 3 3 8 7" xfId="13063" xr:uid="{00000000-0005-0000-0000-000043570000}"/>
    <cellStyle name="Normal 3 3 3 8 7 2" xfId="30579" xr:uid="{00000000-0005-0000-0000-000044570000}"/>
    <cellStyle name="Normal 3 3 3 8 8" xfId="13064" xr:uid="{00000000-0005-0000-0000-000045570000}"/>
    <cellStyle name="Normal 3 3 3 8 8 2" xfId="30580" xr:uid="{00000000-0005-0000-0000-000046570000}"/>
    <cellStyle name="Normal 3 3 3 8 9" xfId="13065" xr:uid="{00000000-0005-0000-0000-000047570000}"/>
    <cellStyle name="Normal 3 3 3 8 9 2" xfId="30581" xr:uid="{00000000-0005-0000-0000-000048570000}"/>
    <cellStyle name="Normal 3 3 3 9" xfId="13066" xr:uid="{00000000-0005-0000-0000-000049570000}"/>
    <cellStyle name="Normal 3 3 3 9 10" xfId="13067" xr:uid="{00000000-0005-0000-0000-00004A570000}"/>
    <cellStyle name="Normal 3 3 3 9 10 2" xfId="30583" xr:uid="{00000000-0005-0000-0000-00004B570000}"/>
    <cellStyle name="Normal 3 3 3 9 11" xfId="13068" xr:uid="{00000000-0005-0000-0000-00004C570000}"/>
    <cellStyle name="Normal 3 3 3 9 11 2" xfId="30584" xr:uid="{00000000-0005-0000-0000-00004D570000}"/>
    <cellStyle name="Normal 3 3 3 9 12" xfId="13069" xr:uid="{00000000-0005-0000-0000-00004E570000}"/>
    <cellStyle name="Normal 3 3 3 9 12 2" xfId="30585" xr:uid="{00000000-0005-0000-0000-00004F570000}"/>
    <cellStyle name="Normal 3 3 3 9 13" xfId="13070" xr:uid="{00000000-0005-0000-0000-000050570000}"/>
    <cellStyle name="Normal 3 3 3 9 13 2" xfId="30586" xr:uid="{00000000-0005-0000-0000-000051570000}"/>
    <cellStyle name="Normal 3 3 3 9 14" xfId="13071" xr:uid="{00000000-0005-0000-0000-000052570000}"/>
    <cellStyle name="Normal 3 3 3 9 14 2" xfId="30587" xr:uid="{00000000-0005-0000-0000-000053570000}"/>
    <cellStyle name="Normal 3 3 3 9 15" xfId="30582" xr:uid="{00000000-0005-0000-0000-000054570000}"/>
    <cellStyle name="Normal 3 3 3 9 2" xfId="13072" xr:uid="{00000000-0005-0000-0000-000055570000}"/>
    <cellStyle name="Normal 3 3 3 9 2 2" xfId="30588" xr:uid="{00000000-0005-0000-0000-000056570000}"/>
    <cellStyle name="Normal 3 3 3 9 3" xfId="13073" xr:uid="{00000000-0005-0000-0000-000057570000}"/>
    <cellStyle name="Normal 3 3 3 9 3 2" xfId="30589" xr:uid="{00000000-0005-0000-0000-000058570000}"/>
    <cellStyle name="Normal 3 3 3 9 4" xfId="13074" xr:uid="{00000000-0005-0000-0000-000059570000}"/>
    <cellStyle name="Normal 3 3 3 9 4 2" xfId="30590" xr:uid="{00000000-0005-0000-0000-00005A570000}"/>
    <cellStyle name="Normal 3 3 3 9 5" xfId="13075" xr:uid="{00000000-0005-0000-0000-00005B570000}"/>
    <cellStyle name="Normal 3 3 3 9 5 2" xfId="30591" xr:uid="{00000000-0005-0000-0000-00005C570000}"/>
    <cellStyle name="Normal 3 3 3 9 6" xfId="13076" xr:uid="{00000000-0005-0000-0000-00005D570000}"/>
    <cellStyle name="Normal 3 3 3 9 6 2" xfId="30592" xr:uid="{00000000-0005-0000-0000-00005E570000}"/>
    <cellStyle name="Normal 3 3 3 9 7" xfId="13077" xr:uid="{00000000-0005-0000-0000-00005F570000}"/>
    <cellStyle name="Normal 3 3 3 9 7 2" xfId="30593" xr:uid="{00000000-0005-0000-0000-000060570000}"/>
    <cellStyle name="Normal 3 3 3 9 8" xfId="13078" xr:uid="{00000000-0005-0000-0000-000061570000}"/>
    <cellStyle name="Normal 3 3 3 9 8 2" xfId="30594" xr:uid="{00000000-0005-0000-0000-000062570000}"/>
    <cellStyle name="Normal 3 3 3 9 9" xfId="13079" xr:uid="{00000000-0005-0000-0000-000063570000}"/>
    <cellStyle name="Normal 3 3 3 9 9 2" xfId="30595" xr:uid="{00000000-0005-0000-0000-000064570000}"/>
    <cellStyle name="Normal 3 3 30" xfId="13080" xr:uid="{00000000-0005-0000-0000-000065570000}"/>
    <cellStyle name="Normal 3 3 30 10" xfId="13081" xr:uid="{00000000-0005-0000-0000-000066570000}"/>
    <cellStyle name="Normal 3 3 30 10 2" xfId="30597" xr:uid="{00000000-0005-0000-0000-000067570000}"/>
    <cellStyle name="Normal 3 3 30 11" xfId="13082" xr:uid="{00000000-0005-0000-0000-000068570000}"/>
    <cellStyle name="Normal 3 3 30 11 2" xfId="30598" xr:uid="{00000000-0005-0000-0000-000069570000}"/>
    <cellStyle name="Normal 3 3 30 12" xfId="13083" xr:uid="{00000000-0005-0000-0000-00006A570000}"/>
    <cellStyle name="Normal 3 3 30 12 2" xfId="30599" xr:uid="{00000000-0005-0000-0000-00006B570000}"/>
    <cellStyle name="Normal 3 3 30 13" xfId="13084" xr:uid="{00000000-0005-0000-0000-00006C570000}"/>
    <cellStyle name="Normal 3 3 30 13 2" xfId="30600" xr:uid="{00000000-0005-0000-0000-00006D570000}"/>
    <cellStyle name="Normal 3 3 30 14" xfId="13085" xr:uid="{00000000-0005-0000-0000-00006E570000}"/>
    <cellStyle name="Normal 3 3 30 14 2" xfId="30601" xr:uid="{00000000-0005-0000-0000-00006F570000}"/>
    <cellStyle name="Normal 3 3 30 15" xfId="30596" xr:uid="{00000000-0005-0000-0000-000070570000}"/>
    <cellStyle name="Normal 3 3 30 2" xfId="13086" xr:uid="{00000000-0005-0000-0000-000071570000}"/>
    <cellStyle name="Normal 3 3 30 2 2" xfId="30602" xr:uid="{00000000-0005-0000-0000-000072570000}"/>
    <cellStyle name="Normal 3 3 30 3" xfId="13087" xr:uid="{00000000-0005-0000-0000-000073570000}"/>
    <cellStyle name="Normal 3 3 30 3 2" xfId="30603" xr:uid="{00000000-0005-0000-0000-000074570000}"/>
    <cellStyle name="Normal 3 3 30 4" xfId="13088" xr:uid="{00000000-0005-0000-0000-000075570000}"/>
    <cellStyle name="Normal 3 3 30 4 2" xfId="30604" xr:uid="{00000000-0005-0000-0000-000076570000}"/>
    <cellStyle name="Normal 3 3 30 5" xfId="13089" xr:uid="{00000000-0005-0000-0000-000077570000}"/>
    <cellStyle name="Normal 3 3 30 5 2" xfId="30605" xr:uid="{00000000-0005-0000-0000-000078570000}"/>
    <cellStyle name="Normal 3 3 30 6" xfId="13090" xr:uid="{00000000-0005-0000-0000-000079570000}"/>
    <cellStyle name="Normal 3 3 30 6 2" xfId="30606" xr:uid="{00000000-0005-0000-0000-00007A570000}"/>
    <cellStyle name="Normal 3 3 30 7" xfId="13091" xr:uid="{00000000-0005-0000-0000-00007B570000}"/>
    <cellStyle name="Normal 3 3 30 7 2" xfId="30607" xr:uid="{00000000-0005-0000-0000-00007C570000}"/>
    <cellStyle name="Normal 3 3 30 8" xfId="13092" xr:uid="{00000000-0005-0000-0000-00007D570000}"/>
    <cellStyle name="Normal 3 3 30 8 2" xfId="30608" xr:uid="{00000000-0005-0000-0000-00007E570000}"/>
    <cellStyle name="Normal 3 3 30 9" xfId="13093" xr:uid="{00000000-0005-0000-0000-00007F570000}"/>
    <cellStyle name="Normal 3 3 30 9 2" xfId="30609" xr:uid="{00000000-0005-0000-0000-000080570000}"/>
    <cellStyle name="Normal 3 3 31" xfId="13094" xr:uid="{00000000-0005-0000-0000-000081570000}"/>
    <cellStyle name="Normal 3 3 31 10" xfId="13095" xr:uid="{00000000-0005-0000-0000-000082570000}"/>
    <cellStyle name="Normal 3 3 31 10 2" xfId="30611" xr:uid="{00000000-0005-0000-0000-000083570000}"/>
    <cellStyle name="Normal 3 3 31 11" xfId="13096" xr:uid="{00000000-0005-0000-0000-000084570000}"/>
    <cellStyle name="Normal 3 3 31 11 2" xfId="30612" xr:uid="{00000000-0005-0000-0000-000085570000}"/>
    <cellStyle name="Normal 3 3 31 12" xfId="13097" xr:uid="{00000000-0005-0000-0000-000086570000}"/>
    <cellStyle name="Normal 3 3 31 12 2" xfId="30613" xr:uid="{00000000-0005-0000-0000-000087570000}"/>
    <cellStyle name="Normal 3 3 31 13" xfId="13098" xr:uid="{00000000-0005-0000-0000-000088570000}"/>
    <cellStyle name="Normal 3 3 31 13 2" xfId="30614" xr:uid="{00000000-0005-0000-0000-000089570000}"/>
    <cellStyle name="Normal 3 3 31 14" xfId="13099" xr:uid="{00000000-0005-0000-0000-00008A570000}"/>
    <cellStyle name="Normal 3 3 31 14 2" xfId="30615" xr:uid="{00000000-0005-0000-0000-00008B570000}"/>
    <cellStyle name="Normal 3 3 31 15" xfId="30610" xr:uid="{00000000-0005-0000-0000-00008C570000}"/>
    <cellStyle name="Normal 3 3 31 2" xfId="13100" xr:uid="{00000000-0005-0000-0000-00008D570000}"/>
    <cellStyle name="Normal 3 3 31 2 2" xfId="30616" xr:uid="{00000000-0005-0000-0000-00008E570000}"/>
    <cellStyle name="Normal 3 3 31 3" xfId="13101" xr:uid="{00000000-0005-0000-0000-00008F570000}"/>
    <cellStyle name="Normal 3 3 31 3 2" xfId="30617" xr:uid="{00000000-0005-0000-0000-000090570000}"/>
    <cellStyle name="Normal 3 3 31 4" xfId="13102" xr:uid="{00000000-0005-0000-0000-000091570000}"/>
    <cellStyle name="Normal 3 3 31 4 2" xfId="30618" xr:uid="{00000000-0005-0000-0000-000092570000}"/>
    <cellStyle name="Normal 3 3 31 5" xfId="13103" xr:uid="{00000000-0005-0000-0000-000093570000}"/>
    <cellStyle name="Normal 3 3 31 5 2" xfId="30619" xr:uid="{00000000-0005-0000-0000-000094570000}"/>
    <cellStyle name="Normal 3 3 31 6" xfId="13104" xr:uid="{00000000-0005-0000-0000-000095570000}"/>
    <cellStyle name="Normal 3 3 31 6 2" xfId="30620" xr:uid="{00000000-0005-0000-0000-000096570000}"/>
    <cellStyle name="Normal 3 3 31 7" xfId="13105" xr:uid="{00000000-0005-0000-0000-000097570000}"/>
    <cellStyle name="Normal 3 3 31 7 2" xfId="30621" xr:uid="{00000000-0005-0000-0000-000098570000}"/>
    <cellStyle name="Normal 3 3 31 8" xfId="13106" xr:uid="{00000000-0005-0000-0000-000099570000}"/>
    <cellStyle name="Normal 3 3 31 8 2" xfId="30622" xr:uid="{00000000-0005-0000-0000-00009A570000}"/>
    <cellStyle name="Normal 3 3 31 9" xfId="13107" xr:uid="{00000000-0005-0000-0000-00009B570000}"/>
    <cellStyle name="Normal 3 3 31 9 2" xfId="30623" xr:uid="{00000000-0005-0000-0000-00009C570000}"/>
    <cellStyle name="Normal 3 3 32" xfId="10866" xr:uid="{00000000-0005-0000-0000-00009D570000}"/>
    <cellStyle name="Normal 3 3 4" xfId="13108" xr:uid="{00000000-0005-0000-0000-00009E570000}"/>
    <cellStyle name="Normal 3 3 4 10" xfId="13109" xr:uid="{00000000-0005-0000-0000-00009F570000}"/>
    <cellStyle name="Normal 3 3 4 10 10" xfId="13110" xr:uid="{00000000-0005-0000-0000-0000A0570000}"/>
    <cellStyle name="Normal 3 3 4 10 10 2" xfId="30626" xr:uid="{00000000-0005-0000-0000-0000A1570000}"/>
    <cellStyle name="Normal 3 3 4 10 11" xfId="13111" xr:uid="{00000000-0005-0000-0000-0000A2570000}"/>
    <cellStyle name="Normal 3 3 4 10 11 2" xfId="30627" xr:uid="{00000000-0005-0000-0000-0000A3570000}"/>
    <cellStyle name="Normal 3 3 4 10 12" xfId="13112" xr:uid="{00000000-0005-0000-0000-0000A4570000}"/>
    <cellStyle name="Normal 3 3 4 10 12 2" xfId="30628" xr:uid="{00000000-0005-0000-0000-0000A5570000}"/>
    <cellStyle name="Normal 3 3 4 10 13" xfId="13113" xr:uid="{00000000-0005-0000-0000-0000A6570000}"/>
    <cellStyle name="Normal 3 3 4 10 13 2" xfId="30629" xr:uid="{00000000-0005-0000-0000-0000A7570000}"/>
    <cellStyle name="Normal 3 3 4 10 14" xfId="13114" xr:uid="{00000000-0005-0000-0000-0000A8570000}"/>
    <cellStyle name="Normal 3 3 4 10 14 2" xfId="30630" xr:uid="{00000000-0005-0000-0000-0000A9570000}"/>
    <cellStyle name="Normal 3 3 4 10 15" xfId="30625" xr:uid="{00000000-0005-0000-0000-0000AA570000}"/>
    <cellStyle name="Normal 3 3 4 10 2" xfId="13115" xr:uid="{00000000-0005-0000-0000-0000AB570000}"/>
    <cellStyle name="Normal 3 3 4 10 2 2" xfId="30631" xr:uid="{00000000-0005-0000-0000-0000AC570000}"/>
    <cellStyle name="Normal 3 3 4 10 3" xfId="13116" xr:uid="{00000000-0005-0000-0000-0000AD570000}"/>
    <cellStyle name="Normal 3 3 4 10 3 2" xfId="30632" xr:uid="{00000000-0005-0000-0000-0000AE570000}"/>
    <cellStyle name="Normal 3 3 4 10 4" xfId="13117" xr:uid="{00000000-0005-0000-0000-0000AF570000}"/>
    <cellStyle name="Normal 3 3 4 10 4 2" xfId="30633" xr:uid="{00000000-0005-0000-0000-0000B0570000}"/>
    <cellStyle name="Normal 3 3 4 10 5" xfId="13118" xr:uid="{00000000-0005-0000-0000-0000B1570000}"/>
    <cellStyle name="Normal 3 3 4 10 5 2" xfId="30634" xr:uid="{00000000-0005-0000-0000-0000B2570000}"/>
    <cellStyle name="Normal 3 3 4 10 6" xfId="13119" xr:uid="{00000000-0005-0000-0000-0000B3570000}"/>
    <cellStyle name="Normal 3 3 4 10 6 2" xfId="30635" xr:uid="{00000000-0005-0000-0000-0000B4570000}"/>
    <cellStyle name="Normal 3 3 4 10 7" xfId="13120" xr:uid="{00000000-0005-0000-0000-0000B5570000}"/>
    <cellStyle name="Normal 3 3 4 10 7 2" xfId="30636" xr:uid="{00000000-0005-0000-0000-0000B6570000}"/>
    <cellStyle name="Normal 3 3 4 10 8" xfId="13121" xr:uid="{00000000-0005-0000-0000-0000B7570000}"/>
    <cellStyle name="Normal 3 3 4 10 8 2" xfId="30637" xr:uid="{00000000-0005-0000-0000-0000B8570000}"/>
    <cellStyle name="Normal 3 3 4 10 9" xfId="13122" xr:uid="{00000000-0005-0000-0000-0000B9570000}"/>
    <cellStyle name="Normal 3 3 4 10 9 2" xfId="30638" xr:uid="{00000000-0005-0000-0000-0000BA570000}"/>
    <cellStyle name="Normal 3 3 4 11" xfId="13123" xr:uid="{00000000-0005-0000-0000-0000BB570000}"/>
    <cellStyle name="Normal 3 3 4 11 10" xfId="13124" xr:uid="{00000000-0005-0000-0000-0000BC570000}"/>
    <cellStyle name="Normal 3 3 4 11 10 2" xfId="30640" xr:uid="{00000000-0005-0000-0000-0000BD570000}"/>
    <cellStyle name="Normal 3 3 4 11 11" xfId="13125" xr:uid="{00000000-0005-0000-0000-0000BE570000}"/>
    <cellStyle name="Normal 3 3 4 11 11 2" xfId="30641" xr:uid="{00000000-0005-0000-0000-0000BF570000}"/>
    <cellStyle name="Normal 3 3 4 11 12" xfId="13126" xr:uid="{00000000-0005-0000-0000-0000C0570000}"/>
    <cellStyle name="Normal 3 3 4 11 12 2" xfId="30642" xr:uid="{00000000-0005-0000-0000-0000C1570000}"/>
    <cellStyle name="Normal 3 3 4 11 13" xfId="13127" xr:uid="{00000000-0005-0000-0000-0000C2570000}"/>
    <cellStyle name="Normal 3 3 4 11 13 2" xfId="30643" xr:uid="{00000000-0005-0000-0000-0000C3570000}"/>
    <cellStyle name="Normal 3 3 4 11 14" xfId="13128" xr:uid="{00000000-0005-0000-0000-0000C4570000}"/>
    <cellStyle name="Normal 3 3 4 11 14 2" xfId="30644" xr:uid="{00000000-0005-0000-0000-0000C5570000}"/>
    <cellStyle name="Normal 3 3 4 11 15" xfId="30639" xr:uid="{00000000-0005-0000-0000-0000C6570000}"/>
    <cellStyle name="Normal 3 3 4 11 2" xfId="13129" xr:uid="{00000000-0005-0000-0000-0000C7570000}"/>
    <cellStyle name="Normal 3 3 4 11 2 2" xfId="30645" xr:uid="{00000000-0005-0000-0000-0000C8570000}"/>
    <cellStyle name="Normal 3 3 4 11 3" xfId="13130" xr:uid="{00000000-0005-0000-0000-0000C9570000}"/>
    <cellStyle name="Normal 3 3 4 11 3 2" xfId="30646" xr:uid="{00000000-0005-0000-0000-0000CA570000}"/>
    <cellStyle name="Normal 3 3 4 11 4" xfId="13131" xr:uid="{00000000-0005-0000-0000-0000CB570000}"/>
    <cellStyle name="Normal 3 3 4 11 4 2" xfId="30647" xr:uid="{00000000-0005-0000-0000-0000CC570000}"/>
    <cellStyle name="Normal 3 3 4 11 5" xfId="13132" xr:uid="{00000000-0005-0000-0000-0000CD570000}"/>
    <cellStyle name="Normal 3 3 4 11 5 2" xfId="30648" xr:uid="{00000000-0005-0000-0000-0000CE570000}"/>
    <cellStyle name="Normal 3 3 4 11 6" xfId="13133" xr:uid="{00000000-0005-0000-0000-0000CF570000}"/>
    <cellStyle name="Normal 3 3 4 11 6 2" xfId="30649" xr:uid="{00000000-0005-0000-0000-0000D0570000}"/>
    <cellStyle name="Normal 3 3 4 11 7" xfId="13134" xr:uid="{00000000-0005-0000-0000-0000D1570000}"/>
    <cellStyle name="Normal 3 3 4 11 7 2" xfId="30650" xr:uid="{00000000-0005-0000-0000-0000D2570000}"/>
    <cellStyle name="Normal 3 3 4 11 8" xfId="13135" xr:uid="{00000000-0005-0000-0000-0000D3570000}"/>
    <cellStyle name="Normal 3 3 4 11 8 2" xfId="30651" xr:uid="{00000000-0005-0000-0000-0000D4570000}"/>
    <cellStyle name="Normal 3 3 4 11 9" xfId="13136" xr:uid="{00000000-0005-0000-0000-0000D5570000}"/>
    <cellStyle name="Normal 3 3 4 11 9 2" xfId="30652" xr:uid="{00000000-0005-0000-0000-0000D6570000}"/>
    <cellStyle name="Normal 3 3 4 12" xfId="13137" xr:uid="{00000000-0005-0000-0000-0000D7570000}"/>
    <cellStyle name="Normal 3 3 4 12 10" xfId="13138" xr:uid="{00000000-0005-0000-0000-0000D8570000}"/>
    <cellStyle name="Normal 3 3 4 12 10 2" xfId="30654" xr:uid="{00000000-0005-0000-0000-0000D9570000}"/>
    <cellStyle name="Normal 3 3 4 12 11" xfId="13139" xr:uid="{00000000-0005-0000-0000-0000DA570000}"/>
    <cellStyle name="Normal 3 3 4 12 11 2" xfId="30655" xr:uid="{00000000-0005-0000-0000-0000DB570000}"/>
    <cellStyle name="Normal 3 3 4 12 12" xfId="13140" xr:uid="{00000000-0005-0000-0000-0000DC570000}"/>
    <cellStyle name="Normal 3 3 4 12 12 2" xfId="30656" xr:uid="{00000000-0005-0000-0000-0000DD570000}"/>
    <cellStyle name="Normal 3 3 4 12 13" xfId="13141" xr:uid="{00000000-0005-0000-0000-0000DE570000}"/>
    <cellStyle name="Normal 3 3 4 12 13 2" xfId="30657" xr:uid="{00000000-0005-0000-0000-0000DF570000}"/>
    <cellStyle name="Normal 3 3 4 12 14" xfId="13142" xr:uid="{00000000-0005-0000-0000-0000E0570000}"/>
    <cellStyle name="Normal 3 3 4 12 14 2" xfId="30658" xr:uid="{00000000-0005-0000-0000-0000E1570000}"/>
    <cellStyle name="Normal 3 3 4 12 15" xfId="30653" xr:uid="{00000000-0005-0000-0000-0000E2570000}"/>
    <cellStyle name="Normal 3 3 4 12 2" xfId="13143" xr:uid="{00000000-0005-0000-0000-0000E3570000}"/>
    <cellStyle name="Normal 3 3 4 12 2 2" xfId="30659" xr:uid="{00000000-0005-0000-0000-0000E4570000}"/>
    <cellStyle name="Normal 3 3 4 12 3" xfId="13144" xr:uid="{00000000-0005-0000-0000-0000E5570000}"/>
    <cellStyle name="Normal 3 3 4 12 3 2" xfId="30660" xr:uid="{00000000-0005-0000-0000-0000E6570000}"/>
    <cellStyle name="Normal 3 3 4 12 4" xfId="13145" xr:uid="{00000000-0005-0000-0000-0000E7570000}"/>
    <cellStyle name="Normal 3 3 4 12 4 2" xfId="30661" xr:uid="{00000000-0005-0000-0000-0000E8570000}"/>
    <cellStyle name="Normal 3 3 4 12 5" xfId="13146" xr:uid="{00000000-0005-0000-0000-0000E9570000}"/>
    <cellStyle name="Normal 3 3 4 12 5 2" xfId="30662" xr:uid="{00000000-0005-0000-0000-0000EA570000}"/>
    <cellStyle name="Normal 3 3 4 12 6" xfId="13147" xr:uid="{00000000-0005-0000-0000-0000EB570000}"/>
    <cellStyle name="Normal 3 3 4 12 6 2" xfId="30663" xr:uid="{00000000-0005-0000-0000-0000EC570000}"/>
    <cellStyle name="Normal 3 3 4 12 7" xfId="13148" xr:uid="{00000000-0005-0000-0000-0000ED570000}"/>
    <cellStyle name="Normal 3 3 4 12 7 2" xfId="30664" xr:uid="{00000000-0005-0000-0000-0000EE570000}"/>
    <cellStyle name="Normal 3 3 4 12 8" xfId="13149" xr:uid="{00000000-0005-0000-0000-0000EF570000}"/>
    <cellStyle name="Normal 3 3 4 12 8 2" xfId="30665" xr:uid="{00000000-0005-0000-0000-0000F0570000}"/>
    <cellStyle name="Normal 3 3 4 12 9" xfId="13150" xr:uid="{00000000-0005-0000-0000-0000F1570000}"/>
    <cellStyle name="Normal 3 3 4 12 9 2" xfId="30666" xr:uid="{00000000-0005-0000-0000-0000F2570000}"/>
    <cellStyle name="Normal 3 3 4 13" xfId="13151" xr:uid="{00000000-0005-0000-0000-0000F3570000}"/>
    <cellStyle name="Normal 3 3 4 13 10" xfId="13152" xr:uid="{00000000-0005-0000-0000-0000F4570000}"/>
    <cellStyle name="Normal 3 3 4 13 10 2" xfId="30668" xr:uid="{00000000-0005-0000-0000-0000F5570000}"/>
    <cellStyle name="Normal 3 3 4 13 11" xfId="13153" xr:uid="{00000000-0005-0000-0000-0000F6570000}"/>
    <cellStyle name="Normal 3 3 4 13 11 2" xfId="30669" xr:uid="{00000000-0005-0000-0000-0000F7570000}"/>
    <cellStyle name="Normal 3 3 4 13 12" xfId="13154" xr:uid="{00000000-0005-0000-0000-0000F8570000}"/>
    <cellStyle name="Normal 3 3 4 13 12 2" xfId="30670" xr:uid="{00000000-0005-0000-0000-0000F9570000}"/>
    <cellStyle name="Normal 3 3 4 13 13" xfId="13155" xr:uid="{00000000-0005-0000-0000-0000FA570000}"/>
    <cellStyle name="Normal 3 3 4 13 13 2" xfId="30671" xr:uid="{00000000-0005-0000-0000-0000FB570000}"/>
    <cellStyle name="Normal 3 3 4 13 14" xfId="13156" xr:uid="{00000000-0005-0000-0000-0000FC570000}"/>
    <cellStyle name="Normal 3 3 4 13 14 2" xfId="30672" xr:uid="{00000000-0005-0000-0000-0000FD570000}"/>
    <cellStyle name="Normal 3 3 4 13 15" xfId="30667" xr:uid="{00000000-0005-0000-0000-0000FE570000}"/>
    <cellStyle name="Normal 3 3 4 13 2" xfId="13157" xr:uid="{00000000-0005-0000-0000-0000FF570000}"/>
    <cellStyle name="Normal 3 3 4 13 2 2" xfId="30673" xr:uid="{00000000-0005-0000-0000-000000580000}"/>
    <cellStyle name="Normal 3 3 4 13 3" xfId="13158" xr:uid="{00000000-0005-0000-0000-000001580000}"/>
    <cellStyle name="Normal 3 3 4 13 3 2" xfId="30674" xr:uid="{00000000-0005-0000-0000-000002580000}"/>
    <cellStyle name="Normal 3 3 4 13 4" xfId="13159" xr:uid="{00000000-0005-0000-0000-000003580000}"/>
    <cellStyle name="Normal 3 3 4 13 4 2" xfId="30675" xr:uid="{00000000-0005-0000-0000-000004580000}"/>
    <cellStyle name="Normal 3 3 4 13 5" xfId="13160" xr:uid="{00000000-0005-0000-0000-000005580000}"/>
    <cellStyle name="Normal 3 3 4 13 5 2" xfId="30676" xr:uid="{00000000-0005-0000-0000-000006580000}"/>
    <cellStyle name="Normal 3 3 4 13 6" xfId="13161" xr:uid="{00000000-0005-0000-0000-000007580000}"/>
    <cellStyle name="Normal 3 3 4 13 6 2" xfId="30677" xr:uid="{00000000-0005-0000-0000-000008580000}"/>
    <cellStyle name="Normal 3 3 4 13 7" xfId="13162" xr:uid="{00000000-0005-0000-0000-000009580000}"/>
    <cellStyle name="Normal 3 3 4 13 7 2" xfId="30678" xr:uid="{00000000-0005-0000-0000-00000A580000}"/>
    <cellStyle name="Normal 3 3 4 13 8" xfId="13163" xr:uid="{00000000-0005-0000-0000-00000B580000}"/>
    <cellStyle name="Normal 3 3 4 13 8 2" xfId="30679" xr:uid="{00000000-0005-0000-0000-00000C580000}"/>
    <cellStyle name="Normal 3 3 4 13 9" xfId="13164" xr:uid="{00000000-0005-0000-0000-00000D580000}"/>
    <cellStyle name="Normal 3 3 4 13 9 2" xfId="30680" xr:uid="{00000000-0005-0000-0000-00000E580000}"/>
    <cellStyle name="Normal 3 3 4 14" xfId="13165" xr:uid="{00000000-0005-0000-0000-00000F580000}"/>
    <cellStyle name="Normal 3 3 4 14 10" xfId="13166" xr:uid="{00000000-0005-0000-0000-000010580000}"/>
    <cellStyle name="Normal 3 3 4 14 10 2" xfId="30682" xr:uid="{00000000-0005-0000-0000-000011580000}"/>
    <cellStyle name="Normal 3 3 4 14 11" xfId="13167" xr:uid="{00000000-0005-0000-0000-000012580000}"/>
    <cellStyle name="Normal 3 3 4 14 11 2" xfId="30683" xr:uid="{00000000-0005-0000-0000-000013580000}"/>
    <cellStyle name="Normal 3 3 4 14 12" xfId="13168" xr:uid="{00000000-0005-0000-0000-000014580000}"/>
    <cellStyle name="Normal 3 3 4 14 12 2" xfId="30684" xr:uid="{00000000-0005-0000-0000-000015580000}"/>
    <cellStyle name="Normal 3 3 4 14 13" xfId="13169" xr:uid="{00000000-0005-0000-0000-000016580000}"/>
    <cellStyle name="Normal 3 3 4 14 13 2" xfId="30685" xr:uid="{00000000-0005-0000-0000-000017580000}"/>
    <cellStyle name="Normal 3 3 4 14 14" xfId="13170" xr:uid="{00000000-0005-0000-0000-000018580000}"/>
    <cellStyle name="Normal 3 3 4 14 14 2" xfId="30686" xr:uid="{00000000-0005-0000-0000-000019580000}"/>
    <cellStyle name="Normal 3 3 4 14 15" xfId="30681" xr:uid="{00000000-0005-0000-0000-00001A580000}"/>
    <cellStyle name="Normal 3 3 4 14 2" xfId="13171" xr:uid="{00000000-0005-0000-0000-00001B580000}"/>
    <cellStyle name="Normal 3 3 4 14 2 2" xfId="30687" xr:uid="{00000000-0005-0000-0000-00001C580000}"/>
    <cellStyle name="Normal 3 3 4 14 3" xfId="13172" xr:uid="{00000000-0005-0000-0000-00001D580000}"/>
    <cellStyle name="Normal 3 3 4 14 3 2" xfId="30688" xr:uid="{00000000-0005-0000-0000-00001E580000}"/>
    <cellStyle name="Normal 3 3 4 14 4" xfId="13173" xr:uid="{00000000-0005-0000-0000-00001F580000}"/>
    <cellStyle name="Normal 3 3 4 14 4 2" xfId="30689" xr:uid="{00000000-0005-0000-0000-000020580000}"/>
    <cellStyle name="Normal 3 3 4 14 5" xfId="13174" xr:uid="{00000000-0005-0000-0000-000021580000}"/>
    <cellStyle name="Normal 3 3 4 14 5 2" xfId="30690" xr:uid="{00000000-0005-0000-0000-000022580000}"/>
    <cellStyle name="Normal 3 3 4 14 6" xfId="13175" xr:uid="{00000000-0005-0000-0000-000023580000}"/>
    <cellStyle name="Normal 3 3 4 14 6 2" xfId="30691" xr:uid="{00000000-0005-0000-0000-000024580000}"/>
    <cellStyle name="Normal 3 3 4 14 7" xfId="13176" xr:uid="{00000000-0005-0000-0000-000025580000}"/>
    <cellStyle name="Normal 3 3 4 14 7 2" xfId="30692" xr:uid="{00000000-0005-0000-0000-000026580000}"/>
    <cellStyle name="Normal 3 3 4 14 8" xfId="13177" xr:uid="{00000000-0005-0000-0000-000027580000}"/>
    <cellStyle name="Normal 3 3 4 14 8 2" xfId="30693" xr:uid="{00000000-0005-0000-0000-000028580000}"/>
    <cellStyle name="Normal 3 3 4 14 9" xfId="13178" xr:uid="{00000000-0005-0000-0000-000029580000}"/>
    <cellStyle name="Normal 3 3 4 14 9 2" xfId="30694" xr:uid="{00000000-0005-0000-0000-00002A580000}"/>
    <cellStyle name="Normal 3 3 4 15" xfId="13179" xr:uid="{00000000-0005-0000-0000-00002B580000}"/>
    <cellStyle name="Normal 3 3 4 15 2" xfId="30695" xr:uid="{00000000-0005-0000-0000-00002C580000}"/>
    <cellStyle name="Normal 3 3 4 16" xfId="13180" xr:uid="{00000000-0005-0000-0000-00002D580000}"/>
    <cellStyle name="Normal 3 3 4 16 2" xfId="30696" xr:uid="{00000000-0005-0000-0000-00002E580000}"/>
    <cellStyle name="Normal 3 3 4 17" xfId="13181" xr:uid="{00000000-0005-0000-0000-00002F580000}"/>
    <cellStyle name="Normal 3 3 4 17 2" xfId="30697" xr:uid="{00000000-0005-0000-0000-000030580000}"/>
    <cellStyle name="Normal 3 3 4 18" xfId="13182" xr:uid="{00000000-0005-0000-0000-000031580000}"/>
    <cellStyle name="Normal 3 3 4 18 2" xfId="30698" xr:uid="{00000000-0005-0000-0000-000032580000}"/>
    <cellStyle name="Normal 3 3 4 19" xfId="13183" xr:uid="{00000000-0005-0000-0000-000033580000}"/>
    <cellStyle name="Normal 3 3 4 19 2" xfId="30699" xr:uid="{00000000-0005-0000-0000-000034580000}"/>
    <cellStyle name="Normal 3 3 4 2" xfId="13184" xr:uid="{00000000-0005-0000-0000-000035580000}"/>
    <cellStyle name="Normal 3 3 4 20" xfId="13185" xr:uid="{00000000-0005-0000-0000-000036580000}"/>
    <cellStyle name="Normal 3 3 4 20 2" xfId="30700" xr:uid="{00000000-0005-0000-0000-000037580000}"/>
    <cellStyle name="Normal 3 3 4 21" xfId="13186" xr:uid="{00000000-0005-0000-0000-000038580000}"/>
    <cellStyle name="Normal 3 3 4 21 2" xfId="30701" xr:uid="{00000000-0005-0000-0000-000039580000}"/>
    <cellStyle name="Normal 3 3 4 22" xfId="13187" xr:uid="{00000000-0005-0000-0000-00003A580000}"/>
    <cellStyle name="Normal 3 3 4 22 2" xfId="30702" xr:uid="{00000000-0005-0000-0000-00003B580000}"/>
    <cellStyle name="Normal 3 3 4 23" xfId="13188" xr:uid="{00000000-0005-0000-0000-00003C580000}"/>
    <cellStyle name="Normal 3 3 4 23 2" xfId="30703" xr:uid="{00000000-0005-0000-0000-00003D580000}"/>
    <cellStyle name="Normal 3 3 4 24" xfId="13189" xr:uid="{00000000-0005-0000-0000-00003E580000}"/>
    <cellStyle name="Normal 3 3 4 24 2" xfId="30704" xr:uid="{00000000-0005-0000-0000-00003F580000}"/>
    <cellStyle name="Normal 3 3 4 25" xfId="13190" xr:uid="{00000000-0005-0000-0000-000040580000}"/>
    <cellStyle name="Normal 3 3 4 25 2" xfId="30705" xr:uid="{00000000-0005-0000-0000-000041580000}"/>
    <cellStyle name="Normal 3 3 4 26" xfId="13191" xr:uid="{00000000-0005-0000-0000-000042580000}"/>
    <cellStyle name="Normal 3 3 4 26 2" xfId="30706" xr:uid="{00000000-0005-0000-0000-000043580000}"/>
    <cellStyle name="Normal 3 3 4 27" xfId="13192" xr:uid="{00000000-0005-0000-0000-000044580000}"/>
    <cellStyle name="Normal 3 3 4 27 2" xfId="30707" xr:uid="{00000000-0005-0000-0000-000045580000}"/>
    <cellStyle name="Normal 3 3 4 28" xfId="30624" xr:uid="{00000000-0005-0000-0000-000046580000}"/>
    <cellStyle name="Normal 3 3 4 3" xfId="13193" xr:uid="{00000000-0005-0000-0000-000047580000}"/>
    <cellStyle name="Normal 3 3 4 4" xfId="13194" xr:uid="{00000000-0005-0000-0000-000048580000}"/>
    <cellStyle name="Normal 3 3 4 5" xfId="13195" xr:uid="{00000000-0005-0000-0000-000049580000}"/>
    <cellStyle name="Normal 3 3 4 6" xfId="13196" xr:uid="{00000000-0005-0000-0000-00004A580000}"/>
    <cellStyle name="Normal 3 3 4 6 10" xfId="13197" xr:uid="{00000000-0005-0000-0000-00004B580000}"/>
    <cellStyle name="Normal 3 3 4 6 10 2" xfId="30709" xr:uid="{00000000-0005-0000-0000-00004C580000}"/>
    <cellStyle name="Normal 3 3 4 6 11" xfId="13198" xr:uid="{00000000-0005-0000-0000-00004D580000}"/>
    <cellStyle name="Normal 3 3 4 6 11 2" xfId="30710" xr:uid="{00000000-0005-0000-0000-00004E580000}"/>
    <cellStyle name="Normal 3 3 4 6 12" xfId="13199" xr:uid="{00000000-0005-0000-0000-00004F580000}"/>
    <cellStyle name="Normal 3 3 4 6 12 2" xfId="30711" xr:uid="{00000000-0005-0000-0000-000050580000}"/>
    <cellStyle name="Normal 3 3 4 6 13" xfId="13200" xr:uid="{00000000-0005-0000-0000-000051580000}"/>
    <cellStyle name="Normal 3 3 4 6 13 2" xfId="30712" xr:uid="{00000000-0005-0000-0000-000052580000}"/>
    <cellStyle name="Normal 3 3 4 6 14" xfId="13201" xr:uid="{00000000-0005-0000-0000-000053580000}"/>
    <cellStyle name="Normal 3 3 4 6 14 2" xfId="30713" xr:uid="{00000000-0005-0000-0000-000054580000}"/>
    <cellStyle name="Normal 3 3 4 6 15" xfId="13202" xr:uid="{00000000-0005-0000-0000-000055580000}"/>
    <cellStyle name="Normal 3 3 4 6 15 2" xfId="30714" xr:uid="{00000000-0005-0000-0000-000056580000}"/>
    <cellStyle name="Normal 3 3 4 6 16" xfId="30708" xr:uid="{00000000-0005-0000-0000-000057580000}"/>
    <cellStyle name="Normal 3 3 4 6 2" xfId="13203" xr:uid="{00000000-0005-0000-0000-000058580000}"/>
    <cellStyle name="Normal 3 3 4 6 2 10" xfId="13204" xr:uid="{00000000-0005-0000-0000-000059580000}"/>
    <cellStyle name="Normal 3 3 4 6 2 10 2" xfId="30716" xr:uid="{00000000-0005-0000-0000-00005A580000}"/>
    <cellStyle name="Normal 3 3 4 6 2 11" xfId="13205" xr:uid="{00000000-0005-0000-0000-00005B580000}"/>
    <cellStyle name="Normal 3 3 4 6 2 11 2" xfId="30717" xr:uid="{00000000-0005-0000-0000-00005C580000}"/>
    <cellStyle name="Normal 3 3 4 6 2 12" xfId="13206" xr:uid="{00000000-0005-0000-0000-00005D580000}"/>
    <cellStyle name="Normal 3 3 4 6 2 12 2" xfId="30718" xr:uid="{00000000-0005-0000-0000-00005E580000}"/>
    <cellStyle name="Normal 3 3 4 6 2 13" xfId="13207" xr:uid="{00000000-0005-0000-0000-00005F580000}"/>
    <cellStyle name="Normal 3 3 4 6 2 13 2" xfId="30719" xr:uid="{00000000-0005-0000-0000-000060580000}"/>
    <cellStyle name="Normal 3 3 4 6 2 14" xfId="13208" xr:uid="{00000000-0005-0000-0000-000061580000}"/>
    <cellStyle name="Normal 3 3 4 6 2 14 2" xfId="30720" xr:uid="{00000000-0005-0000-0000-000062580000}"/>
    <cellStyle name="Normal 3 3 4 6 2 15" xfId="30715" xr:uid="{00000000-0005-0000-0000-000063580000}"/>
    <cellStyle name="Normal 3 3 4 6 2 2" xfId="13209" xr:uid="{00000000-0005-0000-0000-000064580000}"/>
    <cellStyle name="Normal 3 3 4 6 2 2 2" xfId="30721" xr:uid="{00000000-0005-0000-0000-000065580000}"/>
    <cellStyle name="Normal 3 3 4 6 2 3" xfId="13210" xr:uid="{00000000-0005-0000-0000-000066580000}"/>
    <cellStyle name="Normal 3 3 4 6 2 3 2" xfId="30722" xr:uid="{00000000-0005-0000-0000-000067580000}"/>
    <cellStyle name="Normal 3 3 4 6 2 4" xfId="13211" xr:uid="{00000000-0005-0000-0000-000068580000}"/>
    <cellStyle name="Normal 3 3 4 6 2 4 2" xfId="30723" xr:uid="{00000000-0005-0000-0000-000069580000}"/>
    <cellStyle name="Normal 3 3 4 6 2 5" xfId="13212" xr:uid="{00000000-0005-0000-0000-00006A580000}"/>
    <cellStyle name="Normal 3 3 4 6 2 5 2" xfId="30724" xr:uid="{00000000-0005-0000-0000-00006B580000}"/>
    <cellStyle name="Normal 3 3 4 6 2 6" xfId="13213" xr:uid="{00000000-0005-0000-0000-00006C580000}"/>
    <cellStyle name="Normal 3 3 4 6 2 6 2" xfId="30725" xr:uid="{00000000-0005-0000-0000-00006D580000}"/>
    <cellStyle name="Normal 3 3 4 6 2 7" xfId="13214" xr:uid="{00000000-0005-0000-0000-00006E580000}"/>
    <cellStyle name="Normal 3 3 4 6 2 7 2" xfId="30726" xr:uid="{00000000-0005-0000-0000-00006F580000}"/>
    <cellStyle name="Normal 3 3 4 6 2 8" xfId="13215" xr:uid="{00000000-0005-0000-0000-000070580000}"/>
    <cellStyle name="Normal 3 3 4 6 2 8 2" xfId="30727" xr:uid="{00000000-0005-0000-0000-000071580000}"/>
    <cellStyle name="Normal 3 3 4 6 2 9" xfId="13216" xr:uid="{00000000-0005-0000-0000-000072580000}"/>
    <cellStyle name="Normal 3 3 4 6 2 9 2" xfId="30728" xr:uid="{00000000-0005-0000-0000-000073580000}"/>
    <cellStyle name="Normal 3 3 4 6 3" xfId="13217" xr:uid="{00000000-0005-0000-0000-000074580000}"/>
    <cellStyle name="Normal 3 3 4 6 3 2" xfId="30729" xr:uid="{00000000-0005-0000-0000-000075580000}"/>
    <cellStyle name="Normal 3 3 4 6 4" xfId="13218" xr:uid="{00000000-0005-0000-0000-000076580000}"/>
    <cellStyle name="Normal 3 3 4 6 4 2" xfId="30730" xr:uid="{00000000-0005-0000-0000-000077580000}"/>
    <cellStyle name="Normal 3 3 4 6 5" xfId="13219" xr:uid="{00000000-0005-0000-0000-000078580000}"/>
    <cellStyle name="Normal 3 3 4 6 5 2" xfId="30731" xr:uid="{00000000-0005-0000-0000-000079580000}"/>
    <cellStyle name="Normal 3 3 4 6 6" xfId="13220" xr:uid="{00000000-0005-0000-0000-00007A580000}"/>
    <cellStyle name="Normal 3 3 4 6 6 2" xfId="30732" xr:uid="{00000000-0005-0000-0000-00007B580000}"/>
    <cellStyle name="Normal 3 3 4 6 7" xfId="13221" xr:uid="{00000000-0005-0000-0000-00007C580000}"/>
    <cellStyle name="Normal 3 3 4 6 7 2" xfId="30733" xr:uid="{00000000-0005-0000-0000-00007D580000}"/>
    <cellStyle name="Normal 3 3 4 6 8" xfId="13222" xr:uid="{00000000-0005-0000-0000-00007E580000}"/>
    <cellStyle name="Normal 3 3 4 6 8 2" xfId="30734" xr:uid="{00000000-0005-0000-0000-00007F580000}"/>
    <cellStyle name="Normal 3 3 4 6 9" xfId="13223" xr:uid="{00000000-0005-0000-0000-000080580000}"/>
    <cellStyle name="Normal 3 3 4 6 9 2" xfId="30735" xr:uid="{00000000-0005-0000-0000-000081580000}"/>
    <cellStyle name="Normal 3 3 4 7" xfId="13224" xr:uid="{00000000-0005-0000-0000-000082580000}"/>
    <cellStyle name="Normal 3 3 4 7 10" xfId="13225" xr:uid="{00000000-0005-0000-0000-000083580000}"/>
    <cellStyle name="Normal 3 3 4 7 10 2" xfId="30737" xr:uid="{00000000-0005-0000-0000-000084580000}"/>
    <cellStyle name="Normal 3 3 4 7 11" xfId="13226" xr:uid="{00000000-0005-0000-0000-000085580000}"/>
    <cellStyle name="Normal 3 3 4 7 11 2" xfId="30738" xr:uid="{00000000-0005-0000-0000-000086580000}"/>
    <cellStyle name="Normal 3 3 4 7 12" xfId="13227" xr:uid="{00000000-0005-0000-0000-000087580000}"/>
    <cellStyle name="Normal 3 3 4 7 12 2" xfId="30739" xr:uid="{00000000-0005-0000-0000-000088580000}"/>
    <cellStyle name="Normal 3 3 4 7 13" xfId="13228" xr:uid="{00000000-0005-0000-0000-000089580000}"/>
    <cellStyle name="Normal 3 3 4 7 13 2" xfId="30740" xr:uid="{00000000-0005-0000-0000-00008A580000}"/>
    <cellStyle name="Normal 3 3 4 7 14" xfId="13229" xr:uid="{00000000-0005-0000-0000-00008B580000}"/>
    <cellStyle name="Normal 3 3 4 7 14 2" xfId="30741" xr:uid="{00000000-0005-0000-0000-00008C580000}"/>
    <cellStyle name="Normal 3 3 4 7 15" xfId="13230" xr:uid="{00000000-0005-0000-0000-00008D580000}"/>
    <cellStyle name="Normal 3 3 4 7 15 2" xfId="30742" xr:uid="{00000000-0005-0000-0000-00008E580000}"/>
    <cellStyle name="Normal 3 3 4 7 16" xfId="30736" xr:uid="{00000000-0005-0000-0000-00008F580000}"/>
    <cellStyle name="Normal 3 3 4 7 2" xfId="13231" xr:uid="{00000000-0005-0000-0000-000090580000}"/>
    <cellStyle name="Normal 3 3 4 7 2 10" xfId="13232" xr:uid="{00000000-0005-0000-0000-000091580000}"/>
    <cellStyle name="Normal 3 3 4 7 2 10 2" xfId="30744" xr:uid="{00000000-0005-0000-0000-000092580000}"/>
    <cellStyle name="Normal 3 3 4 7 2 11" xfId="13233" xr:uid="{00000000-0005-0000-0000-000093580000}"/>
    <cellStyle name="Normal 3 3 4 7 2 11 2" xfId="30745" xr:uid="{00000000-0005-0000-0000-000094580000}"/>
    <cellStyle name="Normal 3 3 4 7 2 12" xfId="13234" xr:uid="{00000000-0005-0000-0000-000095580000}"/>
    <cellStyle name="Normal 3 3 4 7 2 12 2" xfId="30746" xr:uid="{00000000-0005-0000-0000-000096580000}"/>
    <cellStyle name="Normal 3 3 4 7 2 13" xfId="13235" xr:uid="{00000000-0005-0000-0000-000097580000}"/>
    <cellStyle name="Normal 3 3 4 7 2 13 2" xfId="30747" xr:uid="{00000000-0005-0000-0000-000098580000}"/>
    <cellStyle name="Normal 3 3 4 7 2 14" xfId="13236" xr:uid="{00000000-0005-0000-0000-000099580000}"/>
    <cellStyle name="Normal 3 3 4 7 2 14 2" xfId="30748" xr:uid="{00000000-0005-0000-0000-00009A580000}"/>
    <cellStyle name="Normal 3 3 4 7 2 15" xfId="30743" xr:uid="{00000000-0005-0000-0000-00009B580000}"/>
    <cellStyle name="Normal 3 3 4 7 2 2" xfId="13237" xr:uid="{00000000-0005-0000-0000-00009C580000}"/>
    <cellStyle name="Normal 3 3 4 7 2 2 2" xfId="30749" xr:uid="{00000000-0005-0000-0000-00009D580000}"/>
    <cellStyle name="Normal 3 3 4 7 2 3" xfId="13238" xr:uid="{00000000-0005-0000-0000-00009E580000}"/>
    <cellStyle name="Normal 3 3 4 7 2 3 2" xfId="30750" xr:uid="{00000000-0005-0000-0000-00009F580000}"/>
    <cellStyle name="Normal 3 3 4 7 2 4" xfId="13239" xr:uid="{00000000-0005-0000-0000-0000A0580000}"/>
    <cellStyle name="Normal 3 3 4 7 2 4 2" xfId="30751" xr:uid="{00000000-0005-0000-0000-0000A1580000}"/>
    <cellStyle name="Normal 3 3 4 7 2 5" xfId="13240" xr:uid="{00000000-0005-0000-0000-0000A2580000}"/>
    <cellStyle name="Normal 3 3 4 7 2 5 2" xfId="30752" xr:uid="{00000000-0005-0000-0000-0000A3580000}"/>
    <cellStyle name="Normal 3 3 4 7 2 6" xfId="13241" xr:uid="{00000000-0005-0000-0000-0000A4580000}"/>
    <cellStyle name="Normal 3 3 4 7 2 6 2" xfId="30753" xr:uid="{00000000-0005-0000-0000-0000A5580000}"/>
    <cellStyle name="Normal 3 3 4 7 2 7" xfId="13242" xr:uid="{00000000-0005-0000-0000-0000A6580000}"/>
    <cellStyle name="Normal 3 3 4 7 2 7 2" xfId="30754" xr:uid="{00000000-0005-0000-0000-0000A7580000}"/>
    <cellStyle name="Normal 3 3 4 7 2 8" xfId="13243" xr:uid="{00000000-0005-0000-0000-0000A8580000}"/>
    <cellStyle name="Normal 3 3 4 7 2 8 2" xfId="30755" xr:uid="{00000000-0005-0000-0000-0000A9580000}"/>
    <cellStyle name="Normal 3 3 4 7 2 9" xfId="13244" xr:uid="{00000000-0005-0000-0000-0000AA580000}"/>
    <cellStyle name="Normal 3 3 4 7 2 9 2" xfId="30756" xr:uid="{00000000-0005-0000-0000-0000AB580000}"/>
    <cellStyle name="Normal 3 3 4 7 3" xfId="13245" xr:uid="{00000000-0005-0000-0000-0000AC580000}"/>
    <cellStyle name="Normal 3 3 4 7 3 2" xfId="30757" xr:uid="{00000000-0005-0000-0000-0000AD580000}"/>
    <cellStyle name="Normal 3 3 4 7 4" xfId="13246" xr:uid="{00000000-0005-0000-0000-0000AE580000}"/>
    <cellStyle name="Normal 3 3 4 7 4 2" xfId="30758" xr:uid="{00000000-0005-0000-0000-0000AF580000}"/>
    <cellStyle name="Normal 3 3 4 7 5" xfId="13247" xr:uid="{00000000-0005-0000-0000-0000B0580000}"/>
    <cellStyle name="Normal 3 3 4 7 5 2" xfId="30759" xr:uid="{00000000-0005-0000-0000-0000B1580000}"/>
    <cellStyle name="Normal 3 3 4 7 6" xfId="13248" xr:uid="{00000000-0005-0000-0000-0000B2580000}"/>
    <cellStyle name="Normal 3 3 4 7 6 2" xfId="30760" xr:uid="{00000000-0005-0000-0000-0000B3580000}"/>
    <cellStyle name="Normal 3 3 4 7 7" xfId="13249" xr:uid="{00000000-0005-0000-0000-0000B4580000}"/>
    <cellStyle name="Normal 3 3 4 7 7 2" xfId="30761" xr:uid="{00000000-0005-0000-0000-0000B5580000}"/>
    <cellStyle name="Normal 3 3 4 7 8" xfId="13250" xr:uid="{00000000-0005-0000-0000-0000B6580000}"/>
    <cellStyle name="Normal 3 3 4 7 8 2" xfId="30762" xr:uid="{00000000-0005-0000-0000-0000B7580000}"/>
    <cellStyle name="Normal 3 3 4 7 9" xfId="13251" xr:uid="{00000000-0005-0000-0000-0000B8580000}"/>
    <cellStyle name="Normal 3 3 4 7 9 2" xfId="30763" xr:uid="{00000000-0005-0000-0000-0000B9580000}"/>
    <cellStyle name="Normal 3 3 4 8" xfId="13252" xr:uid="{00000000-0005-0000-0000-0000BA580000}"/>
    <cellStyle name="Normal 3 3 4 8 10" xfId="13253" xr:uid="{00000000-0005-0000-0000-0000BB580000}"/>
    <cellStyle name="Normal 3 3 4 8 10 2" xfId="30765" xr:uid="{00000000-0005-0000-0000-0000BC580000}"/>
    <cellStyle name="Normal 3 3 4 8 11" xfId="13254" xr:uid="{00000000-0005-0000-0000-0000BD580000}"/>
    <cellStyle name="Normal 3 3 4 8 11 2" xfId="30766" xr:uid="{00000000-0005-0000-0000-0000BE580000}"/>
    <cellStyle name="Normal 3 3 4 8 12" xfId="13255" xr:uid="{00000000-0005-0000-0000-0000BF580000}"/>
    <cellStyle name="Normal 3 3 4 8 12 2" xfId="30767" xr:uid="{00000000-0005-0000-0000-0000C0580000}"/>
    <cellStyle name="Normal 3 3 4 8 13" xfId="13256" xr:uid="{00000000-0005-0000-0000-0000C1580000}"/>
    <cellStyle name="Normal 3 3 4 8 13 2" xfId="30768" xr:uid="{00000000-0005-0000-0000-0000C2580000}"/>
    <cellStyle name="Normal 3 3 4 8 14" xfId="13257" xr:uid="{00000000-0005-0000-0000-0000C3580000}"/>
    <cellStyle name="Normal 3 3 4 8 14 2" xfId="30769" xr:uid="{00000000-0005-0000-0000-0000C4580000}"/>
    <cellStyle name="Normal 3 3 4 8 15" xfId="13258" xr:uid="{00000000-0005-0000-0000-0000C5580000}"/>
    <cellStyle name="Normal 3 3 4 8 15 2" xfId="30770" xr:uid="{00000000-0005-0000-0000-0000C6580000}"/>
    <cellStyle name="Normal 3 3 4 8 16" xfId="30764" xr:uid="{00000000-0005-0000-0000-0000C7580000}"/>
    <cellStyle name="Normal 3 3 4 8 2" xfId="13259" xr:uid="{00000000-0005-0000-0000-0000C8580000}"/>
    <cellStyle name="Normal 3 3 4 8 2 10" xfId="13260" xr:uid="{00000000-0005-0000-0000-0000C9580000}"/>
    <cellStyle name="Normal 3 3 4 8 2 10 2" xfId="30772" xr:uid="{00000000-0005-0000-0000-0000CA580000}"/>
    <cellStyle name="Normal 3 3 4 8 2 11" xfId="13261" xr:uid="{00000000-0005-0000-0000-0000CB580000}"/>
    <cellStyle name="Normal 3 3 4 8 2 11 2" xfId="30773" xr:uid="{00000000-0005-0000-0000-0000CC580000}"/>
    <cellStyle name="Normal 3 3 4 8 2 12" xfId="13262" xr:uid="{00000000-0005-0000-0000-0000CD580000}"/>
    <cellStyle name="Normal 3 3 4 8 2 12 2" xfId="30774" xr:uid="{00000000-0005-0000-0000-0000CE580000}"/>
    <cellStyle name="Normal 3 3 4 8 2 13" xfId="13263" xr:uid="{00000000-0005-0000-0000-0000CF580000}"/>
    <cellStyle name="Normal 3 3 4 8 2 13 2" xfId="30775" xr:uid="{00000000-0005-0000-0000-0000D0580000}"/>
    <cellStyle name="Normal 3 3 4 8 2 14" xfId="13264" xr:uid="{00000000-0005-0000-0000-0000D1580000}"/>
    <cellStyle name="Normal 3 3 4 8 2 14 2" xfId="30776" xr:uid="{00000000-0005-0000-0000-0000D2580000}"/>
    <cellStyle name="Normal 3 3 4 8 2 15" xfId="30771" xr:uid="{00000000-0005-0000-0000-0000D3580000}"/>
    <cellStyle name="Normal 3 3 4 8 2 2" xfId="13265" xr:uid="{00000000-0005-0000-0000-0000D4580000}"/>
    <cellStyle name="Normal 3 3 4 8 2 2 2" xfId="30777" xr:uid="{00000000-0005-0000-0000-0000D5580000}"/>
    <cellStyle name="Normal 3 3 4 8 2 3" xfId="13266" xr:uid="{00000000-0005-0000-0000-0000D6580000}"/>
    <cellStyle name="Normal 3 3 4 8 2 3 2" xfId="30778" xr:uid="{00000000-0005-0000-0000-0000D7580000}"/>
    <cellStyle name="Normal 3 3 4 8 2 4" xfId="13267" xr:uid="{00000000-0005-0000-0000-0000D8580000}"/>
    <cellStyle name="Normal 3 3 4 8 2 4 2" xfId="30779" xr:uid="{00000000-0005-0000-0000-0000D9580000}"/>
    <cellStyle name="Normal 3 3 4 8 2 5" xfId="13268" xr:uid="{00000000-0005-0000-0000-0000DA580000}"/>
    <cellStyle name="Normal 3 3 4 8 2 5 2" xfId="30780" xr:uid="{00000000-0005-0000-0000-0000DB580000}"/>
    <cellStyle name="Normal 3 3 4 8 2 6" xfId="13269" xr:uid="{00000000-0005-0000-0000-0000DC580000}"/>
    <cellStyle name="Normal 3 3 4 8 2 6 2" xfId="30781" xr:uid="{00000000-0005-0000-0000-0000DD580000}"/>
    <cellStyle name="Normal 3 3 4 8 2 7" xfId="13270" xr:uid="{00000000-0005-0000-0000-0000DE580000}"/>
    <cellStyle name="Normal 3 3 4 8 2 7 2" xfId="30782" xr:uid="{00000000-0005-0000-0000-0000DF580000}"/>
    <cellStyle name="Normal 3 3 4 8 2 8" xfId="13271" xr:uid="{00000000-0005-0000-0000-0000E0580000}"/>
    <cellStyle name="Normal 3 3 4 8 2 8 2" xfId="30783" xr:uid="{00000000-0005-0000-0000-0000E1580000}"/>
    <cellStyle name="Normal 3 3 4 8 2 9" xfId="13272" xr:uid="{00000000-0005-0000-0000-0000E2580000}"/>
    <cellStyle name="Normal 3 3 4 8 2 9 2" xfId="30784" xr:uid="{00000000-0005-0000-0000-0000E3580000}"/>
    <cellStyle name="Normal 3 3 4 8 3" xfId="13273" xr:uid="{00000000-0005-0000-0000-0000E4580000}"/>
    <cellStyle name="Normal 3 3 4 8 3 2" xfId="30785" xr:uid="{00000000-0005-0000-0000-0000E5580000}"/>
    <cellStyle name="Normal 3 3 4 8 4" xfId="13274" xr:uid="{00000000-0005-0000-0000-0000E6580000}"/>
    <cellStyle name="Normal 3 3 4 8 4 2" xfId="30786" xr:uid="{00000000-0005-0000-0000-0000E7580000}"/>
    <cellStyle name="Normal 3 3 4 8 5" xfId="13275" xr:uid="{00000000-0005-0000-0000-0000E8580000}"/>
    <cellStyle name="Normal 3 3 4 8 5 2" xfId="30787" xr:uid="{00000000-0005-0000-0000-0000E9580000}"/>
    <cellStyle name="Normal 3 3 4 8 6" xfId="13276" xr:uid="{00000000-0005-0000-0000-0000EA580000}"/>
    <cellStyle name="Normal 3 3 4 8 6 2" xfId="30788" xr:uid="{00000000-0005-0000-0000-0000EB580000}"/>
    <cellStyle name="Normal 3 3 4 8 7" xfId="13277" xr:uid="{00000000-0005-0000-0000-0000EC580000}"/>
    <cellStyle name="Normal 3 3 4 8 7 2" xfId="30789" xr:uid="{00000000-0005-0000-0000-0000ED580000}"/>
    <cellStyle name="Normal 3 3 4 8 8" xfId="13278" xr:uid="{00000000-0005-0000-0000-0000EE580000}"/>
    <cellStyle name="Normal 3 3 4 8 8 2" xfId="30790" xr:uid="{00000000-0005-0000-0000-0000EF580000}"/>
    <cellStyle name="Normal 3 3 4 8 9" xfId="13279" xr:uid="{00000000-0005-0000-0000-0000F0580000}"/>
    <cellStyle name="Normal 3 3 4 8 9 2" xfId="30791" xr:uid="{00000000-0005-0000-0000-0000F1580000}"/>
    <cellStyle name="Normal 3 3 4 9" xfId="13280" xr:uid="{00000000-0005-0000-0000-0000F2580000}"/>
    <cellStyle name="Normal 3 3 4 9 10" xfId="13281" xr:uid="{00000000-0005-0000-0000-0000F3580000}"/>
    <cellStyle name="Normal 3 3 4 9 10 2" xfId="30793" xr:uid="{00000000-0005-0000-0000-0000F4580000}"/>
    <cellStyle name="Normal 3 3 4 9 11" xfId="13282" xr:uid="{00000000-0005-0000-0000-0000F5580000}"/>
    <cellStyle name="Normal 3 3 4 9 11 2" xfId="30794" xr:uid="{00000000-0005-0000-0000-0000F6580000}"/>
    <cellStyle name="Normal 3 3 4 9 12" xfId="13283" xr:uid="{00000000-0005-0000-0000-0000F7580000}"/>
    <cellStyle name="Normal 3 3 4 9 12 2" xfId="30795" xr:uid="{00000000-0005-0000-0000-0000F8580000}"/>
    <cellStyle name="Normal 3 3 4 9 13" xfId="13284" xr:uid="{00000000-0005-0000-0000-0000F9580000}"/>
    <cellStyle name="Normal 3 3 4 9 13 2" xfId="30796" xr:uid="{00000000-0005-0000-0000-0000FA580000}"/>
    <cellStyle name="Normal 3 3 4 9 14" xfId="13285" xr:uid="{00000000-0005-0000-0000-0000FB580000}"/>
    <cellStyle name="Normal 3 3 4 9 14 2" xfId="30797" xr:uid="{00000000-0005-0000-0000-0000FC580000}"/>
    <cellStyle name="Normal 3 3 4 9 15" xfId="30792" xr:uid="{00000000-0005-0000-0000-0000FD580000}"/>
    <cellStyle name="Normal 3 3 4 9 2" xfId="13286" xr:uid="{00000000-0005-0000-0000-0000FE580000}"/>
    <cellStyle name="Normal 3 3 4 9 2 2" xfId="30798" xr:uid="{00000000-0005-0000-0000-0000FF580000}"/>
    <cellStyle name="Normal 3 3 4 9 3" xfId="13287" xr:uid="{00000000-0005-0000-0000-000000590000}"/>
    <cellStyle name="Normal 3 3 4 9 3 2" xfId="30799" xr:uid="{00000000-0005-0000-0000-000001590000}"/>
    <cellStyle name="Normal 3 3 4 9 4" xfId="13288" xr:uid="{00000000-0005-0000-0000-000002590000}"/>
    <cellStyle name="Normal 3 3 4 9 4 2" xfId="30800" xr:uid="{00000000-0005-0000-0000-000003590000}"/>
    <cellStyle name="Normal 3 3 4 9 5" xfId="13289" xr:uid="{00000000-0005-0000-0000-000004590000}"/>
    <cellStyle name="Normal 3 3 4 9 5 2" xfId="30801" xr:uid="{00000000-0005-0000-0000-000005590000}"/>
    <cellStyle name="Normal 3 3 4 9 6" xfId="13290" xr:uid="{00000000-0005-0000-0000-000006590000}"/>
    <cellStyle name="Normal 3 3 4 9 6 2" xfId="30802" xr:uid="{00000000-0005-0000-0000-000007590000}"/>
    <cellStyle name="Normal 3 3 4 9 7" xfId="13291" xr:uid="{00000000-0005-0000-0000-000008590000}"/>
    <cellStyle name="Normal 3 3 4 9 7 2" xfId="30803" xr:uid="{00000000-0005-0000-0000-000009590000}"/>
    <cellStyle name="Normal 3 3 4 9 8" xfId="13292" xr:uid="{00000000-0005-0000-0000-00000A590000}"/>
    <cellStyle name="Normal 3 3 4 9 8 2" xfId="30804" xr:uid="{00000000-0005-0000-0000-00000B590000}"/>
    <cellStyle name="Normal 3 3 4 9 9" xfId="13293" xr:uid="{00000000-0005-0000-0000-00000C590000}"/>
    <cellStyle name="Normal 3 3 4 9 9 2" xfId="30805" xr:uid="{00000000-0005-0000-0000-00000D590000}"/>
    <cellStyle name="Normal 3 3 5" xfId="13294" xr:uid="{00000000-0005-0000-0000-00000E590000}"/>
    <cellStyle name="Normal 3 3 5 10" xfId="13295" xr:uid="{00000000-0005-0000-0000-00000F590000}"/>
    <cellStyle name="Normal 3 3 5 10 10" xfId="13296" xr:uid="{00000000-0005-0000-0000-000010590000}"/>
    <cellStyle name="Normal 3 3 5 10 10 2" xfId="30808" xr:uid="{00000000-0005-0000-0000-000011590000}"/>
    <cellStyle name="Normal 3 3 5 10 11" xfId="13297" xr:uid="{00000000-0005-0000-0000-000012590000}"/>
    <cellStyle name="Normal 3 3 5 10 11 2" xfId="30809" xr:uid="{00000000-0005-0000-0000-000013590000}"/>
    <cellStyle name="Normal 3 3 5 10 12" xfId="13298" xr:uid="{00000000-0005-0000-0000-000014590000}"/>
    <cellStyle name="Normal 3 3 5 10 12 2" xfId="30810" xr:uid="{00000000-0005-0000-0000-000015590000}"/>
    <cellStyle name="Normal 3 3 5 10 13" xfId="13299" xr:uid="{00000000-0005-0000-0000-000016590000}"/>
    <cellStyle name="Normal 3 3 5 10 13 2" xfId="30811" xr:uid="{00000000-0005-0000-0000-000017590000}"/>
    <cellStyle name="Normal 3 3 5 10 14" xfId="13300" xr:uid="{00000000-0005-0000-0000-000018590000}"/>
    <cellStyle name="Normal 3 3 5 10 14 2" xfId="30812" xr:uid="{00000000-0005-0000-0000-000019590000}"/>
    <cellStyle name="Normal 3 3 5 10 15" xfId="30807" xr:uid="{00000000-0005-0000-0000-00001A590000}"/>
    <cellStyle name="Normal 3 3 5 10 2" xfId="13301" xr:uid="{00000000-0005-0000-0000-00001B590000}"/>
    <cellStyle name="Normal 3 3 5 10 2 2" xfId="30813" xr:uid="{00000000-0005-0000-0000-00001C590000}"/>
    <cellStyle name="Normal 3 3 5 10 3" xfId="13302" xr:uid="{00000000-0005-0000-0000-00001D590000}"/>
    <cellStyle name="Normal 3 3 5 10 3 2" xfId="30814" xr:uid="{00000000-0005-0000-0000-00001E590000}"/>
    <cellStyle name="Normal 3 3 5 10 4" xfId="13303" xr:uid="{00000000-0005-0000-0000-00001F590000}"/>
    <cellStyle name="Normal 3 3 5 10 4 2" xfId="30815" xr:uid="{00000000-0005-0000-0000-000020590000}"/>
    <cellStyle name="Normal 3 3 5 10 5" xfId="13304" xr:uid="{00000000-0005-0000-0000-000021590000}"/>
    <cellStyle name="Normal 3 3 5 10 5 2" xfId="30816" xr:uid="{00000000-0005-0000-0000-000022590000}"/>
    <cellStyle name="Normal 3 3 5 10 6" xfId="13305" xr:uid="{00000000-0005-0000-0000-000023590000}"/>
    <cellStyle name="Normal 3 3 5 10 6 2" xfId="30817" xr:uid="{00000000-0005-0000-0000-000024590000}"/>
    <cellStyle name="Normal 3 3 5 10 7" xfId="13306" xr:uid="{00000000-0005-0000-0000-000025590000}"/>
    <cellStyle name="Normal 3 3 5 10 7 2" xfId="30818" xr:uid="{00000000-0005-0000-0000-000026590000}"/>
    <cellStyle name="Normal 3 3 5 10 8" xfId="13307" xr:uid="{00000000-0005-0000-0000-000027590000}"/>
    <cellStyle name="Normal 3 3 5 10 8 2" xfId="30819" xr:uid="{00000000-0005-0000-0000-000028590000}"/>
    <cellStyle name="Normal 3 3 5 10 9" xfId="13308" xr:uid="{00000000-0005-0000-0000-000029590000}"/>
    <cellStyle name="Normal 3 3 5 10 9 2" xfId="30820" xr:uid="{00000000-0005-0000-0000-00002A590000}"/>
    <cellStyle name="Normal 3 3 5 11" xfId="13309" xr:uid="{00000000-0005-0000-0000-00002B590000}"/>
    <cellStyle name="Normal 3 3 5 11 10" xfId="13310" xr:uid="{00000000-0005-0000-0000-00002C590000}"/>
    <cellStyle name="Normal 3 3 5 11 10 2" xfId="30822" xr:uid="{00000000-0005-0000-0000-00002D590000}"/>
    <cellStyle name="Normal 3 3 5 11 11" xfId="13311" xr:uid="{00000000-0005-0000-0000-00002E590000}"/>
    <cellStyle name="Normal 3 3 5 11 11 2" xfId="30823" xr:uid="{00000000-0005-0000-0000-00002F590000}"/>
    <cellStyle name="Normal 3 3 5 11 12" xfId="13312" xr:uid="{00000000-0005-0000-0000-000030590000}"/>
    <cellStyle name="Normal 3 3 5 11 12 2" xfId="30824" xr:uid="{00000000-0005-0000-0000-000031590000}"/>
    <cellStyle name="Normal 3 3 5 11 13" xfId="13313" xr:uid="{00000000-0005-0000-0000-000032590000}"/>
    <cellStyle name="Normal 3 3 5 11 13 2" xfId="30825" xr:uid="{00000000-0005-0000-0000-000033590000}"/>
    <cellStyle name="Normal 3 3 5 11 14" xfId="13314" xr:uid="{00000000-0005-0000-0000-000034590000}"/>
    <cellStyle name="Normal 3 3 5 11 14 2" xfId="30826" xr:uid="{00000000-0005-0000-0000-000035590000}"/>
    <cellStyle name="Normal 3 3 5 11 15" xfId="30821" xr:uid="{00000000-0005-0000-0000-000036590000}"/>
    <cellStyle name="Normal 3 3 5 11 2" xfId="13315" xr:uid="{00000000-0005-0000-0000-000037590000}"/>
    <cellStyle name="Normal 3 3 5 11 2 2" xfId="30827" xr:uid="{00000000-0005-0000-0000-000038590000}"/>
    <cellStyle name="Normal 3 3 5 11 3" xfId="13316" xr:uid="{00000000-0005-0000-0000-000039590000}"/>
    <cellStyle name="Normal 3 3 5 11 3 2" xfId="30828" xr:uid="{00000000-0005-0000-0000-00003A590000}"/>
    <cellStyle name="Normal 3 3 5 11 4" xfId="13317" xr:uid="{00000000-0005-0000-0000-00003B590000}"/>
    <cellStyle name="Normal 3 3 5 11 4 2" xfId="30829" xr:uid="{00000000-0005-0000-0000-00003C590000}"/>
    <cellStyle name="Normal 3 3 5 11 5" xfId="13318" xr:uid="{00000000-0005-0000-0000-00003D590000}"/>
    <cellStyle name="Normal 3 3 5 11 5 2" xfId="30830" xr:uid="{00000000-0005-0000-0000-00003E590000}"/>
    <cellStyle name="Normal 3 3 5 11 6" xfId="13319" xr:uid="{00000000-0005-0000-0000-00003F590000}"/>
    <cellStyle name="Normal 3 3 5 11 6 2" xfId="30831" xr:uid="{00000000-0005-0000-0000-000040590000}"/>
    <cellStyle name="Normal 3 3 5 11 7" xfId="13320" xr:uid="{00000000-0005-0000-0000-000041590000}"/>
    <cellStyle name="Normal 3 3 5 11 7 2" xfId="30832" xr:uid="{00000000-0005-0000-0000-000042590000}"/>
    <cellStyle name="Normal 3 3 5 11 8" xfId="13321" xr:uid="{00000000-0005-0000-0000-000043590000}"/>
    <cellStyle name="Normal 3 3 5 11 8 2" xfId="30833" xr:uid="{00000000-0005-0000-0000-000044590000}"/>
    <cellStyle name="Normal 3 3 5 11 9" xfId="13322" xr:uid="{00000000-0005-0000-0000-000045590000}"/>
    <cellStyle name="Normal 3 3 5 11 9 2" xfId="30834" xr:uid="{00000000-0005-0000-0000-000046590000}"/>
    <cellStyle name="Normal 3 3 5 12" xfId="13323" xr:uid="{00000000-0005-0000-0000-000047590000}"/>
    <cellStyle name="Normal 3 3 5 12 10" xfId="13324" xr:uid="{00000000-0005-0000-0000-000048590000}"/>
    <cellStyle name="Normal 3 3 5 12 10 2" xfId="30836" xr:uid="{00000000-0005-0000-0000-000049590000}"/>
    <cellStyle name="Normal 3 3 5 12 11" xfId="13325" xr:uid="{00000000-0005-0000-0000-00004A590000}"/>
    <cellStyle name="Normal 3 3 5 12 11 2" xfId="30837" xr:uid="{00000000-0005-0000-0000-00004B590000}"/>
    <cellStyle name="Normal 3 3 5 12 12" xfId="13326" xr:uid="{00000000-0005-0000-0000-00004C590000}"/>
    <cellStyle name="Normal 3 3 5 12 12 2" xfId="30838" xr:uid="{00000000-0005-0000-0000-00004D590000}"/>
    <cellStyle name="Normal 3 3 5 12 13" xfId="13327" xr:uid="{00000000-0005-0000-0000-00004E590000}"/>
    <cellStyle name="Normal 3 3 5 12 13 2" xfId="30839" xr:uid="{00000000-0005-0000-0000-00004F590000}"/>
    <cellStyle name="Normal 3 3 5 12 14" xfId="13328" xr:uid="{00000000-0005-0000-0000-000050590000}"/>
    <cellStyle name="Normal 3 3 5 12 14 2" xfId="30840" xr:uid="{00000000-0005-0000-0000-000051590000}"/>
    <cellStyle name="Normal 3 3 5 12 15" xfId="30835" xr:uid="{00000000-0005-0000-0000-000052590000}"/>
    <cellStyle name="Normal 3 3 5 12 2" xfId="13329" xr:uid="{00000000-0005-0000-0000-000053590000}"/>
    <cellStyle name="Normal 3 3 5 12 2 2" xfId="30841" xr:uid="{00000000-0005-0000-0000-000054590000}"/>
    <cellStyle name="Normal 3 3 5 12 3" xfId="13330" xr:uid="{00000000-0005-0000-0000-000055590000}"/>
    <cellStyle name="Normal 3 3 5 12 3 2" xfId="30842" xr:uid="{00000000-0005-0000-0000-000056590000}"/>
    <cellStyle name="Normal 3 3 5 12 4" xfId="13331" xr:uid="{00000000-0005-0000-0000-000057590000}"/>
    <cellStyle name="Normal 3 3 5 12 4 2" xfId="30843" xr:uid="{00000000-0005-0000-0000-000058590000}"/>
    <cellStyle name="Normal 3 3 5 12 5" xfId="13332" xr:uid="{00000000-0005-0000-0000-000059590000}"/>
    <cellStyle name="Normal 3 3 5 12 5 2" xfId="30844" xr:uid="{00000000-0005-0000-0000-00005A590000}"/>
    <cellStyle name="Normal 3 3 5 12 6" xfId="13333" xr:uid="{00000000-0005-0000-0000-00005B590000}"/>
    <cellStyle name="Normal 3 3 5 12 6 2" xfId="30845" xr:uid="{00000000-0005-0000-0000-00005C590000}"/>
    <cellStyle name="Normal 3 3 5 12 7" xfId="13334" xr:uid="{00000000-0005-0000-0000-00005D590000}"/>
    <cellStyle name="Normal 3 3 5 12 7 2" xfId="30846" xr:uid="{00000000-0005-0000-0000-00005E590000}"/>
    <cellStyle name="Normal 3 3 5 12 8" xfId="13335" xr:uid="{00000000-0005-0000-0000-00005F590000}"/>
    <cellStyle name="Normal 3 3 5 12 8 2" xfId="30847" xr:uid="{00000000-0005-0000-0000-000060590000}"/>
    <cellStyle name="Normal 3 3 5 12 9" xfId="13336" xr:uid="{00000000-0005-0000-0000-000061590000}"/>
    <cellStyle name="Normal 3 3 5 12 9 2" xfId="30848" xr:uid="{00000000-0005-0000-0000-000062590000}"/>
    <cellStyle name="Normal 3 3 5 13" xfId="13337" xr:uid="{00000000-0005-0000-0000-000063590000}"/>
    <cellStyle name="Normal 3 3 5 13 10" xfId="13338" xr:uid="{00000000-0005-0000-0000-000064590000}"/>
    <cellStyle name="Normal 3 3 5 13 10 2" xfId="30850" xr:uid="{00000000-0005-0000-0000-000065590000}"/>
    <cellStyle name="Normal 3 3 5 13 11" xfId="13339" xr:uid="{00000000-0005-0000-0000-000066590000}"/>
    <cellStyle name="Normal 3 3 5 13 11 2" xfId="30851" xr:uid="{00000000-0005-0000-0000-000067590000}"/>
    <cellStyle name="Normal 3 3 5 13 12" xfId="13340" xr:uid="{00000000-0005-0000-0000-000068590000}"/>
    <cellStyle name="Normal 3 3 5 13 12 2" xfId="30852" xr:uid="{00000000-0005-0000-0000-000069590000}"/>
    <cellStyle name="Normal 3 3 5 13 13" xfId="13341" xr:uid="{00000000-0005-0000-0000-00006A590000}"/>
    <cellStyle name="Normal 3 3 5 13 13 2" xfId="30853" xr:uid="{00000000-0005-0000-0000-00006B590000}"/>
    <cellStyle name="Normal 3 3 5 13 14" xfId="13342" xr:uid="{00000000-0005-0000-0000-00006C590000}"/>
    <cellStyle name="Normal 3 3 5 13 14 2" xfId="30854" xr:uid="{00000000-0005-0000-0000-00006D590000}"/>
    <cellStyle name="Normal 3 3 5 13 15" xfId="30849" xr:uid="{00000000-0005-0000-0000-00006E590000}"/>
    <cellStyle name="Normal 3 3 5 13 2" xfId="13343" xr:uid="{00000000-0005-0000-0000-00006F590000}"/>
    <cellStyle name="Normal 3 3 5 13 2 2" xfId="30855" xr:uid="{00000000-0005-0000-0000-000070590000}"/>
    <cellStyle name="Normal 3 3 5 13 3" xfId="13344" xr:uid="{00000000-0005-0000-0000-000071590000}"/>
    <cellStyle name="Normal 3 3 5 13 3 2" xfId="30856" xr:uid="{00000000-0005-0000-0000-000072590000}"/>
    <cellStyle name="Normal 3 3 5 13 4" xfId="13345" xr:uid="{00000000-0005-0000-0000-000073590000}"/>
    <cellStyle name="Normal 3 3 5 13 4 2" xfId="30857" xr:uid="{00000000-0005-0000-0000-000074590000}"/>
    <cellStyle name="Normal 3 3 5 13 5" xfId="13346" xr:uid="{00000000-0005-0000-0000-000075590000}"/>
    <cellStyle name="Normal 3 3 5 13 5 2" xfId="30858" xr:uid="{00000000-0005-0000-0000-000076590000}"/>
    <cellStyle name="Normal 3 3 5 13 6" xfId="13347" xr:uid="{00000000-0005-0000-0000-000077590000}"/>
    <cellStyle name="Normal 3 3 5 13 6 2" xfId="30859" xr:uid="{00000000-0005-0000-0000-000078590000}"/>
    <cellStyle name="Normal 3 3 5 13 7" xfId="13348" xr:uid="{00000000-0005-0000-0000-000079590000}"/>
    <cellStyle name="Normal 3 3 5 13 7 2" xfId="30860" xr:uid="{00000000-0005-0000-0000-00007A590000}"/>
    <cellStyle name="Normal 3 3 5 13 8" xfId="13349" xr:uid="{00000000-0005-0000-0000-00007B590000}"/>
    <cellStyle name="Normal 3 3 5 13 8 2" xfId="30861" xr:uid="{00000000-0005-0000-0000-00007C590000}"/>
    <cellStyle name="Normal 3 3 5 13 9" xfId="13350" xr:uid="{00000000-0005-0000-0000-00007D590000}"/>
    <cellStyle name="Normal 3 3 5 13 9 2" xfId="30862" xr:uid="{00000000-0005-0000-0000-00007E590000}"/>
    <cellStyle name="Normal 3 3 5 14" xfId="13351" xr:uid="{00000000-0005-0000-0000-00007F590000}"/>
    <cellStyle name="Normal 3 3 5 14 10" xfId="13352" xr:uid="{00000000-0005-0000-0000-000080590000}"/>
    <cellStyle name="Normal 3 3 5 14 10 2" xfId="30864" xr:uid="{00000000-0005-0000-0000-000081590000}"/>
    <cellStyle name="Normal 3 3 5 14 11" xfId="13353" xr:uid="{00000000-0005-0000-0000-000082590000}"/>
    <cellStyle name="Normal 3 3 5 14 11 2" xfId="30865" xr:uid="{00000000-0005-0000-0000-000083590000}"/>
    <cellStyle name="Normal 3 3 5 14 12" xfId="13354" xr:uid="{00000000-0005-0000-0000-000084590000}"/>
    <cellStyle name="Normal 3 3 5 14 12 2" xfId="30866" xr:uid="{00000000-0005-0000-0000-000085590000}"/>
    <cellStyle name="Normal 3 3 5 14 13" xfId="13355" xr:uid="{00000000-0005-0000-0000-000086590000}"/>
    <cellStyle name="Normal 3 3 5 14 13 2" xfId="30867" xr:uid="{00000000-0005-0000-0000-000087590000}"/>
    <cellStyle name="Normal 3 3 5 14 14" xfId="13356" xr:uid="{00000000-0005-0000-0000-000088590000}"/>
    <cellStyle name="Normal 3 3 5 14 14 2" xfId="30868" xr:uid="{00000000-0005-0000-0000-000089590000}"/>
    <cellStyle name="Normal 3 3 5 14 15" xfId="30863" xr:uid="{00000000-0005-0000-0000-00008A590000}"/>
    <cellStyle name="Normal 3 3 5 14 2" xfId="13357" xr:uid="{00000000-0005-0000-0000-00008B590000}"/>
    <cellStyle name="Normal 3 3 5 14 2 2" xfId="30869" xr:uid="{00000000-0005-0000-0000-00008C590000}"/>
    <cellStyle name="Normal 3 3 5 14 3" xfId="13358" xr:uid="{00000000-0005-0000-0000-00008D590000}"/>
    <cellStyle name="Normal 3 3 5 14 3 2" xfId="30870" xr:uid="{00000000-0005-0000-0000-00008E590000}"/>
    <cellStyle name="Normal 3 3 5 14 4" xfId="13359" xr:uid="{00000000-0005-0000-0000-00008F590000}"/>
    <cellStyle name="Normal 3 3 5 14 4 2" xfId="30871" xr:uid="{00000000-0005-0000-0000-000090590000}"/>
    <cellStyle name="Normal 3 3 5 14 5" xfId="13360" xr:uid="{00000000-0005-0000-0000-000091590000}"/>
    <cellStyle name="Normal 3 3 5 14 5 2" xfId="30872" xr:uid="{00000000-0005-0000-0000-000092590000}"/>
    <cellStyle name="Normal 3 3 5 14 6" xfId="13361" xr:uid="{00000000-0005-0000-0000-000093590000}"/>
    <cellStyle name="Normal 3 3 5 14 6 2" xfId="30873" xr:uid="{00000000-0005-0000-0000-000094590000}"/>
    <cellStyle name="Normal 3 3 5 14 7" xfId="13362" xr:uid="{00000000-0005-0000-0000-000095590000}"/>
    <cellStyle name="Normal 3 3 5 14 7 2" xfId="30874" xr:uid="{00000000-0005-0000-0000-000096590000}"/>
    <cellStyle name="Normal 3 3 5 14 8" xfId="13363" xr:uid="{00000000-0005-0000-0000-000097590000}"/>
    <cellStyle name="Normal 3 3 5 14 8 2" xfId="30875" xr:uid="{00000000-0005-0000-0000-000098590000}"/>
    <cellStyle name="Normal 3 3 5 14 9" xfId="13364" xr:uid="{00000000-0005-0000-0000-000099590000}"/>
    <cellStyle name="Normal 3 3 5 14 9 2" xfId="30876" xr:uid="{00000000-0005-0000-0000-00009A590000}"/>
    <cellStyle name="Normal 3 3 5 15" xfId="13365" xr:uid="{00000000-0005-0000-0000-00009B590000}"/>
    <cellStyle name="Normal 3 3 5 15 2" xfId="30877" xr:uid="{00000000-0005-0000-0000-00009C590000}"/>
    <cellStyle name="Normal 3 3 5 16" xfId="13366" xr:uid="{00000000-0005-0000-0000-00009D590000}"/>
    <cellStyle name="Normal 3 3 5 16 2" xfId="30878" xr:uid="{00000000-0005-0000-0000-00009E590000}"/>
    <cellStyle name="Normal 3 3 5 17" xfId="13367" xr:uid="{00000000-0005-0000-0000-00009F590000}"/>
    <cellStyle name="Normal 3 3 5 17 2" xfId="30879" xr:uid="{00000000-0005-0000-0000-0000A0590000}"/>
    <cellStyle name="Normal 3 3 5 18" xfId="13368" xr:uid="{00000000-0005-0000-0000-0000A1590000}"/>
    <cellStyle name="Normal 3 3 5 18 2" xfId="30880" xr:uid="{00000000-0005-0000-0000-0000A2590000}"/>
    <cellStyle name="Normal 3 3 5 19" xfId="13369" xr:uid="{00000000-0005-0000-0000-0000A3590000}"/>
    <cellStyle name="Normal 3 3 5 19 2" xfId="30881" xr:uid="{00000000-0005-0000-0000-0000A4590000}"/>
    <cellStyle name="Normal 3 3 5 2" xfId="13370" xr:uid="{00000000-0005-0000-0000-0000A5590000}"/>
    <cellStyle name="Normal 3 3 5 20" xfId="13371" xr:uid="{00000000-0005-0000-0000-0000A6590000}"/>
    <cellStyle name="Normal 3 3 5 20 2" xfId="30882" xr:uid="{00000000-0005-0000-0000-0000A7590000}"/>
    <cellStyle name="Normal 3 3 5 21" xfId="13372" xr:uid="{00000000-0005-0000-0000-0000A8590000}"/>
    <cellStyle name="Normal 3 3 5 21 2" xfId="30883" xr:uid="{00000000-0005-0000-0000-0000A9590000}"/>
    <cellStyle name="Normal 3 3 5 22" xfId="13373" xr:uid="{00000000-0005-0000-0000-0000AA590000}"/>
    <cellStyle name="Normal 3 3 5 22 2" xfId="30884" xr:uid="{00000000-0005-0000-0000-0000AB590000}"/>
    <cellStyle name="Normal 3 3 5 23" xfId="13374" xr:uid="{00000000-0005-0000-0000-0000AC590000}"/>
    <cellStyle name="Normal 3 3 5 23 2" xfId="30885" xr:uid="{00000000-0005-0000-0000-0000AD590000}"/>
    <cellStyle name="Normal 3 3 5 24" xfId="13375" xr:uid="{00000000-0005-0000-0000-0000AE590000}"/>
    <cellStyle name="Normal 3 3 5 24 2" xfId="30886" xr:uid="{00000000-0005-0000-0000-0000AF590000}"/>
    <cellStyle name="Normal 3 3 5 25" xfId="13376" xr:uid="{00000000-0005-0000-0000-0000B0590000}"/>
    <cellStyle name="Normal 3 3 5 25 2" xfId="30887" xr:uid="{00000000-0005-0000-0000-0000B1590000}"/>
    <cellStyle name="Normal 3 3 5 26" xfId="13377" xr:uid="{00000000-0005-0000-0000-0000B2590000}"/>
    <cellStyle name="Normal 3 3 5 26 2" xfId="30888" xr:uid="{00000000-0005-0000-0000-0000B3590000}"/>
    <cellStyle name="Normal 3 3 5 27" xfId="13378" xr:uid="{00000000-0005-0000-0000-0000B4590000}"/>
    <cellStyle name="Normal 3 3 5 27 2" xfId="30889" xr:uid="{00000000-0005-0000-0000-0000B5590000}"/>
    <cellStyle name="Normal 3 3 5 28" xfId="30806" xr:uid="{00000000-0005-0000-0000-0000B6590000}"/>
    <cellStyle name="Normal 3 3 5 3" xfId="13379" xr:uid="{00000000-0005-0000-0000-0000B7590000}"/>
    <cellStyle name="Normal 3 3 5 4" xfId="13380" xr:uid="{00000000-0005-0000-0000-0000B8590000}"/>
    <cellStyle name="Normal 3 3 5 5" xfId="13381" xr:uid="{00000000-0005-0000-0000-0000B9590000}"/>
    <cellStyle name="Normal 3 3 5 6" xfId="13382" xr:uid="{00000000-0005-0000-0000-0000BA590000}"/>
    <cellStyle name="Normal 3 3 5 6 10" xfId="13383" xr:uid="{00000000-0005-0000-0000-0000BB590000}"/>
    <cellStyle name="Normal 3 3 5 6 10 2" xfId="30891" xr:uid="{00000000-0005-0000-0000-0000BC590000}"/>
    <cellStyle name="Normal 3 3 5 6 11" xfId="13384" xr:uid="{00000000-0005-0000-0000-0000BD590000}"/>
    <cellStyle name="Normal 3 3 5 6 11 2" xfId="30892" xr:uid="{00000000-0005-0000-0000-0000BE590000}"/>
    <cellStyle name="Normal 3 3 5 6 12" xfId="13385" xr:uid="{00000000-0005-0000-0000-0000BF590000}"/>
    <cellStyle name="Normal 3 3 5 6 12 2" xfId="30893" xr:uid="{00000000-0005-0000-0000-0000C0590000}"/>
    <cellStyle name="Normal 3 3 5 6 13" xfId="13386" xr:uid="{00000000-0005-0000-0000-0000C1590000}"/>
    <cellStyle name="Normal 3 3 5 6 13 2" xfId="30894" xr:uid="{00000000-0005-0000-0000-0000C2590000}"/>
    <cellStyle name="Normal 3 3 5 6 14" xfId="13387" xr:uid="{00000000-0005-0000-0000-0000C3590000}"/>
    <cellStyle name="Normal 3 3 5 6 14 2" xfId="30895" xr:uid="{00000000-0005-0000-0000-0000C4590000}"/>
    <cellStyle name="Normal 3 3 5 6 15" xfId="13388" xr:uid="{00000000-0005-0000-0000-0000C5590000}"/>
    <cellStyle name="Normal 3 3 5 6 15 2" xfId="30896" xr:uid="{00000000-0005-0000-0000-0000C6590000}"/>
    <cellStyle name="Normal 3 3 5 6 16" xfId="30890" xr:uid="{00000000-0005-0000-0000-0000C7590000}"/>
    <cellStyle name="Normal 3 3 5 6 2" xfId="13389" xr:uid="{00000000-0005-0000-0000-0000C8590000}"/>
    <cellStyle name="Normal 3 3 5 6 2 10" xfId="13390" xr:uid="{00000000-0005-0000-0000-0000C9590000}"/>
    <cellStyle name="Normal 3 3 5 6 2 10 2" xfId="30898" xr:uid="{00000000-0005-0000-0000-0000CA590000}"/>
    <cellStyle name="Normal 3 3 5 6 2 11" xfId="13391" xr:uid="{00000000-0005-0000-0000-0000CB590000}"/>
    <cellStyle name="Normal 3 3 5 6 2 11 2" xfId="30899" xr:uid="{00000000-0005-0000-0000-0000CC590000}"/>
    <cellStyle name="Normal 3 3 5 6 2 12" xfId="13392" xr:uid="{00000000-0005-0000-0000-0000CD590000}"/>
    <cellStyle name="Normal 3 3 5 6 2 12 2" xfId="30900" xr:uid="{00000000-0005-0000-0000-0000CE590000}"/>
    <cellStyle name="Normal 3 3 5 6 2 13" xfId="13393" xr:uid="{00000000-0005-0000-0000-0000CF590000}"/>
    <cellStyle name="Normal 3 3 5 6 2 13 2" xfId="30901" xr:uid="{00000000-0005-0000-0000-0000D0590000}"/>
    <cellStyle name="Normal 3 3 5 6 2 14" xfId="13394" xr:uid="{00000000-0005-0000-0000-0000D1590000}"/>
    <cellStyle name="Normal 3 3 5 6 2 14 2" xfId="30902" xr:uid="{00000000-0005-0000-0000-0000D2590000}"/>
    <cellStyle name="Normal 3 3 5 6 2 15" xfId="30897" xr:uid="{00000000-0005-0000-0000-0000D3590000}"/>
    <cellStyle name="Normal 3 3 5 6 2 2" xfId="13395" xr:uid="{00000000-0005-0000-0000-0000D4590000}"/>
    <cellStyle name="Normal 3 3 5 6 2 2 2" xfId="30903" xr:uid="{00000000-0005-0000-0000-0000D5590000}"/>
    <cellStyle name="Normal 3 3 5 6 2 3" xfId="13396" xr:uid="{00000000-0005-0000-0000-0000D6590000}"/>
    <cellStyle name="Normal 3 3 5 6 2 3 2" xfId="30904" xr:uid="{00000000-0005-0000-0000-0000D7590000}"/>
    <cellStyle name="Normal 3 3 5 6 2 4" xfId="13397" xr:uid="{00000000-0005-0000-0000-0000D8590000}"/>
    <cellStyle name="Normal 3 3 5 6 2 4 2" xfId="30905" xr:uid="{00000000-0005-0000-0000-0000D9590000}"/>
    <cellStyle name="Normal 3 3 5 6 2 5" xfId="13398" xr:uid="{00000000-0005-0000-0000-0000DA590000}"/>
    <cellStyle name="Normal 3 3 5 6 2 5 2" xfId="30906" xr:uid="{00000000-0005-0000-0000-0000DB590000}"/>
    <cellStyle name="Normal 3 3 5 6 2 6" xfId="13399" xr:uid="{00000000-0005-0000-0000-0000DC590000}"/>
    <cellStyle name="Normal 3 3 5 6 2 6 2" xfId="30907" xr:uid="{00000000-0005-0000-0000-0000DD590000}"/>
    <cellStyle name="Normal 3 3 5 6 2 7" xfId="13400" xr:uid="{00000000-0005-0000-0000-0000DE590000}"/>
    <cellStyle name="Normal 3 3 5 6 2 7 2" xfId="30908" xr:uid="{00000000-0005-0000-0000-0000DF590000}"/>
    <cellStyle name="Normal 3 3 5 6 2 8" xfId="13401" xr:uid="{00000000-0005-0000-0000-0000E0590000}"/>
    <cellStyle name="Normal 3 3 5 6 2 8 2" xfId="30909" xr:uid="{00000000-0005-0000-0000-0000E1590000}"/>
    <cellStyle name="Normal 3 3 5 6 2 9" xfId="13402" xr:uid="{00000000-0005-0000-0000-0000E2590000}"/>
    <cellStyle name="Normal 3 3 5 6 2 9 2" xfId="30910" xr:uid="{00000000-0005-0000-0000-0000E3590000}"/>
    <cellStyle name="Normal 3 3 5 6 3" xfId="13403" xr:uid="{00000000-0005-0000-0000-0000E4590000}"/>
    <cellStyle name="Normal 3 3 5 6 3 2" xfId="30911" xr:uid="{00000000-0005-0000-0000-0000E5590000}"/>
    <cellStyle name="Normal 3 3 5 6 4" xfId="13404" xr:uid="{00000000-0005-0000-0000-0000E6590000}"/>
    <cellStyle name="Normal 3 3 5 6 4 2" xfId="30912" xr:uid="{00000000-0005-0000-0000-0000E7590000}"/>
    <cellStyle name="Normal 3 3 5 6 5" xfId="13405" xr:uid="{00000000-0005-0000-0000-0000E8590000}"/>
    <cellStyle name="Normal 3 3 5 6 5 2" xfId="30913" xr:uid="{00000000-0005-0000-0000-0000E9590000}"/>
    <cellStyle name="Normal 3 3 5 6 6" xfId="13406" xr:uid="{00000000-0005-0000-0000-0000EA590000}"/>
    <cellStyle name="Normal 3 3 5 6 6 2" xfId="30914" xr:uid="{00000000-0005-0000-0000-0000EB590000}"/>
    <cellStyle name="Normal 3 3 5 6 7" xfId="13407" xr:uid="{00000000-0005-0000-0000-0000EC590000}"/>
    <cellStyle name="Normal 3 3 5 6 7 2" xfId="30915" xr:uid="{00000000-0005-0000-0000-0000ED590000}"/>
    <cellStyle name="Normal 3 3 5 6 8" xfId="13408" xr:uid="{00000000-0005-0000-0000-0000EE590000}"/>
    <cellStyle name="Normal 3 3 5 6 8 2" xfId="30916" xr:uid="{00000000-0005-0000-0000-0000EF590000}"/>
    <cellStyle name="Normal 3 3 5 6 9" xfId="13409" xr:uid="{00000000-0005-0000-0000-0000F0590000}"/>
    <cellStyle name="Normal 3 3 5 6 9 2" xfId="30917" xr:uid="{00000000-0005-0000-0000-0000F1590000}"/>
    <cellStyle name="Normal 3 3 5 7" xfId="13410" xr:uid="{00000000-0005-0000-0000-0000F2590000}"/>
    <cellStyle name="Normal 3 3 5 7 10" xfId="13411" xr:uid="{00000000-0005-0000-0000-0000F3590000}"/>
    <cellStyle name="Normal 3 3 5 7 10 2" xfId="30919" xr:uid="{00000000-0005-0000-0000-0000F4590000}"/>
    <cellStyle name="Normal 3 3 5 7 11" xfId="13412" xr:uid="{00000000-0005-0000-0000-0000F5590000}"/>
    <cellStyle name="Normal 3 3 5 7 11 2" xfId="30920" xr:uid="{00000000-0005-0000-0000-0000F6590000}"/>
    <cellStyle name="Normal 3 3 5 7 12" xfId="13413" xr:uid="{00000000-0005-0000-0000-0000F7590000}"/>
    <cellStyle name="Normal 3 3 5 7 12 2" xfId="30921" xr:uid="{00000000-0005-0000-0000-0000F8590000}"/>
    <cellStyle name="Normal 3 3 5 7 13" xfId="13414" xr:uid="{00000000-0005-0000-0000-0000F9590000}"/>
    <cellStyle name="Normal 3 3 5 7 13 2" xfId="30922" xr:uid="{00000000-0005-0000-0000-0000FA590000}"/>
    <cellStyle name="Normal 3 3 5 7 14" xfId="13415" xr:uid="{00000000-0005-0000-0000-0000FB590000}"/>
    <cellStyle name="Normal 3 3 5 7 14 2" xfId="30923" xr:uid="{00000000-0005-0000-0000-0000FC590000}"/>
    <cellStyle name="Normal 3 3 5 7 15" xfId="13416" xr:uid="{00000000-0005-0000-0000-0000FD590000}"/>
    <cellStyle name="Normal 3 3 5 7 15 2" xfId="30924" xr:uid="{00000000-0005-0000-0000-0000FE590000}"/>
    <cellStyle name="Normal 3 3 5 7 16" xfId="30918" xr:uid="{00000000-0005-0000-0000-0000FF590000}"/>
    <cellStyle name="Normal 3 3 5 7 2" xfId="13417" xr:uid="{00000000-0005-0000-0000-0000005A0000}"/>
    <cellStyle name="Normal 3 3 5 7 2 10" xfId="13418" xr:uid="{00000000-0005-0000-0000-0000015A0000}"/>
    <cellStyle name="Normal 3 3 5 7 2 10 2" xfId="30926" xr:uid="{00000000-0005-0000-0000-0000025A0000}"/>
    <cellStyle name="Normal 3 3 5 7 2 11" xfId="13419" xr:uid="{00000000-0005-0000-0000-0000035A0000}"/>
    <cellStyle name="Normal 3 3 5 7 2 11 2" xfId="30927" xr:uid="{00000000-0005-0000-0000-0000045A0000}"/>
    <cellStyle name="Normal 3 3 5 7 2 12" xfId="13420" xr:uid="{00000000-0005-0000-0000-0000055A0000}"/>
    <cellStyle name="Normal 3 3 5 7 2 12 2" xfId="30928" xr:uid="{00000000-0005-0000-0000-0000065A0000}"/>
    <cellStyle name="Normal 3 3 5 7 2 13" xfId="13421" xr:uid="{00000000-0005-0000-0000-0000075A0000}"/>
    <cellStyle name="Normal 3 3 5 7 2 13 2" xfId="30929" xr:uid="{00000000-0005-0000-0000-0000085A0000}"/>
    <cellStyle name="Normal 3 3 5 7 2 14" xfId="13422" xr:uid="{00000000-0005-0000-0000-0000095A0000}"/>
    <cellStyle name="Normal 3 3 5 7 2 14 2" xfId="30930" xr:uid="{00000000-0005-0000-0000-00000A5A0000}"/>
    <cellStyle name="Normal 3 3 5 7 2 15" xfId="30925" xr:uid="{00000000-0005-0000-0000-00000B5A0000}"/>
    <cellStyle name="Normal 3 3 5 7 2 2" xfId="13423" xr:uid="{00000000-0005-0000-0000-00000C5A0000}"/>
    <cellStyle name="Normal 3 3 5 7 2 2 2" xfId="30931" xr:uid="{00000000-0005-0000-0000-00000D5A0000}"/>
    <cellStyle name="Normal 3 3 5 7 2 3" xfId="13424" xr:uid="{00000000-0005-0000-0000-00000E5A0000}"/>
    <cellStyle name="Normal 3 3 5 7 2 3 2" xfId="30932" xr:uid="{00000000-0005-0000-0000-00000F5A0000}"/>
    <cellStyle name="Normal 3 3 5 7 2 4" xfId="13425" xr:uid="{00000000-0005-0000-0000-0000105A0000}"/>
    <cellStyle name="Normal 3 3 5 7 2 4 2" xfId="30933" xr:uid="{00000000-0005-0000-0000-0000115A0000}"/>
    <cellStyle name="Normal 3 3 5 7 2 5" xfId="13426" xr:uid="{00000000-0005-0000-0000-0000125A0000}"/>
    <cellStyle name="Normal 3 3 5 7 2 5 2" xfId="30934" xr:uid="{00000000-0005-0000-0000-0000135A0000}"/>
    <cellStyle name="Normal 3 3 5 7 2 6" xfId="13427" xr:uid="{00000000-0005-0000-0000-0000145A0000}"/>
    <cellStyle name="Normal 3 3 5 7 2 6 2" xfId="30935" xr:uid="{00000000-0005-0000-0000-0000155A0000}"/>
    <cellStyle name="Normal 3 3 5 7 2 7" xfId="13428" xr:uid="{00000000-0005-0000-0000-0000165A0000}"/>
    <cellStyle name="Normal 3 3 5 7 2 7 2" xfId="30936" xr:uid="{00000000-0005-0000-0000-0000175A0000}"/>
    <cellStyle name="Normal 3 3 5 7 2 8" xfId="13429" xr:uid="{00000000-0005-0000-0000-0000185A0000}"/>
    <cellStyle name="Normal 3 3 5 7 2 8 2" xfId="30937" xr:uid="{00000000-0005-0000-0000-0000195A0000}"/>
    <cellStyle name="Normal 3 3 5 7 2 9" xfId="13430" xr:uid="{00000000-0005-0000-0000-00001A5A0000}"/>
    <cellStyle name="Normal 3 3 5 7 2 9 2" xfId="30938" xr:uid="{00000000-0005-0000-0000-00001B5A0000}"/>
    <cellStyle name="Normal 3 3 5 7 3" xfId="13431" xr:uid="{00000000-0005-0000-0000-00001C5A0000}"/>
    <cellStyle name="Normal 3 3 5 7 3 2" xfId="30939" xr:uid="{00000000-0005-0000-0000-00001D5A0000}"/>
    <cellStyle name="Normal 3 3 5 7 4" xfId="13432" xr:uid="{00000000-0005-0000-0000-00001E5A0000}"/>
    <cellStyle name="Normal 3 3 5 7 4 2" xfId="30940" xr:uid="{00000000-0005-0000-0000-00001F5A0000}"/>
    <cellStyle name="Normal 3 3 5 7 5" xfId="13433" xr:uid="{00000000-0005-0000-0000-0000205A0000}"/>
    <cellStyle name="Normal 3 3 5 7 5 2" xfId="30941" xr:uid="{00000000-0005-0000-0000-0000215A0000}"/>
    <cellStyle name="Normal 3 3 5 7 6" xfId="13434" xr:uid="{00000000-0005-0000-0000-0000225A0000}"/>
    <cellStyle name="Normal 3 3 5 7 6 2" xfId="30942" xr:uid="{00000000-0005-0000-0000-0000235A0000}"/>
    <cellStyle name="Normal 3 3 5 7 7" xfId="13435" xr:uid="{00000000-0005-0000-0000-0000245A0000}"/>
    <cellStyle name="Normal 3 3 5 7 7 2" xfId="30943" xr:uid="{00000000-0005-0000-0000-0000255A0000}"/>
    <cellStyle name="Normal 3 3 5 7 8" xfId="13436" xr:uid="{00000000-0005-0000-0000-0000265A0000}"/>
    <cellStyle name="Normal 3 3 5 7 8 2" xfId="30944" xr:uid="{00000000-0005-0000-0000-0000275A0000}"/>
    <cellStyle name="Normal 3 3 5 7 9" xfId="13437" xr:uid="{00000000-0005-0000-0000-0000285A0000}"/>
    <cellStyle name="Normal 3 3 5 7 9 2" xfId="30945" xr:uid="{00000000-0005-0000-0000-0000295A0000}"/>
    <cellStyle name="Normal 3 3 5 8" xfId="13438" xr:uid="{00000000-0005-0000-0000-00002A5A0000}"/>
    <cellStyle name="Normal 3 3 5 8 10" xfId="13439" xr:uid="{00000000-0005-0000-0000-00002B5A0000}"/>
    <cellStyle name="Normal 3 3 5 8 10 2" xfId="30947" xr:uid="{00000000-0005-0000-0000-00002C5A0000}"/>
    <cellStyle name="Normal 3 3 5 8 11" xfId="13440" xr:uid="{00000000-0005-0000-0000-00002D5A0000}"/>
    <cellStyle name="Normal 3 3 5 8 11 2" xfId="30948" xr:uid="{00000000-0005-0000-0000-00002E5A0000}"/>
    <cellStyle name="Normal 3 3 5 8 12" xfId="13441" xr:uid="{00000000-0005-0000-0000-00002F5A0000}"/>
    <cellStyle name="Normal 3 3 5 8 12 2" xfId="30949" xr:uid="{00000000-0005-0000-0000-0000305A0000}"/>
    <cellStyle name="Normal 3 3 5 8 13" xfId="13442" xr:uid="{00000000-0005-0000-0000-0000315A0000}"/>
    <cellStyle name="Normal 3 3 5 8 13 2" xfId="30950" xr:uid="{00000000-0005-0000-0000-0000325A0000}"/>
    <cellStyle name="Normal 3 3 5 8 14" xfId="13443" xr:uid="{00000000-0005-0000-0000-0000335A0000}"/>
    <cellStyle name="Normal 3 3 5 8 14 2" xfId="30951" xr:uid="{00000000-0005-0000-0000-0000345A0000}"/>
    <cellStyle name="Normal 3 3 5 8 15" xfId="13444" xr:uid="{00000000-0005-0000-0000-0000355A0000}"/>
    <cellStyle name="Normal 3 3 5 8 15 2" xfId="30952" xr:uid="{00000000-0005-0000-0000-0000365A0000}"/>
    <cellStyle name="Normal 3 3 5 8 16" xfId="30946" xr:uid="{00000000-0005-0000-0000-0000375A0000}"/>
    <cellStyle name="Normal 3 3 5 8 2" xfId="13445" xr:uid="{00000000-0005-0000-0000-0000385A0000}"/>
    <cellStyle name="Normal 3 3 5 8 2 10" xfId="13446" xr:uid="{00000000-0005-0000-0000-0000395A0000}"/>
    <cellStyle name="Normal 3 3 5 8 2 10 2" xfId="30954" xr:uid="{00000000-0005-0000-0000-00003A5A0000}"/>
    <cellStyle name="Normal 3 3 5 8 2 11" xfId="13447" xr:uid="{00000000-0005-0000-0000-00003B5A0000}"/>
    <cellStyle name="Normal 3 3 5 8 2 11 2" xfId="30955" xr:uid="{00000000-0005-0000-0000-00003C5A0000}"/>
    <cellStyle name="Normal 3 3 5 8 2 12" xfId="13448" xr:uid="{00000000-0005-0000-0000-00003D5A0000}"/>
    <cellStyle name="Normal 3 3 5 8 2 12 2" xfId="30956" xr:uid="{00000000-0005-0000-0000-00003E5A0000}"/>
    <cellStyle name="Normal 3 3 5 8 2 13" xfId="13449" xr:uid="{00000000-0005-0000-0000-00003F5A0000}"/>
    <cellStyle name="Normal 3 3 5 8 2 13 2" xfId="30957" xr:uid="{00000000-0005-0000-0000-0000405A0000}"/>
    <cellStyle name="Normal 3 3 5 8 2 14" xfId="13450" xr:uid="{00000000-0005-0000-0000-0000415A0000}"/>
    <cellStyle name="Normal 3 3 5 8 2 14 2" xfId="30958" xr:uid="{00000000-0005-0000-0000-0000425A0000}"/>
    <cellStyle name="Normal 3 3 5 8 2 15" xfId="30953" xr:uid="{00000000-0005-0000-0000-0000435A0000}"/>
    <cellStyle name="Normal 3 3 5 8 2 2" xfId="13451" xr:uid="{00000000-0005-0000-0000-0000445A0000}"/>
    <cellStyle name="Normal 3 3 5 8 2 2 2" xfId="30959" xr:uid="{00000000-0005-0000-0000-0000455A0000}"/>
    <cellStyle name="Normal 3 3 5 8 2 3" xfId="13452" xr:uid="{00000000-0005-0000-0000-0000465A0000}"/>
    <cellStyle name="Normal 3 3 5 8 2 3 2" xfId="30960" xr:uid="{00000000-0005-0000-0000-0000475A0000}"/>
    <cellStyle name="Normal 3 3 5 8 2 4" xfId="13453" xr:uid="{00000000-0005-0000-0000-0000485A0000}"/>
    <cellStyle name="Normal 3 3 5 8 2 4 2" xfId="30961" xr:uid="{00000000-0005-0000-0000-0000495A0000}"/>
    <cellStyle name="Normal 3 3 5 8 2 5" xfId="13454" xr:uid="{00000000-0005-0000-0000-00004A5A0000}"/>
    <cellStyle name="Normal 3 3 5 8 2 5 2" xfId="30962" xr:uid="{00000000-0005-0000-0000-00004B5A0000}"/>
    <cellStyle name="Normal 3 3 5 8 2 6" xfId="13455" xr:uid="{00000000-0005-0000-0000-00004C5A0000}"/>
    <cellStyle name="Normal 3 3 5 8 2 6 2" xfId="30963" xr:uid="{00000000-0005-0000-0000-00004D5A0000}"/>
    <cellStyle name="Normal 3 3 5 8 2 7" xfId="13456" xr:uid="{00000000-0005-0000-0000-00004E5A0000}"/>
    <cellStyle name="Normal 3 3 5 8 2 7 2" xfId="30964" xr:uid="{00000000-0005-0000-0000-00004F5A0000}"/>
    <cellStyle name="Normal 3 3 5 8 2 8" xfId="13457" xr:uid="{00000000-0005-0000-0000-0000505A0000}"/>
    <cellStyle name="Normal 3 3 5 8 2 8 2" xfId="30965" xr:uid="{00000000-0005-0000-0000-0000515A0000}"/>
    <cellStyle name="Normal 3 3 5 8 2 9" xfId="13458" xr:uid="{00000000-0005-0000-0000-0000525A0000}"/>
    <cellStyle name="Normal 3 3 5 8 2 9 2" xfId="30966" xr:uid="{00000000-0005-0000-0000-0000535A0000}"/>
    <cellStyle name="Normal 3 3 5 8 3" xfId="13459" xr:uid="{00000000-0005-0000-0000-0000545A0000}"/>
    <cellStyle name="Normal 3 3 5 8 3 2" xfId="30967" xr:uid="{00000000-0005-0000-0000-0000555A0000}"/>
    <cellStyle name="Normal 3 3 5 8 4" xfId="13460" xr:uid="{00000000-0005-0000-0000-0000565A0000}"/>
    <cellStyle name="Normal 3 3 5 8 4 2" xfId="30968" xr:uid="{00000000-0005-0000-0000-0000575A0000}"/>
    <cellStyle name="Normal 3 3 5 8 5" xfId="13461" xr:uid="{00000000-0005-0000-0000-0000585A0000}"/>
    <cellStyle name="Normal 3 3 5 8 5 2" xfId="30969" xr:uid="{00000000-0005-0000-0000-0000595A0000}"/>
    <cellStyle name="Normal 3 3 5 8 6" xfId="13462" xr:uid="{00000000-0005-0000-0000-00005A5A0000}"/>
    <cellStyle name="Normal 3 3 5 8 6 2" xfId="30970" xr:uid="{00000000-0005-0000-0000-00005B5A0000}"/>
    <cellStyle name="Normal 3 3 5 8 7" xfId="13463" xr:uid="{00000000-0005-0000-0000-00005C5A0000}"/>
    <cellStyle name="Normal 3 3 5 8 7 2" xfId="30971" xr:uid="{00000000-0005-0000-0000-00005D5A0000}"/>
    <cellStyle name="Normal 3 3 5 8 8" xfId="13464" xr:uid="{00000000-0005-0000-0000-00005E5A0000}"/>
    <cellStyle name="Normal 3 3 5 8 8 2" xfId="30972" xr:uid="{00000000-0005-0000-0000-00005F5A0000}"/>
    <cellStyle name="Normal 3 3 5 8 9" xfId="13465" xr:uid="{00000000-0005-0000-0000-0000605A0000}"/>
    <cellStyle name="Normal 3 3 5 8 9 2" xfId="30973" xr:uid="{00000000-0005-0000-0000-0000615A0000}"/>
    <cellStyle name="Normal 3 3 5 9" xfId="13466" xr:uid="{00000000-0005-0000-0000-0000625A0000}"/>
    <cellStyle name="Normal 3 3 5 9 10" xfId="13467" xr:uid="{00000000-0005-0000-0000-0000635A0000}"/>
    <cellStyle name="Normal 3 3 5 9 10 2" xfId="30975" xr:uid="{00000000-0005-0000-0000-0000645A0000}"/>
    <cellStyle name="Normal 3 3 5 9 11" xfId="13468" xr:uid="{00000000-0005-0000-0000-0000655A0000}"/>
    <cellStyle name="Normal 3 3 5 9 11 2" xfId="30976" xr:uid="{00000000-0005-0000-0000-0000665A0000}"/>
    <cellStyle name="Normal 3 3 5 9 12" xfId="13469" xr:uid="{00000000-0005-0000-0000-0000675A0000}"/>
    <cellStyle name="Normal 3 3 5 9 12 2" xfId="30977" xr:uid="{00000000-0005-0000-0000-0000685A0000}"/>
    <cellStyle name="Normal 3 3 5 9 13" xfId="13470" xr:uid="{00000000-0005-0000-0000-0000695A0000}"/>
    <cellStyle name="Normal 3 3 5 9 13 2" xfId="30978" xr:uid="{00000000-0005-0000-0000-00006A5A0000}"/>
    <cellStyle name="Normal 3 3 5 9 14" xfId="13471" xr:uid="{00000000-0005-0000-0000-00006B5A0000}"/>
    <cellStyle name="Normal 3 3 5 9 14 2" xfId="30979" xr:uid="{00000000-0005-0000-0000-00006C5A0000}"/>
    <cellStyle name="Normal 3 3 5 9 15" xfId="30974" xr:uid="{00000000-0005-0000-0000-00006D5A0000}"/>
    <cellStyle name="Normal 3 3 5 9 2" xfId="13472" xr:uid="{00000000-0005-0000-0000-00006E5A0000}"/>
    <cellStyle name="Normal 3 3 5 9 2 2" xfId="30980" xr:uid="{00000000-0005-0000-0000-00006F5A0000}"/>
    <cellStyle name="Normal 3 3 5 9 3" xfId="13473" xr:uid="{00000000-0005-0000-0000-0000705A0000}"/>
    <cellStyle name="Normal 3 3 5 9 3 2" xfId="30981" xr:uid="{00000000-0005-0000-0000-0000715A0000}"/>
    <cellStyle name="Normal 3 3 5 9 4" xfId="13474" xr:uid="{00000000-0005-0000-0000-0000725A0000}"/>
    <cellStyle name="Normal 3 3 5 9 4 2" xfId="30982" xr:uid="{00000000-0005-0000-0000-0000735A0000}"/>
    <cellStyle name="Normal 3 3 5 9 5" xfId="13475" xr:uid="{00000000-0005-0000-0000-0000745A0000}"/>
    <cellStyle name="Normal 3 3 5 9 5 2" xfId="30983" xr:uid="{00000000-0005-0000-0000-0000755A0000}"/>
    <cellStyle name="Normal 3 3 5 9 6" xfId="13476" xr:uid="{00000000-0005-0000-0000-0000765A0000}"/>
    <cellStyle name="Normal 3 3 5 9 6 2" xfId="30984" xr:uid="{00000000-0005-0000-0000-0000775A0000}"/>
    <cellStyle name="Normal 3 3 5 9 7" xfId="13477" xr:uid="{00000000-0005-0000-0000-0000785A0000}"/>
    <cellStyle name="Normal 3 3 5 9 7 2" xfId="30985" xr:uid="{00000000-0005-0000-0000-0000795A0000}"/>
    <cellStyle name="Normal 3 3 5 9 8" xfId="13478" xr:uid="{00000000-0005-0000-0000-00007A5A0000}"/>
    <cellStyle name="Normal 3 3 5 9 8 2" xfId="30986" xr:uid="{00000000-0005-0000-0000-00007B5A0000}"/>
    <cellStyle name="Normal 3 3 5 9 9" xfId="13479" xr:uid="{00000000-0005-0000-0000-00007C5A0000}"/>
    <cellStyle name="Normal 3 3 5 9 9 2" xfId="30987" xr:uid="{00000000-0005-0000-0000-00007D5A0000}"/>
    <cellStyle name="Normal 3 3 6" xfId="13480" xr:uid="{00000000-0005-0000-0000-00007E5A0000}"/>
    <cellStyle name="Normal 3 3 6 10" xfId="13481" xr:uid="{00000000-0005-0000-0000-00007F5A0000}"/>
    <cellStyle name="Normal 3 3 6 10 10" xfId="13482" xr:uid="{00000000-0005-0000-0000-0000805A0000}"/>
    <cellStyle name="Normal 3 3 6 10 10 2" xfId="30990" xr:uid="{00000000-0005-0000-0000-0000815A0000}"/>
    <cellStyle name="Normal 3 3 6 10 11" xfId="13483" xr:uid="{00000000-0005-0000-0000-0000825A0000}"/>
    <cellStyle name="Normal 3 3 6 10 11 2" xfId="30991" xr:uid="{00000000-0005-0000-0000-0000835A0000}"/>
    <cellStyle name="Normal 3 3 6 10 12" xfId="13484" xr:uid="{00000000-0005-0000-0000-0000845A0000}"/>
    <cellStyle name="Normal 3 3 6 10 12 2" xfId="30992" xr:uid="{00000000-0005-0000-0000-0000855A0000}"/>
    <cellStyle name="Normal 3 3 6 10 13" xfId="13485" xr:uid="{00000000-0005-0000-0000-0000865A0000}"/>
    <cellStyle name="Normal 3 3 6 10 13 2" xfId="30993" xr:uid="{00000000-0005-0000-0000-0000875A0000}"/>
    <cellStyle name="Normal 3 3 6 10 14" xfId="13486" xr:uid="{00000000-0005-0000-0000-0000885A0000}"/>
    <cellStyle name="Normal 3 3 6 10 14 2" xfId="30994" xr:uid="{00000000-0005-0000-0000-0000895A0000}"/>
    <cellStyle name="Normal 3 3 6 10 15" xfId="30989" xr:uid="{00000000-0005-0000-0000-00008A5A0000}"/>
    <cellStyle name="Normal 3 3 6 10 2" xfId="13487" xr:uid="{00000000-0005-0000-0000-00008B5A0000}"/>
    <cellStyle name="Normal 3 3 6 10 2 2" xfId="30995" xr:uid="{00000000-0005-0000-0000-00008C5A0000}"/>
    <cellStyle name="Normal 3 3 6 10 3" xfId="13488" xr:uid="{00000000-0005-0000-0000-00008D5A0000}"/>
    <cellStyle name="Normal 3 3 6 10 3 2" xfId="30996" xr:uid="{00000000-0005-0000-0000-00008E5A0000}"/>
    <cellStyle name="Normal 3 3 6 10 4" xfId="13489" xr:uid="{00000000-0005-0000-0000-00008F5A0000}"/>
    <cellStyle name="Normal 3 3 6 10 4 2" xfId="30997" xr:uid="{00000000-0005-0000-0000-0000905A0000}"/>
    <cellStyle name="Normal 3 3 6 10 5" xfId="13490" xr:uid="{00000000-0005-0000-0000-0000915A0000}"/>
    <cellStyle name="Normal 3 3 6 10 5 2" xfId="30998" xr:uid="{00000000-0005-0000-0000-0000925A0000}"/>
    <cellStyle name="Normal 3 3 6 10 6" xfId="13491" xr:uid="{00000000-0005-0000-0000-0000935A0000}"/>
    <cellStyle name="Normal 3 3 6 10 6 2" xfId="30999" xr:uid="{00000000-0005-0000-0000-0000945A0000}"/>
    <cellStyle name="Normal 3 3 6 10 7" xfId="13492" xr:uid="{00000000-0005-0000-0000-0000955A0000}"/>
    <cellStyle name="Normal 3 3 6 10 7 2" xfId="31000" xr:uid="{00000000-0005-0000-0000-0000965A0000}"/>
    <cellStyle name="Normal 3 3 6 10 8" xfId="13493" xr:uid="{00000000-0005-0000-0000-0000975A0000}"/>
    <cellStyle name="Normal 3 3 6 10 8 2" xfId="31001" xr:uid="{00000000-0005-0000-0000-0000985A0000}"/>
    <cellStyle name="Normal 3 3 6 10 9" xfId="13494" xr:uid="{00000000-0005-0000-0000-0000995A0000}"/>
    <cellStyle name="Normal 3 3 6 10 9 2" xfId="31002" xr:uid="{00000000-0005-0000-0000-00009A5A0000}"/>
    <cellStyle name="Normal 3 3 6 11" xfId="13495" xr:uid="{00000000-0005-0000-0000-00009B5A0000}"/>
    <cellStyle name="Normal 3 3 6 11 10" xfId="13496" xr:uid="{00000000-0005-0000-0000-00009C5A0000}"/>
    <cellStyle name="Normal 3 3 6 11 10 2" xfId="31004" xr:uid="{00000000-0005-0000-0000-00009D5A0000}"/>
    <cellStyle name="Normal 3 3 6 11 11" xfId="13497" xr:uid="{00000000-0005-0000-0000-00009E5A0000}"/>
    <cellStyle name="Normal 3 3 6 11 11 2" xfId="31005" xr:uid="{00000000-0005-0000-0000-00009F5A0000}"/>
    <cellStyle name="Normal 3 3 6 11 12" xfId="13498" xr:uid="{00000000-0005-0000-0000-0000A05A0000}"/>
    <cellStyle name="Normal 3 3 6 11 12 2" xfId="31006" xr:uid="{00000000-0005-0000-0000-0000A15A0000}"/>
    <cellStyle name="Normal 3 3 6 11 13" xfId="13499" xr:uid="{00000000-0005-0000-0000-0000A25A0000}"/>
    <cellStyle name="Normal 3 3 6 11 13 2" xfId="31007" xr:uid="{00000000-0005-0000-0000-0000A35A0000}"/>
    <cellStyle name="Normal 3 3 6 11 14" xfId="13500" xr:uid="{00000000-0005-0000-0000-0000A45A0000}"/>
    <cellStyle name="Normal 3 3 6 11 14 2" xfId="31008" xr:uid="{00000000-0005-0000-0000-0000A55A0000}"/>
    <cellStyle name="Normal 3 3 6 11 15" xfId="31003" xr:uid="{00000000-0005-0000-0000-0000A65A0000}"/>
    <cellStyle name="Normal 3 3 6 11 2" xfId="13501" xr:uid="{00000000-0005-0000-0000-0000A75A0000}"/>
    <cellStyle name="Normal 3 3 6 11 2 2" xfId="31009" xr:uid="{00000000-0005-0000-0000-0000A85A0000}"/>
    <cellStyle name="Normal 3 3 6 11 3" xfId="13502" xr:uid="{00000000-0005-0000-0000-0000A95A0000}"/>
    <cellStyle name="Normal 3 3 6 11 3 2" xfId="31010" xr:uid="{00000000-0005-0000-0000-0000AA5A0000}"/>
    <cellStyle name="Normal 3 3 6 11 4" xfId="13503" xr:uid="{00000000-0005-0000-0000-0000AB5A0000}"/>
    <cellStyle name="Normal 3 3 6 11 4 2" xfId="31011" xr:uid="{00000000-0005-0000-0000-0000AC5A0000}"/>
    <cellStyle name="Normal 3 3 6 11 5" xfId="13504" xr:uid="{00000000-0005-0000-0000-0000AD5A0000}"/>
    <cellStyle name="Normal 3 3 6 11 5 2" xfId="31012" xr:uid="{00000000-0005-0000-0000-0000AE5A0000}"/>
    <cellStyle name="Normal 3 3 6 11 6" xfId="13505" xr:uid="{00000000-0005-0000-0000-0000AF5A0000}"/>
    <cellStyle name="Normal 3 3 6 11 6 2" xfId="31013" xr:uid="{00000000-0005-0000-0000-0000B05A0000}"/>
    <cellStyle name="Normal 3 3 6 11 7" xfId="13506" xr:uid="{00000000-0005-0000-0000-0000B15A0000}"/>
    <cellStyle name="Normal 3 3 6 11 7 2" xfId="31014" xr:uid="{00000000-0005-0000-0000-0000B25A0000}"/>
    <cellStyle name="Normal 3 3 6 11 8" xfId="13507" xr:uid="{00000000-0005-0000-0000-0000B35A0000}"/>
    <cellStyle name="Normal 3 3 6 11 8 2" xfId="31015" xr:uid="{00000000-0005-0000-0000-0000B45A0000}"/>
    <cellStyle name="Normal 3 3 6 11 9" xfId="13508" xr:uid="{00000000-0005-0000-0000-0000B55A0000}"/>
    <cellStyle name="Normal 3 3 6 11 9 2" xfId="31016" xr:uid="{00000000-0005-0000-0000-0000B65A0000}"/>
    <cellStyle name="Normal 3 3 6 12" xfId="13509" xr:uid="{00000000-0005-0000-0000-0000B75A0000}"/>
    <cellStyle name="Normal 3 3 6 12 10" xfId="13510" xr:uid="{00000000-0005-0000-0000-0000B85A0000}"/>
    <cellStyle name="Normal 3 3 6 12 10 2" xfId="31018" xr:uid="{00000000-0005-0000-0000-0000B95A0000}"/>
    <cellStyle name="Normal 3 3 6 12 11" xfId="13511" xr:uid="{00000000-0005-0000-0000-0000BA5A0000}"/>
    <cellStyle name="Normal 3 3 6 12 11 2" xfId="31019" xr:uid="{00000000-0005-0000-0000-0000BB5A0000}"/>
    <cellStyle name="Normal 3 3 6 12 12" xfId="13512" xr:uid="{00000000-0005-0000-0000-0000BC5A0000}"/>
    <cellStyle name="Normal 3 3 6 12 12 2" xfId="31020" xr:uid="{00000000-0005-0000-0000-0000BD5A0000}"/>
    <cellStyle name="Normal 3 3 6 12 13" xfId="13513" xr:uid="{00000000-0005-0000-0000-0000BE5A0000}"/>
    <cellStyle name="Normal 3 3 6 12 13 2" xfId="31021" xr:uid="{00000000-0005-0000-0000-0000BF5A0000}"/>
    <cellStyle name="Normal 3 3 6 12 14" xfId="13514" xr:uid="{00000000-0005-0000-0000-0000C05A0000}"/>
    <cellStyle name="Normal 3 3 6 12 14 2" xfId="31022" xr:uid="{00000000-0005-0000-0000-0000C15A0000}"/>
    <cellStyle name="Normal 3 3 6 12 15" xfId="31017" xr:uid="{00000000-0005-0000-0000-0000C25A0000}"/>
    <cellStyle name="Normal 3 3 6 12 2" xfId="13515" xr:uid="{00000000-0005-0000-0000-0000C35A0000}"/>
    <cellStyle name="Normal 3 3 6 12 2 2" xfId="31023" xr:uid="{00000000-0005-0000-0000-0000C45A0000}"/>
    <cellStyle name="Normal 3 3 6 12 3" xfId="13516" xr:uid="{00000000-0005-0000-0000-0000C55A0000}"/>
    <cellStyle name="Normal 3 3 6 12 3 2" xfId="31024" xr:uid="{00000000-0005-0000-0000-0000C65A0000}"/>
    <cellStyle name="Normal 3 3 6 12 4" xfId="13517" xr:uid="{00000000-0005-0000-0000-0000C75A0000}"/>
    <cellStyle name="Normal 3 3 6 12 4 2" xfId="31025" xr:uid="{00000000-0005-0000-0000-0000C85A0000}"/>
    <cellStyle name="Normal 3 3 6 12 5" xfId="13518" xr:uid="{00000000-0005-0000-0000-0000C95A0000}"/>
    <cellStyle name="Normal 3 3 6 12 5 2" xfId="31026" xr:uid="{00000000-0005-0000-0000-0000CA5A0000}"/>
    <cellStyle name="Normal 3 3 6 12 6" xfId="13519" xr:uid="{00000000-0005-0000-0000-0000CB5A0000}"/>
    <cellStyle name="Normal 3 3 6 12 6 2" xfId="31027" xr:uid="{00000000-0005-0000-0000-0000CC5A0000}"/>
    <cellStyle name="Normal 3 3 6 12 7" xfId="13520" xr:uid="{00000000-0005-0000-0000-0000CD5A0000}"/>
    <cellStyle name="Normal 3 3 6 12 7 2" xfId="31028" xr:uid="{00000000-0005-0000-0000-0000CE5A0000}"/>
    <cellStyle name="Normal 3 3 6 12 8" xfId="13521" xr:uid="{00000000-0005-0000-0000-0000CF5A0000}"/>
    <cellStyle name="Normal 3 3 6 12 8 2" xfId="31029" xr:uid="{00000000-0005-0000-0000-0000D05A0000}"/>
    <cellStyle name="Normal 3 3 6 12 9" xfId="13522" xr:uid="{00000000-0005-0000-0000-0000D15A0000}"/>
    <cellStyle name="Normal 3 3 6 12 9 2" xfId="31030" xr:uid="{00000000-0005-0000-0000-0000D25A0000}"/>
    <cellStyle name="Normal 3 3 6 13" xfId="13523" xr:uid="{00000000-0005-0000-0000-0000D35A0000}"/>
    <cellStyle name="Normal 3 3 6 13 10" xfId="13524" xr:uid="{00000000-0005-0000-0000-0000D45A0000}"/>
    <cellStyle name="Normal 3 3 6 13 10 2" xfId="31032" xr:uid="{00000000-0005-0000-0000-0000D55A0000}"/>
    <cellStyle name="Normal 3 3 6 13 11" xfId="13525" xr:uid="{00000000-0005-0000-0000-0000D65A0000}"/>
    <cellStyle name="Normal 3 3 6 13 11 2" xfId="31033" xr:uid="{00000000-0005-0000-0000-0000D75A0000}"/>
    <cellStyle name="Normal 3 3 6 13 12" xfId="13526" xr:uid="{00000000-0005-0000-0000-0000D85A0000}"/>
    <cellStyle name="Normal 3 3 6 13 12 2" xfId="31034" xr:uid="{00000000-0005-0000-0000-0000D95A0000}"/>
    <cellStyle name="Normal 3 3 6 13 13" xfId="13527" xr:uid="{00000000-0005-0000-0000-0000DA5A0000}"/>
    <cellStyle name="Normal 3 3 6 13 13 2" xfId="31035" xr:uid="{00000000-0005-0000-0000-0000DB5A0000}"/>
    <cellStyle name="Normal 3 3 6 13 14" xfId="13528" xr:uid="{00000000-0005-0000-0000-0000DC5A0000}"/>
    <cellStyle name="Normal 3 3 6 13 14 2" xfId="31036" xr:uid="{00000000-0005-0000-0000-0000DD5A0000}"/>
    <cellStyle name="Normal 3 3 6 13 15" xfId="31031" xr:uid="{00000000-0005-0000-0000-0000DE5A0000}"/>
    <cellStyle name="Normal 3 3 6 13 2" xfId="13529" xr:uid="{00000000-0005-0000-0000-0000DF5A0000}"/>
    <cellStyle name="Normal 3 3 6 13 2 2" xfId="31037" xr:uid="{00000000-0005-0000-0000-0000E05A0000}"/>
    <cellStyle name="Normal 3 3 6 13 3" xfId="13530" xr:uid="{00000000-0005-0000-0000-0000E15A0000}"/>
    <cellStyle name="Normal 3 3 6 13 3 2" xfId="31038" xr:uid="{00000000-0005-0000-0000-0000E25A0000}"/>
    <cellStyle name="Normal 3 3 6 13 4" xfId="13531" xr:uid="{00000000-0005-0000-0000-0000E35A0000}"/>
    <cellStyle name="Normal 3 3 6 13 4 2" xfId="31039" xr:uid="{00000000-0005-0000-0000-0000E45A0000}"/>
    <cellStyle name="Normal 3 3 6 13 5" xfId="13532" xr:uid="{00000000-0005-0000-0000-0000E55A0000}"/>
    <cellStyle name="Normal 3 3 6 13 5 2" xfId="31040" xr:uid="{00000000-0005-0000-0000-0000E65A0000}"/>
    <cellStyle name="Normal 3 3 6 13 6" xfId="13533" xr:uid="{00000000-0005-0000-0000-0000E75A0000}"/>
    <cellStyle name="Normal 3 3 6 13 6 2" xfId="31041" xr:uid="{00000000-0005-0000-0000-0000E85A0000}"/>
    <cellStyle name="Normal 3 3 6 13 7" xfId="13534" xr:uid="{00000000-0005-0000-0000-0000E95A0000}"/>
    <cellStyle name="Normal 3 3 6 13 7 2" xfId="31042" xr:uid="{00000000-0005-0000-0000-0000EA5A0000}"/>
    <cellStyle name="Normal 3 3 6 13 8" xfId="13535" xr:uid="{00000000-0005-0000-0000-0000EB5A0000}"/>
    <cellStyle name="Normal 3 3 6 13 8 2" xfId="31043" xr:uid="{00000000-0005-0000-0000-0000EC5A0000}"/>
    <cellStyle name="Normal 3 3 6 13 9" xfId="13536" xr:uid="{00000000-0005-0000-0000-0000ED5A0000}"/>
    <cellStyle name="Normal 3 3 6 13 9 2" xfId="31044" xr:uid="{00000000-0005-0000-0000-0000EE5A0000}"/>
    <cellStyle name="Normal 3 3 6 14" xfId="13537" xr:uid="{00000000-0005-0000-0000-0000EF5A0000}"/>
    <cellStyle name="Normal 3 3 6 14 10" xfId="13538" xr:uid="{00000000-0005-0000-0000-0000F05A0000}"/>
    <cellStyle name="Normal 3 3 6 14 10 2" xfId="31046" xr:uid="{00000000-0005-0000-0000-0000F15A0000}"/>
    <cellStyle name="Normal 3 3 6 14 11" xfId="13539" xr:uid="{00000000-0005-0000-0000-0000F25A0000}"/>
    <cellStyle name="Normal 3 3 6 14 11 2" xfId="31047" xr:uid="{00000000-0005-0000-0000-0000F35A0000}"/>
    <cellStyle name="Normal 3 3 6 14 12" xfId="13540" xr:uid="{00000000-0005-0000-0000-0000F45A0000}"/>
    <cellStyle name="Normal 3 3 6 14 12 2" xfId="31048" xr:uid="{00000000-0005-0000-0000-0000F55A0000}"/>
    <cellStyle name="Normal 3 3 6 14 13" xfId="13541" xr:uid="{00000000-0005-0000-0000-0000F65A0000}"/>
    <cellStyle name="Normal 3 3 6 14 13 2" xfId="31049" xr:uid="{00000000-0005-0000-0000-0000F75A0000}"/>
    <cellStyle name="Normal 3 3 6 14 14" xfId="13542" xr:uid="{00000000-0005-0000-0000-0000F85A0000}"/>
    <cellStyle name="Normal 3 3 6 14 14 2" xfId="31050" xr:uid="{00000000-0005-0000-0000-0000F95A0000}"/>
    <cellStyle name="Normal 3 3 6 14 15" xfId="31045" xr:uid="{00000000-0005-0000-0000-0000FA5A0000}"/>
    <cellStyle name="Normal 3 3 6 14 2" xfId="13543" xr:uid="{00000000-0005-0000-0000-0000FB5A0000}"/>
    <cellStyle name="Normal 3 3 6 14 2 2" xfId="31051" xr:uid="{00000000-0005-0000-0000-0000FC5A0000}"/>
    <cellStyle name="Normal 3 3 6 14 3" xfId="13544" xr:uid="{00000000-0005-0000-0000-0000FD5A0000}"/>
    <cellStyle name="Normal 3 3 6 14 3 2" xfId="31052" xr:uid="{00000000-0005-0000-0000-0000FE5A0000}"/>
    <cellStyle name="Normal 3 3 6 14 4" xfId="13545" xr:uid="{00000000-0005-0000-0000-0000FF5A0000}"/>
    <cellStyle name="Normal 3 3 6 14 4 2" xfId="31053" xr:uid="{00000000-0005-0000-0000-0000005B0000}"/>
    <cellStyle name="Normal 3 3 6 14 5" xfId="13546" xr:uid="{00000000-0005-0000-0000-0000015B0000}"/>
    <cellStyle name="Normal 3 3 6 14 5 2" xfId="31054" xr:uid="{00000000-0005-0000-0000-0000025B0000}"/>
    <cellStyle name="Normal 3 3 6 14 6" xfId="13547" xr:uid="{00000000-0005-0000-0000-0000035B0000}"/>
    <cellStyle name="Normal 3 3 6 14 6 2" xfId="31055" xr:uid="{00000000-0005-0000-0000-0000045B0000}"/>
    <cellStyle name="Normal 3 3 6 14 7" xfId="13548" xr:uid="{00000000-0005-0000-0000-0000055B0000}"/>
    <cellStyle name="Normal 3 3 6 14 7 2" xfId="31056" xr:uid="{00000000-0005-0000-0000-0000065B0000}"/>
    <cellStyle name="Normal 3 3 6 14 8" xfId="13549" xr:uid="{00000000-0005-0000-0000-0000075B0000}"/>
    <cellStyle name="Normal 3 3 6 14 8 2" xfId="31057" xr:uid="{00000000-0005-0000-0000-0000085B0000}"/>
    <cellStyle name="Normal 3 3 6 14 9" xfId="13550" xr:uid="{00000000-0005-0000-0000-0000095B0000}"/>
    <cellStyle name="Normal 3 3 6 14 9 2" xfId="31058" xr:uid="{00000000-0005-0000-0000-00000A5B0000}"/>
    <cellStyle name="Normal 3 3 6 15" xfId="13551" xr:uid="{00000000-0005-0000-0000-00000B5B0000}"/>
    <cellStyle name="Normal 3 3 6 15 2" xfId="31059" xr:uid="{00000000-0005-0000-0000-00000C5B0000}"/>
    <cellStyle name="Normal 3 3 6 16" xfId="13552" xr:uid="{00000000-0005-0000-0000-00000D5B0000}"/>
    <cellStyle name="Normal 3 3 6 16 2" xfId="31060" xr:uid="{00000000-0005-0000-0000-00000E5B0000}"/>
    <cellStyle name="Normal 3 3 6 17" xfId="13553" xr:uid="{00000000-0005-0000-0000-00000F5B0000}"/>
    <cellStyle name="Normal 3 3 6 17 2" xfId="31061" xr:uid="{00000000-0005-0000-0000-0000105B0000}"/>
    <cellStyle name="Normal 3 3 6 18" xfId="13554" xr:uid="{00000000-0005-0000-0000-0000115B0000}"/>
    <cellStyle name="Normal 3 3 6 18 2" xfId="31062" xr:uid="{00000000-0005-0000-0000-0000125B0000}"/>
    <cellStyle name="Normal 3 3 6 19" xfId="13555" xr:uid="{00000000-0005-0000-0000-0000135B0000}"/>
    <cellStyle name="Normal 3 3 6 19 2" xfId="31063" xr:uid="{00000000-0005-0000-0000-0000145B0000}"/>
    <cellStyle name="Normal 3 3 6 2" xfId="13556" xr:uid="{00000000-0005-0000-0000-0000155B0000}"/>
    <cellStyle name="Normal 3 3 6 20" xfId="13557" xr:uid="{00000000-0005-0000-0000-0000165B0000}"/>
    <cellStyle name="Normal 3 3 6 20 2" xfId="31064" xr:uid="{00000000-0005-0000-0000-0000175B0000}"/>
    <cellStyle name="Normal 3 3 6 21" xfId="13558" xr:uid="{00000000-0005-0000-0000-0000185B0000}"/>
    <cellStyle name="Normal 3 3 6 21 2" xfId="31065" xr:uid="{00000000-0005-0000-0000-0000195B0000}"/>
    <cellStyle name="Normal 3 3 6 22" xfId="13559" xr:uid="{00000000-0005-0000-0000-00001A5B0000}"/>
    <cellStyle name="Normal 3 3 6 22 2" xfId="31066" xr:uid="{00000000-0005-0000-0000-00001B5B0000}"/>
    <cellStyle name="Normal 3 3 6 23" xfId="13560" xr:uid="{00000000-0005-0000-0000-00001C5B0000}"/>
    <cellStyle name="Normal 3 3 6 23 2" xfId="31067" xr:uid="{00000000-0005-0000-0000-00001D5B0000}"/>
    <cellStyle name="Normal 3 3 6 24" xfId="13561" xr:uid="{00000000-0005-0000-0000-00001E5B0000}"/>
    <cellStyle name="Normal 3 3 6 24 2" xfId="31068" xr:uid="{00000000-0005-0000-0000-00001F5B0000}"/>
    <cellStyle name="Normal 3 3 6 25" xfId="13562" xr:uid="{00000000-0005-0000-0000-0000205B0000}"/>
    <cellStyle name="Normal 3 3 6 25 2" xfId="31069" xr:uid="{00000000-0005-0000-0000-0000215B0000}"/>
    <cellStyle name="Normal 3 3 6 26" xfId="13563" xr:uid="{00000000-0005-0000-0000-0000225B0000}"/>
    <cellStyle name="Normal 3 3 6 26 2" xfId="31070" xr:uid="{00000000-0005-0000-0000-0000235B0000}"/>
    <cellStyle name="Normal 3 3 6 27" xfId="13564" xr:uid="{00000000-0005-0000-0000-0000245B0000}"/>
    <cellStyle name="Normal 3 3 6 27 2" xfId="31071" xr:uid="{00000000-0005-0000-0000-0000255B0000}"/>
    <cellStyle name="Normal 3 3 6 28" xfId="30988" xr:uid="{00000000-0005-0000-0000-0000265B0000}"/>
    <cellStyle name="Normal 3 3 6 3" xfId="13565" xr:uid="{00000000-0005-0000-0000-0000275B0000}"/>
    <cellStyle name="Normal 3 3 6 4" xfId="13566" xr:uid="{00000000-0005-0000-0000-0000285B0000}"/>
    <cellStyle name="Normal 3 3 6 5" xfId="13567" xr:uid="{00000000-0005-0000-0000-0000295B0000}"/>
    <cellStyle name="Normal 3 3 6 6" xfId="13568" xr:uid="{00000000-0005-0000-0000-00002A5B0000}"/>
    <cellStyle name="Normal 3 3 6 6 10" xfId="13569" xr:uid="{00000000-0005-0000-0000-00002B5B0000}"/>
    <cellStyle name="Normal 3 3 6 6 10 2" xfId="31073" xr:uid="{00000000-0005-0000-0000-00002C5B0000}"/>
    <cellStyle name="Normal 3 3 6 6 11" xfId="13570" xr:uid="{00000000-0005-0000-0000-00002D5B0000}"/>
    <cellStyle name="Normal 3 3 6 6 11 2" xfId="31074" xr:uid="{00000000-0005-0000-0000-00002E5B0000}"/>
    <cellStyle name="Normal 3 3 6 6 12" xfId="13571" xr:uid="{00000000-0005-0000-0000-00002F5B0000}"/>
    <cellStyle name="Normal 3 3 6 6 12 2" xfId="31075" xr:uid="{00000000-0005-0000-0000-0000305B0000}"/>
    <cellStyle name="Normal 3 3 6 6 13" xfId="13572" xr:uid="{00000000-0005-0000-0000-0000315B0000}"/>
    <cellStyle name="Normal 3 3 6 6 13 2" xfId="31076" xr:uid="{00000000-0005-0000-0000-0000325B0000}"/>
    <cellStyle name="Normal 3 3 6 6 14" xfId="13573" xr:uid="{00000000-0005-0000-0000-0000335B0000}"/>
    <cellStyle name="Normal 3 3 6 6 14 2" xfId="31077" xr:uid="{00000000-0005-0000-0000-0000345B0000}"/>
    <cellStyle name="Normal 3 3 6 6 15" xfId="13574" xr:uid="{00000000-0005-0000-0000-0000355B0000}"/>
    <cellStyle name="Normal 3 3 6 6 15 2" xfId="31078" xr:uid="{00000000-0005-0000-0000-0000365B0000}"/>
    <cellStyle name="Normal 3 3 6 6 16" xfId="31072" xr:uid="{00000000-0005-0000-0000-0000375B0000}"/>
    <cellStyle name="Normal 3 3 6 6 2" xfId="13575" xr:uid="{00000000-0005-0000-0000-0000385B0000}"/>
    <cellStyle name="Normal 3 3 6 6 2 10" xfId="13576" xr:uid="{00000000-0005-0000-0000-0000395B0000}"/>
    <cellStyle name="Normal 3 3 6 6 2 10 2" xfId="31080" xr:uid="{00000000-0005-0000-0000-00003A5B0000}"/>
    <cellStyle name="Normal 3 3 6 6 2 11" xfId="13577" xr:uid="{00000000-0005-0000-0000-00003B5B0000}"/>
    <cellStyle name="Normal 3 3 6 6 2 11 2" xfId="31081" xr:uid="{00000000-0005-0000-0000-00003C5B0000}"/>
    <cellStyle name="Normal 3 3 6 6 2 12" xfId="13578" xr:uid="{00000000-0005-0000-0000-00003D5B0000}"/>
    <cellStyle name="Normal 3 3 6 6 2 12 2" xfId="31082" xr:uid="{00000000-0005-0000-0000-00003E5B0000}"/>
    <cellStyle name="Normal 3 3 6 6 2 13" xfId="13579" xr:uid="{00000000-0005-0000-0000-00003F5B0000}"/>
    <cellStyle name="Normal 3 3 6 6 2 13 2" xfId="31083" xr:uid="{00000000-0005-0000-0000-0000405B0000}"/>
    <cellStyle name="Normal 3 3 6 6 2 14" xfId="13580" xr:uid="{00000000-0005-0000-0000-0000415B0000}"/>
    <cellStyle name="Normal 3 3 6 6 2 14 2" xfId="31084" xr:uid="{00000000-0005-0000-0000-0000425B0000}"/>
    <cellStyle name="Normal 3 3 6 6 2 15" xfId="31079" xr:uid="{00000000-0005-0000-0000-0000435B0000}"/>
    <cellStyle name="Normal 3 3 6 6 2 2" xfId="13581" xr:uid="{00000000-0005-0000-0000-0000445B0000}"/>
    <cellStyle name="Normal 3 3 6 6 2 2 2" xfId="31085" xr:uid="{00000000-0005-0000-0000-0000455B0000}"/>
    <cellStyle name="Normal 3 3 6 6 2 3" xfId="13582" xr:uid="{00000000-0005-0000-0000-0000465B0000}"/>
    <cellStyle name="Normal 3 3 6 6 2 3 2" xfId="31086" xr:uid="{00000000-0005-0000-0000-0000475B0000}"/>
    <cellStyle name="Normal 3 3 6 6 2 4" xfId="13583" xr:uid="{00000000-0005-0000-0000-0000485B0000}"/>
    <cellStyle name="Normal 3 3 6 6 2 4 2" xfId="31087" xr:uid="{00000000-0005-0000-0000-0000495B0000}"/>
    <cellStyle name="Normal 3 3 6 6 2 5" xfId="13584" xr:uid="{00000000-0005-0000-0000-00004A5B0000}"/>
    <cellStyle name="Normal 3 3 6 6 2 5 2" xfId="31088" xr:uid="{00000000-0005-0000-0000-00004B5B0000}"/>
    <cellStyle name="Normal 3 3 6 6 2 6" xfId="13585" xr:uid="{00000000-0005-0000-0000-00004C5B0000}"/>
    <cellStyle name="Normal 3 3 6 6 2 6 2" xfId="31089" xr:uid="{00000000-0005-0000-0000-00004D5B0000}"/>
    <cellStyle name="Normal 3 3 6 6 2 7" xfId="13586" xr:uid="{00000000-0005-0000-0000-00004E5B0000}"/>
    <cellStyle name="Normal 3 3 6 6 2 7 2" xfId="31090" xr:uid="{00000000-0005-0000-0000-00004F5B0000}"/>
    <cellStyle name="Normal 3 3 6 6 2 8" xfId="13587" xr:uid="{00000000-0005-0000-0000-0000505B0000}"/>
    <cellStyle name="Normal 3 3 6 6 2 8 2" xfId="31091" xr:uid="{00000000-0005-0000-0000-0000515B0000}"/>
    <cellStyle name="Normal 3 3 6 6 2 9" xfId="13588" xr:uid="{00000000-0005-0000-0000-0000525B0000}"/>
    <cellStyle name="Normal 3 3 6 6 2 9 2" xfId="31092" xr:uid="{00000000-0005-0000-0000-0000535B0000}"/>
    <cellStyle name="Normal 3 3 6 6 3" xfId="13589" xr:uid="{00000000-0005-0000-0000-0000545B0000}"/>
    <cellStyle name="Normal 3 3 6 6 3 2" xfId="31093" xr:uid="{00000000-0005-0000-0000-0000555B0000}"/>
    <cellStyle name="Normal 3 3 6 6 4" xfId="13590" xr:uid="{00000000-0005-0000-0000-0000565B0000}"/>
    <cellStyle name="Normal 3 3 6 6 4 2" xfId="31094" xr:uid="{00000000-0005-0000-0000-0000575B0000}"/>
    <cellStyle name="Normal 3 3 6 6 5" xfId="13591" xr:uid="{00000000-0005-0000-0000-0000585B0000}"/>
    <cellStyle name="Normal 3 3 6 6 5 2" xfId="31095" xr:uid="{00000000-0005-0000-0000-0000595B0000}"/>
    <cellStyle name="Normal 3 3 6 6 6" xfId="13592" xr:uid="{00000000-0005-0000-0000-00005A5B0000}"/>
    <cellStyle name="Normal 3 3 6 6 6 2" xfId="31096" xr:uid="{00000000-0005-0000-0000-00005B5B0000}"/>
    <cellStyle name="Normal 3 3 6 6 7" xfId="13593" xr:uid="{00000000-0005-0000-0000-00005C5B0000}"/>
    <cellStyle name="Normal 3 3 6 6 7 2" xfId="31097" xr:uid="{00000000-0005-0000-0000-00005D5B0000}"/>
    <cellStyle name="Normal 3 3 6 6 8" xfId="13594" xr:uid="{00000000-0005-0000-0000-00005E5B0000}"/>
    <cellStyle name="Normal 3 3 6 6 8 2" xfId="31098" xr:uid="{00000000-0005-0000-0000-00005F5B0000}"/>
    <cellStyle name="Normal 3 3 6 6 9" xfId="13595" xr:uid="{00000000-0005-0000-0000-0000605B0000}"/>
    <cellStyle name="Normal 3 3 6 6 9 2" xfId="31099" xr:uid="{00000000-0005-0000-0000-0000615B0000}"/>
    <cellStyle name="Normal 3 3 6 7" xfId="13596" xr:uid="{00000000-0005-0000-0000-0000625B0000}"/>
    <cellStyle name="Normal 3 3 6 7 10" xfId="13597" xr:uid="{00000000-0005-0000-0000-0000635B0000}"/>
    <cellStyle name="Normal 3 3 6 7 10 2" xfId="31101" xr:uid="{00000000-0005-0000-0000-0000645B0000}"/>
    <cellStyle name="Normal 3 3 6 7 11" xfId="13598" xr:uid="{00000000-0005-0000-0000-0000655B0000}"/>
    <cellStyle name="Normal 3 3 6 7 11 2" xfId="31102" xr:uid="{00000000-0005-0000-0000-0000665B0000}"/>
    <cellStyle name="Normal 3 3 6 7 12" xfId="13599" xr:uid="{00000000-0005-0000-0000-0000675B0000}"/>
    <cellStyle name="Normal 3 3 6 7 12 2" xfId="31103" xr:uid="{00000000-0005-0000-0000-0000685B0000}"/>
    <cellStyle name="Normal 3 3 6 7 13" xfId="13600" xr:uid="{00000000-0005-0000-0000-0000695B0000}"/>
    <cellStyle name="Normal 3 3 6 7 13 2" xfId="31104" xr:uid="{00000000-0005-0000-0000-00006A5B0000}"/>
    <cellStyle name="Normal 3 3 6 7 14" xfId="13601" xr:uid="{00000000-0005-0000-0000-00006B5B0000}"/>
    <cellStyle name="Normal 3 3 6 7 14 2" xfId="31105" xr:uid="{00000000-0005-0000-0000-00006C5B0000}"/>
    <cellStyle name="Normal 3 3 6 7 15" xfId="13602" xr:uid="{00000000-0005-0000-0000-00006D5B0000}"/>
    <cellStyle name="Normal 3 3 6 7 15 2" xfId="31106" xr:uid="{00000000-0005-0000-0000-00006E5B0000}"/>
    <cellStyle name="Normal 3 3 6 7 16" xfId="31100" xr:uid="{00000000-0005-0000-0000-00006F5B0000}"/>
    <cellStyle name="Normal 3 3 6 7 2" xfId="13603" xr:uid="{00000000-0005-0000-0000-0000705B0000}"/>
    <cellStyle name="Normal 3 3 6 7 2 10" xfId="13604" xr:uid="{00000000-0005-0000-0000-0000715B0000}"/>
    <cellStyle name="Normal 3 3 6 7 2 10 2" xfId="31108" xr:uid="{00000000-0005-0000-0000-0000725B0000}"/>
    <cellStyle name="Normal 3 3 6 7 2 11" xfId="13605" xr:uid="{00000000-0005-0000-0000-0000735B0000}"/>
    <cellStyle name="Normal 3 3 6 7 2 11 2" xfId="31109" xr:uid="{00000000-0005-0000-0000-0000745B0000}"/>
    <cellStyle name="Normal 3 3 6 7 2 12" xfId="13606" xr:uid="{00000000-0005-0000-0000-0000755B0000}"/>
    <cellStyle name="Normal 3 3 6 7 2 12 2" xfId="31110" xr:uid="{00000000-0005-0000-0000-0000765B0000}"/>
    <cellStyle name="Normal 3 3 6 7 2 13" xfId="13607" xr:uid="{00000000-0005-0000-0000-0000775B0000}"/>
    <cellStyle name="Normal 3 3 6 7 2 13 2" xfId="31111" xr:uid="{00000000-0005-0000-0000-0000785B0000}"/>
    <cellStyle name="Normal 3 3 6 7 2 14" xfId="13608" xr:uid="{00000000-0005-0000-0000-0000795B0000}"/>
    <cellStyle name="Normal 3 3 6 7 2 14 2" xfId="31112" xr:uid="{00000000-0005-0000-0000-00007A5B0000}"/>
    <cellStyle name="Normal 3 3 6 7 2 15" xfId="31107" xr:uid="{00000000-0005-0000-0000-00007B5B0000}"/>
    <cellStyle name="Normal 3 3 6 7 2 2" xfId="13609" xr:uid="{00000000-0005-0000-0000-00007C5B0000}"/>
    <cellStyle name="Normal 3 3 6 7 2 2 2" xfId="31113" xr:uid="{00000000-0005-0000-0000-00007D5B0000}"/>
    <cellStyle name="Normal 3 3 6 7 2 3" xfId="13610" xr:uid="{00000000-0005-0000-0000-00007E5B0000}"/>
    <cellStyle name="Normal 3 3 6 7 2 3 2" xfId="31114" xr:uid="{00000000-0005-0000-0000-00007F5B0000}"/>
    <cellStyle name="Normal 3 3 6 7 2 4" xfId="13611" xr:uid="{00000000-0005-0000-0000-0000805B0000}"/>
    <cellStyle name="Normal 3 3 6 7 2 4 2" xfId="31115" xr:uid="{00000000-0005-0000-0000-0000815B0000}"/>
    <cellStyle name="Normal 3 3 6 7 2 5" xfId="13612" xr:uid="{00000000-0005-0000-0000-0000825B0000}"/>
    <cellStyle name="Normal 3 3 6 7 2 5 2" xfId="31116" xr:uid="{00000000-0005-0000-0000-0000835B0000}"/>
    <cellStyle name="Normal 3 3 6 7 2 6" xfId="13613" xr:uid="{00000000-0005-0000-0000-0000845B0000}"/>
    <cellStyle name="Normal 3 3 6 7 2 6 2" xfId="31117" xr:uid="{00000000-0005-0000-0000-0000855B0000}"/>
    <cellStyle name="Normal 3 3 6 7 2 7" xfId="13614" xr:uid="{00000000-0005-0000-0000-0000865B0000}"/>
    <cellStyle name="Normal 3 3 6 7 2 7 2" xfId="31118" xr:uid="{00000000-0005-0000-0000-0000875B0000}"/>
    <cellStyle name="Normal 3 3 6 7 2 8" xfId="13615" xr:uid="{00000000-0005-0000-0000-0000885B0000}"/>
    <cellStyle name="Normal 3 3 6 7 2 8 2" xfId="31119" xr:uid="{00000000-0005-0000-0000-0000895B0000}"/>
    <cellStyle name="Normal 3 3 6 7 2 9" xfId="13616" xr:uid="{00000000-0005-0000-0000-00008A5B0000}"/>
    <cellStyle name="Normal 3 3 6 7 2 9 2" xfId="31120" xr:uid="{00000000-0005-0000-0000-00008B5B0000}"/>
    <cellStyle name="Normal 3 3 6 7 3" xfId="13617" xr:uid="{00000000-0005-0000-0000-00008C5B0000}"/>
    <cellStyle name="Normal 3 3 6 7 3 2" xfId="31121" xr:uid="{00000000-0005-0000-0000-00008D5B0000}"/>
    <cellStyle name="Normal 3 3 6 7 4" xfId="13618" xr:uid="{00000000-0005-0000-0000-00008E5B0000}"/>
    <cellStyle name="Normal 3 3 6 7 4 2" xfId="31122" xr:uid="{00000000-0005-0000-0000-00008F5B0000}"/>
    <cellStyle name="Normal 3 3 6 7 5" xfId="13619" xr:uid="{00000000-0005-0000-0000-0000905B0000}"/>
    <cellStyle name="Normal 3 3 6 7 5 2" xfId="31123" xr:uid="{00000000-0005-0000-0000-0000915B0000}"/>
    <cellStyle name="Normal 3 3 6 7 6" xfId="13620" xr:uid="{00000000-0005-0000-0000-0000925B0000}"/>
    <cellStyle name="Normal 3 3 6 7 6 2" xfId="31124" xr:uid="{00000000-0005-0000-0000-0000935B0000}"/>
    <cellStyle name="Normal 3 3 6 7 7" xfId="13621" xr:uid="{00000000-0005-0000-0000-0000945B0000}"/>
    <cellStyle name="Normal 3 3 6 7 7 2" xfId="31125" xr:uid="{00000000-0005-0000-0000-0000955B0000}"/>
    <cellStyle name="Normal 3 3 6 7 8" xfId="13622" xr:uid="{00000000-0005-0000-0000-0000965B0000}"/>
    <cellStyle name="Normal 3 3 6 7 8 2" xfId="31126" xr:uid="{00000000-0005-0000-0000-0000975B0000}"/>
    <cellStyle name="Normal 3 3 6 7 9" xfId="13623" xr:uid="{00000000-0005-0000-0000-0000985B0000}"/>
    <cellStyle name="Normal 3 3 6 7 9 2" xfId="31127" xr:uid="{00000000-0005-0000-0000-0000995B0000}"/>
    <cellStyle name="Normal 3 3 6 8" xfId="13624" xr:uid="{00000000-0005-0000-0000-00009A5B0000}"/>
    <cellStyle name="Normal 3 3 6 8 10" xfId="13625" xr:uid="{00000000-0005-0000-0000-00009B5B0000}"/>
    <cellStyle name="Normal 3 3 6 8 10 2" xfId="31129" xr:uid="{00000000-0005-0000-0000-00009C5B0000}"/>
    <cellStyle name="Normal 3 3 6 8 11" xfId="13626" xr:uid="{00000000-0005-0000-0000-00009D5B0000}"/>
    <cellStyle name="Normal 3 3 6 8 11 2" xfId="31130" xr:uid="{00000000-0005-0000-0000-00009E5B0000}"/>
    <cellStyle name="Normal 3 3 6 8 12" xfId="13627" xr:uid="{00000000-0005-0000-0000-00009F5B0000}"/>
    <cellStyle name="Normal 3 3 6 8 12 2" xfId="31131" xr:uid="{00000000-0005-0000-0000-0000A05B0000}"/>
    <cellStyle name="Normal 3 3 6 8 13" xfId="13628" xr:uid="{00000000-0005-0000-0000-0000A15B0000}"/>
    <cellStyle name="Normal 3 3 6 8 13 2" xfId="31132" xr:uid="{00000000-0005-0000-0000-0000A25B0000}"/>
    <cellStyle name="Normal 3 3 6 8 14" xfId="13629" xr:uid="{00000000-0005-0000-0000-0000A35B0000}"/>
    <cellStyle name="Normal 3 3 6 8 14 2" xfId="31133" xr:uid="{00000000-0005-0000-0000-0000A45B0000}"/>
    <cellStyle name="Normal 3 3 6 8 15" xfId="13630" xr:uid="{00000000-0005-0000-0000-0000A55B0000}"/>
    <cellStyle name="Normal 3 3 6 8 15 2" xfId="31134" xr:uid="{00000000-0005-0000-0000-0000A65B0000}"/>
    <cellStyle name="Normal 3 3 6 8 16" xfId="31128" xr:uid="{00000000-0005-0000-0000-0000A75B0000}"/>
    <cellStyle name="Normal 3 3 6 8 2" xfId="13631" xr:uid="{00000000-0005-0000-0000-0000A85B0000}"/>
    <cellStyle name="Normal 3 3 6 8 2 10" xfId="13632" xr:uid="{00000000-0005-0000-0000-0000A95B0000}"/>
    <cellStyle name="Normal 3 3 6 8 2 10 2" xfId="31136" xr:uid="{00000000-0005-0000-0000-0000AA5B0000}"/>
    <cellStyle name="Normal 3 3 6 8 2 11" xfId="13633" xr:uid="{00000000-0005-0000-0000-0000AB5B0000}"/>
    <cellStyle name="Normal 3 3 6 8 2 11 2" xfId="31137" xr:uid="{00000000-0005-0000-0000-0000AC5B0000}"/>
    <cellStyle name="Normal 3 3 6 8 2 12" xfId="13634" xr:uid="{00000000-0005-0000-0000-0000AD5B0000}"/>
    <cellStyle name="Normal 3 3 6 8 2 12 2" xfId="31138" xr:uid="{00000000-0005-0000-0000-0000AE5B0000}"/>
    <cellStyle name="Normal 3 3 6 8 2 13" xfId="13635" xr:uid="{00000000-0005-0000-0000-0000AF5B0000}"/>
    <cellStyle name="Normal 3 3 6 8 2 13 2" xfId="31139" xr:uid="{00000000-0005-0000-0000-0000B05B0000}"/>
    <cellStyle name="Normal 3 3 6 8 2 14" xfId="13636" xr:uid="{00000000-0005-0000-0000-0000B15B0000}"/>
    <cellStyle name="Normal 3 3 6 8 2 14 2" xfId="31140" xr:uid="{00000000-0005-0000-0000-0000B25B0000}"/>
    <cellStyle name="Normal 3 3 6 8 2 15" xfId="31135" xr:uid="{00000000-0005-0000-0000-0000B35B0000}"/>
    <cellStyle name="Normal 3 3 6 8 2 2" xfId="13637" xr:uid="{00000000-0005-0000-0000-0000B45B0000}"/>
    <cellStyle name="Normal 3 3 6 8 2 2 2" xfId="31141" xr:uid="{00000000-0005-0000-0000-0000B55B0000}"/>
    <cellStyle name="Normal 3 3 6 8 2 3" xfId="13638" xr:uid="{00000000-0005-0000-0000-0000B65B0000}"/>
    <cellStyle name="Normal 3 3 6 8 2 3 2" xfId="31142" xr:uid="{00000000-0005-0000-0000-0000B75B0000}"/>
    <cellStyle name="Normal 3 3 6 8 2 4" xfId="13639" xr:uid="{00000000-0005-0000-0000-0000B85B0000}"/>
    <cellStyle name="Normal 3 3 6 8 2 4 2" xfId="31143" xr:uid="{00000000-0005-0000-0000-0000B95B0000}"/>
    <cellStyle name="Normal 3 3 6 8 2 5" xfId="13640" xr:uid="{00000000-0005-0000-0000-0000BA5B0000}"/>
    <cellStyle name="Normal 3 3 6 8 2 5 2" xfId="31144" xr:uid="{00000000-0005-0000-0000-0000BB5B0000}"/>
    <cellStyle name="Normal 3 3 6 8 2 6" xfId="13641" xr:uid="{00000000-0005-0000-0000-0000BC5B0000}"/>
    <cellStyle name="Normal 3 3 6 8 2 6 2" xfId="31145" xr:uid="{00000000-0005-0000-0000-0000BD5B0000}"/>
    <cellStyle name="Normal 3 3 6 8 2 7" xfId="13642" xr:uid="{00000000-0005-0000-0000-0000BE5B0000}"/>
    <cellStyle name="Normal 3 3 6 8 2 7 2" xfId="31146" xr:uid="{00000000-0005-0000-0000-0000BF5B0000}"/>
    <cellStyle name="Normal 3 3 6 8 2 8" xfId="13643" xr:uid="{00000000-0005-0000-0000-0000C05B0000}"/>
    <cellStyle name="Normal 3 3 6 8 2 8 2" xfId="31147" xr:uid="{00000000-0005-0000-0000-0000C15B0000}"/>
    <cellStyle name="Normal 3 3 6 8 2 9" xfId="13644" xr:uid="{00000000-0005-0000-0000-0000C25B0000}"/>
    <cellStyle name="Normal 3 3 6 8 2 9 2" xfId="31148" xr:uid="{00000000-0005-0000-0000-0000C35B0000}"/>
    <cellStyle name="Normal 3 3 6 8 3" xfId="13645" xr:uid="{00000000-0005-0000-0000-0000C45B0000}"/>
    <cellStyle name="Normal 3 3 6 8 3 2" xfId="31149" xr:uid="{00000000-0005-0000-0000-0000C55B0000}"/>
    <cellStyle name="Normal 3 3 6 8 4" xfId="13646" xr:uid="{00000000-0005-0000-0000-0000C65B0000}"/>
    <cellStyle name="Normal 3 3 6 8 4 2" xfId="31150" xr:uid="{00000000-0005-0000-0000-0000C75B0000}"/>
    <cellStyle name="Normal 3 3 6 8 5" xfId="13647" xr:uid="{00000000-0005-0000-0000-0000C85B0000}"/>
    <cellStyle name="Normal 3 3 6 8 5 2" xfId="31151" xr:uid="{00000000-0005-0000-0000-0000C95B0000}"/>
    <cellStyle name="Normal 3 3 6 8 6" xfId="13648" xr:uid="{00000000-0005-0000-0000-0000CA5B0000}"/>
    <cellStyle name="Normal 3 3 6 8 6 2" xfId="31152" xr:uid="{00000000-0005-0000-0000-0000CB5B0000}"/>
    <cellStyle name="Normal 3 3 6 8 7" xfId="13649" xr:uid="{00000000-0005-0000-0000-0000CC5B0000}"/>
    <cellStyle name="Normal 3 3 6 8 7 2" xfId="31153" xr:uid="{00000000-0005-0000-0000-0000CD5B0000}"/>
    <cellStyle name="Normal 3 3 6 8 8" xfId="13650" xr:uid="{00000000-0005-0000-0000-0000CE5B0000}"/>
    <cellStyle name="Normal 3 3 6 8 8 2" xfId="31154" xr:uid="{00000000-0005-0000-0000-0000CF5B0000}"/>
    <cellStyle name="Normal 3 3 6 8 9" xfId="13651" xr:uid="{00000000-0005-0000-0000-0000D05B0000}"/>
    <cellStyle name="Normal 3 3 6 8 9 2" xfId="31155" xr:uid="{00000000-0005-0000-0000-0000D15B0000}"/>
    <cellStyle name="Normal 3 3 6 9" xfId="13652" xr:uid="{00000000-0005-0000-0000-0000D25B0000}"/>
    <cellStyle name="Normal 3 3 6 9 10" xfId="13653" xr:uid="{00000000-0005-0000-0000-0000D35B0000}"/>
    <cellStyle name="Normal 3 3 6 9 10 2" xfId="31157" xr:uid="{00000000-0005-0000-0000-0000D45B0000}"/>
    <cellStyle name="Normal 3 3 6 9 11" xfId="13654" xr:uid="{00000000-0005-0000-0000-0000D55B0000}"/>
    <cellStyle name="Normal 3 3 6 9 11 2" xfId="31158" xr:uid="{00000000-0005-0000-0000-0000D65B0000}"/>
    <cellStyle name="Normal 3 3 6 9 12" xfId="13655" xr:uid="{00000000-0005-0000-0000-0000D75B0000}"/>
    <cellStyle name="Normal 3 3 6 9 12 2" xfId="31159" xr:uid="{00000000-0005-0000-0000-0000D85B0000}"/>
    <cellStyle name="Normal 3 3 6 9 13" xfId="13656" xr:uid="{00000000-0005-0000-0000-0000D95B0000}"/>
    <cellStyle name="Normal 3 3 6 9 13 2" xfId="31160" xr:uid="{00000000-0005-0000-0000-0000DA5B0000}"/>
    <cellStyle name="Normal 3 3 6 9 14" xfId="13657" xr:uid="{00000000-0005-0000-0000-0000DB5B0000}"/>
    <cellStyle name="Normal 3 3 6 9 14 2" xfId="31161" xr:uid="{00000000-0005-0000-0000-0000DC5B0000}"/>
    <cellStyle name="Normal 3 3 6 9 15" xfId="31156" xr:uid="{00000000-0005-0000-0000-0000DD5B0000}"/>
    <cellStyle name="Normal 3 3 6 9 2" xfId="13658" xr:uid="{00000000-0005-0000-0000-0000DE5B0000}"/>
    <cellStyle name="Normal 3 3 6 9 2 2" xfId="31162" xr:uid="{00000000-0005-0000-0000-0000DF5B0000}"/>
    <cellStyle name="Normal 3 3 6 9 3" xfId="13659" xr:uid="{00000000-0005-0000-0000-0000E05B0000}"/>
    <cellStyle name="Normal 3 3 6 9 3 2" xfId="31163" xr:uid="{00000000-0005-0000-0000-0000E15B0000}"/>
    <cellStyle name="Normal 3 3 6 9 4" xfId="13660" xr:uid="{00000000-0005-0000-0000-0000E25B0000}"/>
    <cellStyle name="Normal 3 3 6 9 4 2" xfId="31164" xr:uid="{00000000-0005-0000-0000-0000E35B0000}"/>
    <cellStyle name="Normal 3 3 6 9 5" xfId="13661" xr:uid="{00000000-0005-0000-0000-0000E45B0000}"/>
    <cellStyle name="Normal 3 3 6 9 5 2" xfId="31165" xr:uid="{00000000-0005-0000-0000-0000E55B0000}"/>
    <cellStyle name="Normal 3 3 6 9 6" xfId="13662" xr:uid="{00000000-0005-0000-0000-0000E65B0000}"/>
    <cellStyle name="Normal 3 3 6 9 6 2" xfId="31166" xr:uid="{00000000-0005-0000-0000-0000E75B0000}"/>
    <cellStyle name="Normal 3 3 6 9 7" xfId="13663" xr:uid="{00000000-0005-0000-0000-0000E85B0000}"/>
    <cellStyle name="Normal 3 3 6 9 7 2" xfId="31167" xr:uid="{00000000-0005-0000-0000-0000E95B0000}"/>
    <cellStyle name="Normal 3 3 6 9 8" xfId="13664" xr:uid="{00000000-0005-0000-0000-0000EA5B0000}"/>
    <cellStyle name="Normal 3 3 6 9 8 2" xfId="31168" xr:uid="{00000000-0005-0000-0000-0000EB5B0000}"/>
    <cellStyle name="Normal 3 3 6 9 9" xfId="13665" xr:uid="{00000000-0005-0000-0000-0000EC5B0000}"/>
    <cellStyle name="Normal 3 3 6 9 9 2" xfId="31169" xr:uid="{00000000-0005-0000-0000-0000ED5B0000}"/>
    <cellStyle name="Normal 3 3 7" xfId="13666" xr:uid="{00000000-0005-0000-0000-0000EE5B0000}"/>
    <cellStyle name="Normal 3 3 7 10" xfId="13667" xr:uid="{00000000-0005-0000-0000-0000EF5B0000}"/>
    <cellStyle name="Normal 3 3 7 10 10" xfId="13668" xr:uid="{00000000-0005-0000-0000-0000F05B0000}"/>
    <cellStyle name="Normal 3 3 7 10 10 2" xfId="31172" xr:uid="{00000000-0005-0000-0000-0000F15B0000}"/>
    <cellStyle name="Normal 3 3 7 10 11" xfId="13669" xr:uid="{00000000-0005-0000-0000-0000F25B0000}"/>
    <cellStyle name="Normal 3 3 7 10 11 2" xfId="31173" xr:uid="{00000000-0005-0000-0000-0000F35B0000}"/>
    <cellStyle name="Normal 3 3 7 10 12" xfId="13670" xr:uid="{00000000-0005-0000-0000-0000F45B0000}"/>
    <cellStyle name="Normal 3 3 7 10 12 2" xfId="31174" xr:uid="{00000000-0005-0000-0000-0000F55B0000}"/>
    <cellStyle name="Normal 3 3 7 10 13" xfId="13671" xr:uid="{00000000-0005-0000-0000-0000F65B0000}"/>
    <cellStyle name="Normal 3 3 7 10 13 2" xfId="31175" xr:uid="{00000000-0005-0000-0000-0000F75B0000}"/>
    <cellStyle name="Normal 3 3 7 10 14" xfId="13672" xr:uid="{00000000-0005-0000-0000-0000F85B0000}"/>
    <cellStyle name="Normal 3 3 7 10 14 2" xfId="31176" xr:uid="{00000000-0005-0000-0000-0000F95B0000}"/>
    <cellStyle name="Normal 3 3 7 10 15" xfId="31171" xr:uid="{00000000-0005-0000-0000-0000FA5B0000}"/>
    <cellStyle name="Normal 3 3 7 10 2" xfId="13673" xr:uid="{00000000-0005-0000-0000-0000FB5B0000}"/>
    <cellStyle name="Normal 3 3 7 10 2 2" xfId="31177" xr:uid="{00000000-0005-0000-0000-0000FC5B0000}"/>
    <cellStyle name="Normal 3 3 7 10 3" xfId="13674" xr:uid="{00000000-0005-0000-0000-0000FD5B0000}"/>
    <cellStyle name="Normal 3 3 7 10 3 2" xfId="31178" xr:uid="{00000000-0005-0000-0000-0000FE5B0000}"/>
    <cellStyle name="Normal 3 3 7 10 4" xfId="13675" xr:uid="{00000000-0005-0000-0000-0000FF5B0000}"/>
    <cellStyle name="Normal 3 3 7 10 4 2" xfId="31179" xr:uid="{00000000-0005-0000-0000-0000005C0000}"/>
    <cellStyle name="Normal 3 3 7 10 5" xfId="13676" xr:uid="{00000000-0005-0000-0000-0000015C0000}"/>
    <cellStyle name="Normal 3 3 7 10 5 2" xfId="31180" xr:uid="{00000000-0005-0000-0000-0000025C0000}"/>
    <cellStyle name="Normal 3 3 7 10 6" xfId="13677" xr:uid="{00000000-0005-0000-0000-0000035C0000}"/>
    <cellStyle name="Normal 3 3 7 10 6 2" xfId="31181" xr:uid="{00000000-0005-0000-0000-0000045C0000}"/>
    <cellStyle name="Normal 3 3 7 10 7" xfId="13678" xr:uid="{00000000-0005-0000-0000-0000055C0000}"/>
    <cellStyle name="Normal 3 3 7 10 7 2" xfId="31182" xr:uid="{00000000-0005-0000-0000-0000065C0000}"/>
    <cellStyle name="Normal 3 3 7 10 8" xfId="13679" xr:uid="{00000000-0005-0000-0000-0000075C0000}"/>
    <cellStyle name="Normal 3 3 7 10 8 2" xfId="31183" xr:uid="{00000000-0005-0000-0000-0000085C0000}"/>
    <cellStyle name="Normal 3 3 7 10 9" xfId="13680" xr:uid="{00000000-0005-0000-0000-0000095C0000}"/>
    <cellStyle name="Normal 3 3 7 10 9 2" xfId="31184" xr:uid="{00000000-0005-0000-0000-00000A5C0000}"/>
    <cellStyle name="Normal 3 3 7 11" xfId="13681" xr:uid="{00000000-0005-0000-0000-00000B5C0000}"/>
    <cellStyle name="Normal 3 3 7 11 2" xfId="31185" xr:uid="{00000000-0005-0000-0000-00000C5C0000}"/>
    <cellStyle name="Normal 3 3 7 12" xfId="13682" xr:uid="{00000000-0005-0000-0000-00000D5C0000}"/>
    <cellStyle name="Normal 3 3 7 12 2" xfId="31186" xr:uid="{00000000-0005-0000-0000-00000E5C0000}"/>
    <cellStyle name="Normal 3 3 7 13" xfId="13683" xr:uid="{00000000-0005-0000-0000-00000F5C0000}"/>
    <cellStyle name="Normal 3 3 7 13 2" xfId="31187" xr:uid="{00000000-0005-0000-0000-0000105C0000}"/>
    <cellStyle name="Normal 3 3 7 14" xfId="13684" xr:uid="{00000000-0005-0000-0000-0000115C0000}"/>
    <cellStyle name="Normal 3 3 7 14 2" xfId="31188" xr:uid="{00000000-0005-0000-0000-0000125C0000}"/>
    <cellStyle name="Normal 3 3 7 15" xfId="13685" xr:uid="{00000000-0005-0000-0000-0000135C0000}"/>
    <cellStyle name="Normal 3 3 7 15 2" xfId="31189" xr:uid="{00000000-0005-0000-0000-0000145C0000}"/>
    <cellStyle name="Normal 3 3 7 16" xfId="13686" xr:uid="{00000000-0005-0000-0000-0000155C0000}"/>
    <cellStyle name="Normal 3 3 7 16 2" xfId="31190" xr:uid="{00000000-0005-0000-0000-0000165C0000}"/>
    <cellStyle name="Normal 3 3 7 17" xfId="13687" xr:uid="{00000000-0005-0000-0000-0000175C0000}"/>
    <cellStyle name="Normal 3 3 7 17 2" xfId="31191" xr:uid="{00000000-0005-0000-0000-0000185C0000}"/>
    <cellStyle name="Normal 3 3 7 18" xfId="13688" xr:uid="{00000000-0005-0000-0000-0000195C0000}"/>
    <cellStyle name="Normal 3 3 7 18 2" xfId="31192" xr:uid="{00000000-0005-0000-0000-00001A5C0000}"/>
    <cellStyle name="Normal 3 3 7 19" xfId="13689" xr:uid="{00000000-0005-0000-0000-00001B5C0000}"/>
    <cellStyle name="Normal 3 3 7 19 2" xfId="31193" xr:uid="{00000000-0005-0000-0000-00001C5C0000}"/>
    <cellStyle name="Normal 3 3 7 2" xfId="13690" xr:uid="{00000000-0005-0000-0000-00001D5C0000}"/>
    <cellStyle name="Normal 3 3 7 2 10" xfId="13691" xr:uid="{00000000-0005-0000-0000-00001E5C0000}"/>
    <cellStyle name="Normal 3 3 7 2 10 2" xfId="31195" xr:uid="{00000000-0005-0000-0000-00001F5C0000}"/>
    <cellStyle name="Normal 3 3 7 2 11" xfId="13692" xr:uid="{00000000-0005-0000-0000-0000205C0000}"/>
    <cellStyle name="Normal 3 3 7 2 11 2" xfId="31196" xr:uid="{00000000-0005-0000-0000-0000215C0000}"/>
    <cellStyle name="Normal 3 3 7 2 12" xfId="13693" xr:uid="{00000000-0005-0000-0000-0000225C0000}"/>
    <cellStyle name="Normal 3 3 7 2 12 2" xfId="31197" xr:uid="{00000000-0005-0000-0000-0000235C0000}"/>
    <cellStyle name="Normal 3 3 7 2 13" xfId="13694" xr:uid="{00000000-0005-0000-0000-0000245C0000}"/>
    <cellStyle name="Normal 3 3 7 2 13 2" xfId="31198" xr:uid="{00000000-0005-0000-0000-0000255C0000}"/>
    <cellStyle name="Normal 3 3 7 2 14" xfId="13695" xr:uid="{00000000-0005-0000-0000-0000265C0000}"/>
    <cellStyle name="Normal 3 3 7 2 14 2" xfId="31199" xr:uid="{00000000-0005-0000-0000-0000275C0000}"/>
    <cellStyle name="Normal 3 3 7 2 15" xfId="13696" xr:uid="{00000000-0005-0000-0000-0000285C0000}"/>
    <cellStyle name="Normal 3 3 7 2 15 2" xfId="31200" xr:uid="{00000000-0005-0000-0000-0000295C0000}"/>
    <cellStyle name="Normal 3 3 7 2 16" xfId="31194" xr:uid="{00000000-0005-0000-0000-00002A5C0000}"/>
    <cellStyle name="Normal 3 3 7 2 2" xfId="13697" xr:uid="{00000000-0005-0000-0000-00002B5C0000}"/>
    <cellStyle name="Normal 3 3 7 2 2 10" xfId="13698" xr:uid="{00000000-0005-0000-0000-00002C5C0000}"/>
    <cellStyle name="Normal 3 3 7 2 2 10 2" xfId="31202" xr:uid="{00000000-0005-0000-0000-00002D5C0000}"/>
    <cellStyle name="Normal 3 3 7 2 2 11" xfId="13699" xr:uid="{00000000-0005-0000-0000-00002E5C0000}"/>
    <cellStyle name="Normal 3 3 7 2 2 11 2" xfId="31203" xr:uid="{00000000-0005-0000-0000-00002F5C0000}"/>
    <cellStyle name="Normal 3 3 7 2 2 12" xfId="13700" xr:uid="{00000000-0005-0000-0000-0000305C0000}"/>
    <cellStyle name="Normal 3 3 7 2 2 12 2" xfId="31204" xr:uid="{00000000-0005-0000-0000-0000315C0000}"/>
    <cellStyle name="Normal 3 3 7 2 2 13" xfId="13701" xr:uid="{00000000-0005-0000-0000-0000325C0000}"/>
    <cellStyle name="Normal 3 3 7 2 2 13 2" xfId="31205" xr:uid="{00000000-0005-0000-0000-0000335C0000}"/>
    <cellStyle name="Normal 3 3 7 2 2 14" xfId="13702" xr:uid="{00000000-0005-0000-0000-0000345C0000}"/>
    <cellStyle name="Normal 3 3 7 2 2 14 2" xfId="31206" xr:uid="{00000000-0005-0000-0000-0000355C0000}"/>
    <cellStyle name="Normal 3 3 7 2 2 15" xfId="31201" xr:uid="{00000000-0005-0000-0000-0000365C0000}"/>
    <cellStyle name="Normal 3 3 7 2 2 2" xfId="13703" xr:uid="{00000000-0005-0000-0000-0000375C0000}"/>
    <cellStyle name="Normal 3 3 7 2 2 2 2" xfId="31207" xr:uid="{00000000-0005-0000-0000-0000385C0000}"/>
    <cellStyle name="Normal 3 3 7 2 2 3" xfId="13704" xr:uid="{00000000-0005-0000-0000-0000395C0000}"/>
    <cellStyle name="Normal 3 3 7 2 2 3 2" xfId="31208" xr:uid="{00000000-0005-0000-0000-00003A5C0000}"/>
    <cellStyle name="Normal 3 3 7 2 2 4" xfId="13705" xr:uid="{00000000-0005-0000-0000-00003B5C0000}"/>
    <cellStyle name="Normal 3 3 7 2 2 4 2" xfId="31209" xr:uid="{00000000-0005-0000-0000-00003C5C0000}"/>
    <cellStyle name="Normal 3 3 7 2 2 5" xfId="13706" xr:uid="{00000000-0005-0000-0000-00003D5C0000}"/>
    <cellStyle name="Normal 3 3 7 2 2 5 2" xfId="31210" xr:uid="{00000000-0005-0000-0000-00003E5C0000}"/>
    <cellStyle name="Normal 3 3 7 2 2 6" xfId="13707" xr:uid="{00000000-0005-0000-0000-00003F5C0000}"/>
    <cellStyle name="Normal 3 3 7 2 2 6 2" xfId="31211" xr:uid="{00000000-0005-0000-0000-0000405C0000}"/>
    <cellStyle name="Normal 3 3 7 2 2 7" xfId="13708" xr:uid="{00000000-0005-0000-0000-0000415C0000}"/>
    <cellStyle name="Normal 3 3 7 2 2 7 2" xfId="31212" xr:uid="{00000000-0005-0000-0000-0000425C0000}"/>
    <cellStyle name="Normal 3 3 7 2 2 8" xfId="13709" xr:uid="{00000000-0005-0000-0000-0000435C0000}"/>
    <cellStyle name="Normal 3 3 7 2 2 8 2" xfId="31213" xr:uid="{00000000-0005-0000-0000-0000445C0000}"/>
    <cellStyle name="Normal 3 3 7 2 2 9" xfId="13710" xr:uid="{00000000-0005-0000-0000-0000455C0000}"/>
    <cellStyle name="Normal 3 3 7 2 2 9 2" xfId="31214" xr:uid="{00000000-0005-0000-0000-0000465C0000}"/>
    <cellStyle name="Normal 3 3 7 2 3" xfId="13711" xr:uid="{00000000-0005-0000-0000-0000475C0000}"/>
    <cellStyle name="Normal 3 3 7 2 3 2" xfId="31215" xr:uid="{00000000-0005-0000-0000-0000485C0000}"/>
    <cellStyle name="Normal 3 3 7 2 4" xfId="13712" xr:uid="{00000000-0005-0000-0000-0000495C0000}"/>
    <cellStyle name="Normal 3 3 7 2 4 2" xfId="31216" xr:uid="{00000000-0005-0000-0000-00004A5C0000}"/>
    <cellStyle name="Normal 3 3 7 2 5" xfId="13713" xr:uid="{00000000-0005-0000-0000-00004B5C0000}"/>
    <cellStyle name="Normal 3 3 7 2 5 2" xfId="31217" xr:uid="{00000000-0005-0000-0000-00004C5C0000}"/>
    <cellStyle name="Normal 3 3 7 2 6" xfId="13714" xr:uid="{00000000-0005-0000-0000-00004D5C0000}"/>
    <cellStyle name="Normal 3 3 7 2 6 2" xfId="31218" xr:uid="{00000000-0005-0000-0000-00004E5C0000}"/>
    <cellStyle name="Normal 3 3 7 2 7" xfId="13715" xr:uid="{00000000-0005-0000-0000-00004F5C0000}"/>
    <cellStyle name="Normal 3 3 7 2 7 2" xfId="31219" xr:uid="{00000000-0005-0000-0000-0000505C0000}"/>
    <cellStyle name="Normal 3 3 7 2 8" xfId="13716" xr:uid="{00000000-0005-0000-0000-0000515C0000}"/>
    <cellStyle name="Normal 3 3 7 2 8 2" xfId="31220" xr:uid="{00000000-0005-0000-0000-0000525C0000}"/>
    <cellStyle name="Normal 3 3 7 2 9" xfId="13717" xr:uid="{00000000-0005-0000-0000-0000535C0000}"/>
    <cellStyle name="Normal 3 3 7 2 9 2" xfId="31221" xr:uid="{00000000-0005-0000-0000-0000545C0000}"/>
    <cellStyle name="Normal 3 3 7 20" xfId="13718" xr:uid="{00000000-0005-0000-0000-0000555C0000}"/>
    <cellStyle name="Normal 3 3 7 20 2" xfId="31222" xr:uid="{00000000-0005-0000-0000-0000565C0000}"/>
    <cellStyle name="Normal 3 3 7 21" xfId="13719" xr:uid="{00000000-0005-0000-0000-0000575C0000}"/>
    <cellStyle name="Normal 3 3 7 21 2" xfId="31223" xr:uid="{00000000-0005-0000-0000-0000585C0000}"/>
    <cellStyle name="Normal 3 3 7 22" xfId="13720" xr:uid="{00000000-0005-0000-0000-0000595C0000}"/>
    <cellStyle name="Normal 3 3 7 22 2" xfId="31224" xr:uid="{00000000-0005-0000-0000-00005A5C0000}"/>
    <cellStyle name="Normal 3 3 7 23" xfId="13721" xr:uid="{00000000-0005-0000-0000-00005B5C0000}"/>
    <cellStyle name="Normal 3 3 7 23 2" xfId="31225" xr:uid="{00000000-0005-0000-0000-00005C5C0000}"/>
    <cellStyle name="Normal 3 3 7 24" xfId="31170" xr:uid="{00000000-0005-0000-0000-00005D5C0000}"/>
    <cellStyle name="Normal 3 3 7 3" xfId="13722" xr:uid="{00000000-0005-0000-0000-00005E5C0000}"/>
    <cellStyle name="Normal 3 3 7 3 10" xfId="13723" xr:uid="{00000000-0005-0000-0000-00005F5C0000}"/>
    <cellStyle name="Normal 3 3 7 3 10 2" xfId="31227" xr:uid="{00000000-0005-0000-0000-0000605C0000}"/>
    <cellStyle name="Normal 3 3 7 3 11" xfId="13724" xr:uid="{00000000-0005-0000-0000-0000615C0000}"/>
    <cellStyle name="Normal 3 3 7 3 11 2" xfId="31228" xr:uid="{00000000-0005-0000-0000-0000625C0000}"/>
    <cellStyle name="Normal 3 3 7 3 12" xfId="13725" xr:uid="{00000000-0005-0000-0000-0000635C0000}"/>
    <cellStyle name="Normal 3 3 7 3 12 2" xfId="31229" xr:uid="{00000000-0005-0000-0000-0000645C0000}"/>
    <cellStyle name="Normal 3 3 7 3 13" xfId="13726" xr:uid="{00000000-0005-0000-0000-0000655C0000}"/>
    <cellStyle name="Normal 3 3 7 3 13 2" xfId="31230" xr:uid="{00000000-0005-0000-0000-0000665C0000}"/>
    <cellStyle name="Normal 3 3 7 3 14" xfId="13727" xr:uid="{00000000-0005-0000-0000-0000675C0000}"/>
    <cellStyle name="Normal 3 3 7 3 14 2" xfId="31231" xr:uid="{00000000-0005-0000-0000-0000685C0000}"/>
    <cellStyle name="Normal 3 3 7 3 15" xfId="13728" xr:uid="{00000000-0005-0000-0000-0000695C0000}"/>
    <cellStyle name="Normal 3 3 7 3 15 2" xfId="31232" xr:uid="{00000000-0005-0000-0000-00006A5C0000}"/>
    <cellStyle name="Normal 3 3 7 3 16" xfId="31226" xr:uid="{00000000-0005-0000-0000-00006B5C0000}"/>
    <cellStyle name="Normal 3 3 7 3 2" xfId="13729" xr:uid="{00000000-0005-0000-0000-00006C5C0000}"/>
    <cellStyle name="Normal 3 3 7 3 2 10" xfId="13730" xr:uid="{00000000-0005-0000-0000-00006D5C0000}"/>
    <cellStyle name="Normal 3 3 7 3 2 10 2" xfId="31234" xr:uid="{00000000-0005-0000-0000-00006E5C0000}"/>
    <cellStyle name="Normal 3 3 7 3 2 11" xfId="13731" xr:uid="{00000000-0005-0000-0000-00006F5C0000}"/>
    <cellStyle name="Normal 3 3 7 3 2 11 2" xfId="31235" xr:uid="{00000000-0005-0000-0000-0000705C0000}"/>
    <cellStyle name="Normal 3 3 7 3 2 12" xfId="13732" xr:uid="{00000000-0005-0000-0000-0000715C0000}"/>
    <cellStyle name="Normal 3 3 7 3 2 12 2" xfId="31236" xr:uid="{00000000-0005-0000-0000-0000725C0000}"/>
    <cellStyle name="Normal 3 3 7 3 2 13" xfId="13733" xr:uid="{00000000-0005-0000-0000-0000735C0000}"/>
    <cellStyle name="Normal 3 3 7 3 2 13 2" xfId="31237" xr:uid="{00000000-0005-0000-0000-0000745C0000}"/>
    <cellStyle name="Normal 3 3 7 3 2 14" xfId="13734" xr:uid="{00000000-0005-0000-0000-0000755C0000}"/>
    <cellStyle name="Normal 3 3 7 3 2 14 2" xfId="31238" xr:uid="{00000000-0005-0000-0000-0000765C0000}"/>
    <cellStyle name="Normal 3 3 7 3 2 15" xfId="31233" xr:uid="{00000000-0005-0000-0000-0000775C0000}"/>
    <cellStyle name="Normal 3 3 7 3 2 2" xfId="13735" xr:uid="{00000000-0005-0000-0000-0000785C0000}"/>
    <cellStyle name="Normal 3 3 7 3 2 2 2" xfId="31239" xr:uid="{00000000-0005-0000-0000-0000795C0000}"/>
    <cellStyle name="Normal 3 3 7 3 2 3" xfId="13736" xr:uid="{00000000-0005-0000-0000-00007A5C0000}"/>
    <cellStyle name="Normal 3 3 7 3 2 3 2" xfId="31240" xr:uid="{00000000-0005-0000-0000-00007B5C0000}"/>
    <cellStyle name="Normal 3 3 7 3 2 4" xfId="13737" xr:uid="{00000000-0005-0000-0000-00007C5C0000}"/>
    <cellStyle name="Normal 3 3 7 3 2 4 2" xfId="31241" xr:uid="{00000000-0005-0000-0000-00007D5C0000}"/>
    <cellStyle name="Normal 3 3 7 3 2 5" xfId="13738" xr:uid="{00000000-0005-0000-0000-00007E5C0000}"/>
    <cellStyle name="Normal 3 3 7 3 2 5 2" xfId="31242" xr:uid="{00000000-0005-0000-0000-00007F5C0000}"/>
    <cellStyle name="Normal 3 3 7 3 2 6" xfId="13739" xr:uid="{00000000-0005-0000-0000-0000805C0000}"/>
    <cellStyle name="Normal 3 3 7 3 2 6 2" xfId="31243" xr:uid="{00000000-0005-0000-0000-0000815C0000}"/>
    <cellStyle name="Normal 3 3 7 3 2 7" xfId="13740" xr:uid="{00000000-0005-0000-0000-0000825C0000}"/>
    <cellStyle name="Normal 3 3 7 3 2 7 2" xfId="31244" xr:uid="{00000000-0005-0000-0000-0000835C0000}"/>
    <cellStyle name="Normal 3 3 7 3 2 8" xfId="13741" xr:uid="{00000000-0005-0000-0000-0000845C0000}"/>
    <cellStyle name="Normal 3 3 7 3 2 8 2" xfId="31245" xr:uid="{00000000-0005-0000-0000-0000855C0000}"/>
    <cellStyle name="Normal 3 3 7 3 2 9" xfId="13742" xr:uid="{00000000-0005-0000-0000-0000865C0000}"/>
    <cellStyle name="Normal 3 3 7 3 2 9 2" xfId="31246" xr:uid="{00000000-0005-0000-0000-0000875C0000}"/>
    <cellStyle name="Normal 3 3 7 3 3" xfId="13743" xr:uid="{00000000-0005-0000-0000-0000885C0000}"/>
    <cellStyle name="Normal 3 3 7 3 3 2" xfId="31247" xr:uid="{00000000-0005-0000-0000-0000895C0000}"/>
    <cellStyle name="Normal 3 3 7 3 4" xfId="13744" xr:uid="{00000000-0005-0000-0000-00008A5C0000}"/>
    <cellStyle name="Normal 3 3 7 3 4 2" xfId="31248" xr:uid="{00000000-0005-0000-0000-00008B5C0000}"/>
    <cellStyle name="Normal 3 3 7 3 5" xfId="13745" xr:uid="{00000000-0005-0000-0000-00008C5C0000}"/>
    <cellStyle name="Normal 3 3 7 3 5 2" xfId="31249" xr:uid="{00000000-0005-0000-0000-00008D5C0000}"/>
    <cellStyle name="Normal 3 3 7 3 6" xfId="13746" xr:uid="{00000000-0005-0000-0000-00008E5C0000}"/>
    <cellStyle name="Normal 3 3 7 3 6 2" xfId="31250" xr:uid="{00000000-0005-0000-0000-00008F5C0000}"/>
    <cellStyle name="Normal 3 3 7 3 7" xfId="13747" xr:uid="{00000000-0005-0000-0000-0000905C0000}"/>
    <cellStyle name="Normal 3 3 7 3 7 2" xfId="31251" xr:uid="{00000000-0005-0000-0000-0000915C0000}"/>
    <cellStyle name="Normal 3 3 7 3 8" xfId="13748" xr:uid="{00000000-0005-0000-0000-0000925C0000}"/>
    <cellStyle name="Normal 3 3 7 3 8 2" xfId="31252" xr:uid="{00000000-0005-0000-0000-0000935C0000}"/>
    <cellStyle name="Normal 3 3 7 3 9" xfId="13749" xr:uid="{00000000-0005-0000-0000-0000945C0000}"/>
    <cellStyle name="Normal 3 3 7 3 9 2" xfId="31253" xr:uid="{00000000-0005-0000-0000-0000955C0000}"/>
    <cellStyle name="Normal 3 3 7 4" xfId="13750" xr:uid="{00000000-0005-0000-0000-0000965C0000}"/>
    <cellStyle name="Normal 3 3 7 4 10" xfId="13751" xr:uid="{00000000-0005-0000-0000-0000975C0000}"/>
    <cellStyle name="Normal 3 3 7 4 10 2" xfId="31255" xr:uid="{00000000-0005-0000-0000-0000985C0000}"/>
    <cellStyle name="Normal 3 3 7 4 11" xfId="13752" xr:uid="{00000000-0005-0000-0000-0000995C0000}"/>
    <cellStyle name="Normal 3 3 7 4 11 2" xfId="31256" xr:uid="{00000000-0005-0000-0000-00009A5C0000}"/>
    <cellStyle name="Normal 3 3 7 4 12" xfId="13753" xr:uid="{00000000-0005-0000-0000-00009B5C0000}"/>
    <cellStyle name="Normal 3 3 7 4 12 2" xfId="31257" xr:uid="{00000000-0005-0000-0000-00009C5C0000}"/>
    <cellStyle name="Normal 3 3 7 4 13" xfId="13754" xr:uid="{00000000-0005-0000-0000-00009D5C0000}"/>
    <cellStyle name="Normal 3 3 7 4 13 2" xfId="31258" xr:uid="{00000000-0005-0000-0000-00009E5C0000}"/>
    <cellStyle name="Normal 3 3 7 4 14" xfId="13755" xr:uid="{00000000-0005-0000-0000-00009F5C0000}"/>
    <cellStyle name="Normal 3 3 7 4 14 2" xfId="31259" xr:uid="{00000000-0005-0000-0000-0000A05C0000}"/>
    <cellStyle name="Normal 3 3 7 4 15" xfId="13756" xr:uid="{00000000-0005-0000-0000-0000A15C0000}"/>
    <cellStyle name="Normal 3 3 7 4 15 2" xfId="31260" xr:uid="{00000000-0005-0000-0000-0000A25C0000}"/>
    <cellStyle name="Normal 3 3 7 4 16" xfId="31254" xr:uid="{00000000-0005-0000-0000-0000A35C0000}"/>
    <cellStyle name="Normal 3 3 7 4 2" xfId="13757" xr:uid="{00000000-0005-0000-0000-0000A45C0000}"/>
    <cellStyle name="Normal 3 3 7 4 2 10" xfId="13758" xr:uid="{00000000-0005-0000-0000-0000A55C0000}"/>
    <cellStyle name="Normal 3 3 7 4 2 10 2" xfId="31262" xr:uid="{00000000-0005-0000-0000-0000A65C0000}"/>
    <cellStyle name="Normal 3 3 7 4 2 11" xfId="13759" xr:uid="{00000000-0005-0000-0000-0000A75C0000}"/>
    <cellStyle name="Normal 3 3 7 4 2 11 2" xfId="31263" xr:uid="{00000000-0005-0000-0000-0000A85C0000}"/>
    <cellStyle name="Normal 3 3 7 4 2 12" xfId="13760" xr:uid="{00000000-0005-0000-0000-0000A95C0000}"/>
    <cellStyle name="Normal 3 3 7 4 2 12 2" xfId="31264" xr:uid="{00000000-0005-0000-0000-0000AA5C0000}"/>
    <cellStyle name="Normal 3 3 7 4 2 13" xfId="13761" xr:uid="{00000000-0005-0000-0000-0000AB5C0000}"/>
    <cellStyle name="Normal 3 3 7 4 2 13 2" xfId="31265" xr:uid="{00000000-0005-0000-0000-0000AC5C0000}"/>
    <cellStyle name="Normal 3 3 7 4 2 14" xfId="13762" xr:uid="{00000000-0005-0000-0000-0000AD5C0000}"/>
    <cellStyle name="Normal 3 3 7 4 2 14 2" xfId="31266" xr:uid="{00000000-0005-0000-0000-0000AE5C0000}"/>
    <cellStyle name="Normal 3 3 7 4 2 15" xfId="31261" xr:uid="{00000000-0005-0000-0000-0000AF5C0000}"/>
    <cellStyle name="Normal 3 3 7 4 2 2" xfId="13763" xr:uid="{00000000-0005-0000-0000-0000B05C0000}"/>
    <cellStyle name="Normal 3 3 7 4 2 2 2" xfId="31267" xr:uid="{00000000-0005-0000-0000-0000B15C0000}"/>
    <cellStyle name="Normal 3 3 7 4 2 3" xfId="13764" xr:uid="{00000000-0005-0000-0000-0000B25C0000}"/>
    <cellStyle name="Normal 3 3 7 4 2 3 2" xfId="31268" xr:uid="{00000000-0005-0000-0000-0000B35C0000}"/>
    <cellStyle name="Normal 3 3 7 4 2 4" xfId="13765" xr:uid="{00000000-0005-0000-0000-0000B45C0000}"/>
    <cellStyle name="Normal 3 3 7 4 2 4 2" xfId="31269" xr:uid="{00000000-0005-0000-0000-0000B55C0000}"/>
    <cellStyle name="Normal 3 3 7 4 2 5" xfId="13766" xr:uid="{00000000-0005-0000-0000-0000B65C0000}"/>
    <cellStyle name="Normal 3 3 7 4 2 5 2" xfId="31270" xr:uid="{00000000-0005-0000-0000-0000B75C0000}"/>
    <cellStyle name="Normal 3 3 7 4 2 6" xfId="13767" xr:uid="{00000000-0005-0000-0000-0000B85C0000}"/>
    <cellStyle name="Normal 3 3 7 4 2 6 2" xfId="31271" xr:uid="{00000000-0005-0000-0000-0000B95C0000}"/>
    <cellStyle name="Normal 3 3 7 4 2 7" xfId="13768" xr:uid="{00000000-0005-0000-0000-0000BA5C0000}"/>
    <cellStyle name="Normal 3 3 7 4 2 7 2" xfId="31272" xr:uid="{00000000-0005-0000-0000-0000BB5C0000}"/>
    <cellStyle name="Normal 3 3 7 4 2 8" xfId="13769" xr:uid="{00000000-0005-0000-0000-0000BC5C0000}"/>
    <cellStyle name="Normal 3 3 7 4 2 8 2" xfId="31273" xr:uid="{00000000-0005-0000-0000-0000BD5C0000}"/>
    <cellStyle name="Normal 3 3 7 4 2 9" xfId="13770" xr:uid="{00000000-0005-0000-0000-0000BE5C0000}"/>
    <cellStyle name="Normal 3 3 7 4 2 9 2" xfId="31274" xr:uid="{00000000-0005-0000-0000-0000BF5C0000}"/>
    <cellStyle name="Normal 3 3 7 4 3" xfId="13771" xr:uid="{00000000-0005-0000-0000-0000C05C0000}"/>
    <cellStyle name="Normal 3 3 7 4 3 2" xfId="31275" xr:uid="{00000000-0005-0000-0000-0000C15C0000}"/>
    <cellStyle name="Normal 3 3 7 4 4" xfId="13772" xr:uid="{00000000-0005-0000-0000-0000C25C0000}"/>
    <cellStyle name="Normal 3 3 7 4 4 2" xfId="31276" xr:uid="{00000000-0005-0000-0000-0000C35C0000}"/>
    <cellStyle name="Normal 3 3 7 4 5" xfId="13773" xr:uid="{00000000-0005-0000-0000-0000C45C0000}"/>
    <cellStyle name="Normal 3 3 7 4 5 2" xfId="31277" xr:uid="{00000000-0005-0000-0000-0000C55C0000}"/>
    <cellStyle name="Normal 3 3 7 4 6" xfId="13774" xr:uid="{00000000-0005-0000-0000-0000C65C0000}"/>
    <cellStyle name="Normal 3 3 7 4 6 2" xfId="31278" xr:uid="{00000000-0005-0000-0000-0000C75C0000}"/>
    <cellStyle name="Normal 3 3 7 4 7" xfId="13775" xr:uid="{00000000-0005-0000-0000-0000C85C0000}"/>
    <cellStyle name="Normal 3 3 7 4 7 2" xfId="31279" xr:uid="{00000000-0005-0000-0000-0000C95C0000}"/>
    <cellStyle name="Normal 3 3 7 4 8" xfId="13776" xr:uid="{00000000-0005-0000-0000-0000CA5C0000}"/>
    <cellStyle name="Normal 3 3 7 4 8 2" xfId="31280" xr:uid="{00000000-0005-0000-0000-0000CB5C0000}"/>
    <cellStyle name="Normal 3 3 7 4 9" xfId="13777" xr:uid="{00000000-0005-0000-0000-0000CC5C0000}"/>
    <cellStyle name="Normal 3 3 7 4 9 2" xfId="31281" xr:uid="{00000000-0005-0000-0000-0000CD5C0000}"/>
    <cellStyle name="Normal 3 3 7 5" xfId="13778" xr:uid="{00000000-0005-0000-0000-0000CE5C0000}"/>
    <cellStyle name="Normal 3 3 7 5 10" xfId="13779" xr:uid="{00000000-0005-0000-0000-0000CF5C0000}"/>
    <cellStyle name="Normal 3 3 7 5 10 2" xfId="31283" xr:uid="{00000000-0005-0000-0000-0000D05C0000}"/>
    <cellStyle name="Normal 3 3 7 5 11" xfId="13780" xr:uid="{00000000-0005-0000-0000-0000D15C0000}"/>
    <cellStyle name="Normal 3 3 7 5 11 2" xfId="31284" xr:uid="{00000000-0005-0000-0000-0000D25C0000}"/>
    <cellStyle name="Normal 3 3 7 5 12" xfId="13781" xr:uid="{00000000-0005-0000-0000-0000D35C0000}"/>
    <cellStyle name="Normal 3 3 7 5 12 2" xfId="31285" xr:uid="{00000000-0005-0000-0000-0000D45C0000}"/>
    <cellStyle name="Normal 3 3 7 5 13" xfId="13782" xr:uid="{00000000-0005-0000-0000-0000D55C0000}"/>
    <cellStyle name="Normal 3 3 7 5 13 2" xfId="31286" xr:uid="{00000000-0005-0000-0000-0000D65C0000}"/>
    <cellStyle name="Normal 3 3 7 5 14" xfId="13783" xr:uid="{00000000-0005-0000-0000-0000D75C0000}"/>
    <cellStyle name="Normal 3 3 7 5 14 2" xfId="31287" xr:uid="{00000000-0005-0000-0000-0000D85C0000}"/>
    <cellStyle name="Normal 3 3 7 5 15" xfId="31282" xr:uid="{00000000-0005-0000-0000-0000D95C0000}"/>
    <cellStyle name="Normal 3 3 7 5 2" xfId="13784" xr:uid="{00000000-0005-0000-0000-0000DA5C0000}"/>
    <cellStyle name="Normal 3 3 7 5 2 2" xfId="31288" xr:uid="{00000000-0005-0000-0000-0000DB5C0000}"/>
    <cellStyle name="Normal 3 3 7 5 3" xfId="13785" xr:uid="{00000000-0005-0000-0000-0000DC5C0000}"/>
    <cellStyle name="Normal 3 3 7 5 3 2" xfId="31289" xr:uid="{00000000-0005-0000-0000-0000DD5C0000}"/>
    <cellStyle name="Normal 3 3 7 5 4" xfId="13786" xr:uid="{00000000-0005-0000-0000-0000DE5C0000}"/>
    <cellStyle name="Normal 3 3 7 5 4 2" xfId="31290" xr:uid="{00000000-0005-0000-0000-0000DF5C0000}"/>
    <cellStyle name="Normal 3 3 7 5 5" xfId="13787" xr:uid="{00000000-0005-0000-0000-0000E05C0000}"/>
    <cellStyle name="Normal 3 3 7 5 5 2" xfId="31291" xr:uid="{00000000-0005-0000-0000-0000E15C0000}"/>
    <cellStyle name="Normal 3 3 7 5 6" xfId="13788" xr:uid="{00000000-0005-0000-0000-0000E25C0000}"/>
    <cellStyle name="Normal 3 3 7 5 6 2" xfId="31292" xr:uid="{00000000-0005-0000-0000-0000E35C0000}"/>
    <cellStyle name="Normal 3 3 7 5 7" xfId="13789" xr:uid="{00000000-0005-0000-0000-0000E45C0000}"/>
    <cellStyle name="Normal 3 3 7 5 7 2" xfId="31293" xr:uid="{00000000-0005-0000-0000-0000E55C0000}"/>
    <cellStyle name="Normal 3 3 7 5 8" xfId="13790" xr:uid="{00000000-0005-0000-0000-0000E65C0000}"/>
    <cellStyle name="Normal 3 3 7 5 8 2" xfId="31294" xr:uid="{00000000-0005-0000-0000-0000E75C0000}"/>
    <cellStyle name="Normal 3 3 7 5 9" xfId="13791" xr:uid="{00000000-0005-0000-0000-0000E85C0000}"/>
    <cellStyle name="Normal 3 3 7 5 9 2" xfId="31295" xr:uid="{00000000-0005-0000-0000-0000E95C0000}"/>
    <cellStyle name="Normal 3 3 7 6" xfId="13792" xr:uid="{00000000-0005-0000-0000-0000EA5C0000}"/>
    <cellStyle name="Normal 3 3 7 6 10" xfId="13793" xr:uid="{00000000-0005-0000-0000-0000EB5C0000}"/>
    <cellStyle name="Normal 3 3 7 6 10 2" xfId="31297" xr:uid="{00000000-0005-0000-0000-0000EC5C0000}"/>
    <cellStyle name="Normal 3 3 7 6 11" xfId="13794" xr:uid="{00000000-0005-0000-0000-0000ED5C0000}"/>
    <cellStyle name="Normal 3 3 7 6 11 2" xfId="31298" xr:uid="{00000000-0005-0000-0000-0000EE5C0000}"/>
    <cellStyle name="Normal 3 3 7 6 12" xfId="13795" xr:uid="{00000000-0005-0000-0000-0000EF5C0000}"/>
    <cellStyle name="Normal 3 3 7 6 12 2" xfId="31299" xr:uid="{00000000-0005-0000-0000-0000F05C0000}"/>
    <cellStyle name="Normal 3 3 7 6 13" xfId="13796" xr:uid="{00000000-0005-0000-0000-0000F15C0000}"/>
    <cellStyle name="Normal 3 3 7 6 13 2" xfId="31300" xr:uid="{00000000-0005-0000-0000-0000F25C0000}"/>
    <cellStyle name="Normal 3 3 7 6 14" xfId="13797" xr:uid="{00000000-0005-0000-0000-0000F35C0000}"/>
    <cellStyle name="Normal 3 3 7 6 14 2" xfId="31301" xr:uid="{00000000-0005-0000-0000-0000F45C0000}"/>
    <cellStyle name="Normal 3 3 7 6 15" xfId="31296" xr:uid="{00000000-0005-0000-0000-0000F55C0000}"/>
    <cellStyle name="Normal 3 3 7 6 2" xfId="13798" xr:uid="{00000000-0005-0000-0000-0000F65C0000}"/>
    <cellStyle name="Normal 3 3 7 6 2 2" xfId="31302" xr:uid="{00000000-0005-0000-0000-0000F75C0000}"/>
    <cellStyle name="Normal 3 3 7 6 3" xfId="13799" xr:uid="{00000000-0005-0000-0000-0000F85C0000}"/>
    <cellStyle name="Normal 3 3 7 6 3 2" xfId="31303" xr:uid="{00000000-0005-0000-0000-0000F95C0000}"/>
    <cellStyle name="Normal 3 3 7 6 4" xfId="13800" xr:uid="{00000000-0005-0000-0000-0000FA5C0000}"/>
    <cellStyle name="Normal 3 3 7 6 4 2" xfId="31304" xr:uid="{00000000-0005-0000-0000-0000FB5C0000}"/>
    <cellStyle name="Normal 3 3 7 6 5" xfId="13801" xr:uid="{00000000-0005-0000-0000-0000FC5C0000}"/>
    <cellStyle name="Normal 3 3 7 6 5 2" xfId="31305" xr:uid="{00000000-0005-0000-0000-0000FD5C0000}"/>
    <cellStyle name="Normal 3 3 7 6 6" xfId="13802" xr:uid="{00000000-0005-0000-0000-0000FE5C0000}"/>
    <cellStyle name="Normal 3 3 7 6 6 2" xfId="31306" xr:uid="{00000000-0005-0000-0000-0000FF5C0000}"/>
    <cellStyle name="Normal 3 3 7 6 7" xfId="13803" xr:uid="{00000000-0005-0000-0000-0000005D0000}"/>
    <cellStyle name="Normal 3 3 7 6 7 2" xfId="31307" xr:uid="{00000000-0005-0000-0000-0000015D0000}"/>
    <cellStyle name="Normal 3 3 7 6 8" xfId="13804" xr:uid="{00000000-0005-0000-0000-0000025D0000}"/>
    <cellStyle name="Normal 3 3 7 6 8 2" xfId="31308" xr:uid="{00000000-0005-0000-0000-0000035D0000}"/>
    <cellStyle name="Normal 3 3 7 6 9" xfId="13805" xr:uid="{00000000-0005-0000-0000-0000045D0000}"/>
    <cellStyle name="Normal 3 3 7 6 9 2" xfId="31309" xr:uid="{00000000-0005-0000-0000-0000055D0000}"/>
    <cellStyle name="Normal 3 3 7 7" xfId="13806" xr:uid="{00000000-0005-0000-0000-0000065D0000}"/>
    <cellStyle name="Normal 3 3 7 7 10" xfId="13807" xr:uid="{00000000-0005-0000-0000-0000075D0000}"/>
    <cellStyle name="Normal 3 3 7 7 10 2" xfId="31311" xr:uid="{00000000-0005-0000-0000-0000085D0000}"/>
    <cellStyle name="Normal 3 3 7 7 11" xfId="13808" xr:uid="{00000000-0005-0000-0000-0000095D0000}"/>
    <cellStyle name="Normal 3 3 7 7 11 2" xfId="31312" xr:uid="{00000000-0005-0000-0000-00000A5D0000}"/>
    <cellStyle name="Normal 3 3 7 7 12" xfId="13809" xr:uid="{00000000-0005-0000-0000-00000B5D0000}"/>
    <cellStyle name="Normal 3 3 7 7 12 2" xfId="31313" xr:uid="{00000000-0005-0000-0000-00000C5D0000}"/>
    <cellStyle name="Normal 3 3 7 7 13" xfId="13810" xr:uid="{00000000-0005-0000-0000-00000D5D0000}"/>
    <cellStyle name="Normal 3 3 7 7 13 2" xfId="31314" xr:uid="{00000000-0005-0000-0000-00000E5D0000}"/>
    <cellStyle name="Normal 3 3 7 7 14" xfId="13811" xr:uid="{00000000-0005-0000-0000-00000F5D0000}"/>
    <cellStyle name="Normal 3 3 7 7 14 2" xfId="31315" xr:uid="{00000000-0005-0000-0000-0000105D0000}"/>
    <cellStyle name="Normal 3 3 7 7 15" xfId="31310" xr:uid="{00000000-0005-0000-0000-0000115D0000}"/>
    <cellStyle name="Normal 3 3 7 7 2" xfId="13812" xr:uid="{00000000-0005-0000-0000-0000125D0000}"/>
    <cellStyle name="Normal 3 3 7 7 2 2" xfId="31316" xr:uid="{00000000-0005-0000-0000-0000135D0000}"/>
    <cellStyle name="Normal 3 3 7 7 3" xfId="13813" xr:uid="{00000000-0005-0000-0000-0000145D0000}"/>
    <cellStyle name="Normal 3 3 7 7 3 2" xfId="31317" xr:uid="{00000000-0005-0000-0000-0000155D0000}"/>
    <cellStyle name="Normal 3 3 7 7 4" xfId="13814" xr:uid="{00000000-0005-0000-0000-0000165D0000}"/>
    <cellStyle name="Normal 3 3 7 7 4 2" xfId="31318" xr:uid="{00000000-0005-0000-0000-0000175D0000}"/>
    <cellStyle name="Normal 3 3 7 7 5" xfId="13815" xr:uid="{00000000-0005-0000-0000-0000185D0000}"/>
    <cellStyle name="Normal 3 3 7 7 5 2" xfId="31319" xr:uid="{00000000-0005-0000-0000-0000195D0000}"/>
    <cellStyle name="Normal 3 3 7 7 6" xfId="13816" xr:uid="{00000000-0005-0000-0000-00001A5D0000}"/>
    <cellStyle name="Normal 3 3 7 7 6 2" xfId="31320" xr:uid="{00000000-0005-0000-0000-00001B5D0000}"/>
    <cellStyle name="Normal 3 3 7 7 7" xfId="13817" xr:uid="{00000000-0005-0000-0000-00001C5D0000}"/>
    <cellStyle name="Normal 3 3 7 7 7 2" xfId="31321" xr:uid="{00000000-0005-0000-0000-00001D5D0000}"/>
    <cellStyle name="Normal 3 3 7 7 8" xfId="13818" xr:uid="{00000000-0005-0000-0000-00001E5D0000}"/>
    <cellStyle name="Normal 3 3 7 7 8 2" xfId="31322" xr:uid="{00000000-0005-0000-0000-00001F5D0000}"/>
    <cellStyle name="Normal 3 3 7 7 9" xfId="13819" xr:uid="{00000000-0005-0000-0000-0000205D0000}"/>
    <cellStyle name="Normal 3 3 7 7 9 2" xfId="31323" xr:uid="{00000000-0005-0000-0000-0000215D0000}"/>
    <cellStyle name="Normal 3 3 7 8" xfId="13820" xr:uid="{00000000-0005-0000-0000-0000225D0000}"/>
    <cellStyle name="Normal 3 3 7 8 10" xfId="13821" xr:uid="{00000000-0005-0000-0000-0000235D0000}"/>
    <cellStyle name="Normal 3 3 7 8 10 2" xfId="31325" xr:uid="{00000000-0005-0000-0000-0000245D0000}"/>
    <cellStyle name="Normal 3 3 7 8 11" xfId="13822" xr:uid="{00000000-0005-0000-0000-0000255D0000}"/>
    <cellStyle name="Normal 3 3 7 8 11 2" xfId="31326" xr:uid="{00000000-0005-0000-0000-0000265D0000}"/>
    <cellStyle name="Normal 3 3 7 8 12" xfId="13823" xr:uid="{00000000-0005-0000-0000-0000275D0000}"/>
    <cellStyle name="Normal 3 3 7 8 12 2" xfId="31327" xr:uid="{00000000-0005-0000-0000-0000285D0000}"/>
    <cellStyle name="Normal 3 3 7 8 13" xfId="13824" xr:uid="{00000000-0005-0000-0000-0000295D0000}"/>
    <cellStyle name="Normal 3 3 7 8 13 2" xfId="31328" xr:uid="{00000000-0005-0000-0000-00002A5D0000}"/>
    <cellStyle name="Normal 3 3 7 8 14" xfId="13825" xr:uid="{00000000-0005-0000-0000-00002B5D0000}"/>
    <cellStyle name="Normal 3 3 7 8 14 2" xfId="31329" xr:uid="{00000000-0005-0000-0000-00002C5D0000}"/>
    <cellStyle name="Normal 3 3 7 8 15" xfId="31324" xr:uid="{00000000-0005-0000-0000-00002D5D0000}"/>
    <cellStyle name="Normal 3 3 7 8 2" xfId="13826" xr:uid="{00000000-0005-0000-0000-00002E5D0000}"/>
    <cellStyle name="Normal 3 3 7 8 2 2" xfId="31330" xr:uid="{00000000-0005-0000-0000-00002F5D0000}"/>
    <cellStyle name="Normal 3 3 7 8 3" xfId="13827" xr:uid="{00000000-0005-0000-0000-0000305D0000}"/>
    <cellStyle name="Normal 3 3 7 8 3 2" xfId="31331" xr:uid="{00000000-0005-0000-0000-0000315D0000}"/>
    <cellStyle name="Normal 3 3 7 8 4" xfId="13828" xr:uid="{00000000-0005-0000-0000-0000325D0000}"/>
    <cellStyle name="Normal 3 3 7 8 4 2" xfId="31332" xr:uid="{00000000-0005-0000-0000-0000335D0000}"/>
    <cellStyle name="Normal 3 3 7 8 5" xfId="13829" xr:uid="{00000000-0005-0000-0000-0000345D0000}"/>
    <cellStyle name="Normal 3 3 7 8 5 2" xfId="31333" xr:uid="{00000000-0005-0000-0000-0000355D0000}"/>
    <cellStyle name="Normal 3 3 7 8 6" xfId="13830" xr:uid="{00000000-0005-0000-0000-0000365D0000}"/>
    <cellStyle name="Normal 3 3 7 8 6 2" xfId="31334" xr:uid="{00000000-0005-0000-0000-0000375D0000}"/>
    <cellStyle name="Normal 3 3 7 8 7" xfId="13831" xr:uid="{00000000-0005-0000-0000-0000385D0000}"/>
    <cellStyle name="Normal 3 3 7 8 7 2" xfId="31335" xr:uid="{00000000-0005-0000-0000-0000395D0000}"/>
    <cellStyle name="Normal 3 3 7 8 8" xfId="13832" xr:uid="{00000000-0005-0000-0000-00003A5D0000}"/>
    <cellStyle name="Normal 3 3 7 8 8 2" xfId="31336" xr:uid="{00000000-0005-0000-0000-00003B5D0000}"/>
    <cellStyle name="Normal 3 3 7 8 9" xfId="13833" xr:uid="{00000000-0005-0000-0000-00003C5D0000}"/>
    <cellStyle name="Normal 3 3 7 8 9 2" xfId="31337" xr:uid="{00000000-0005-0000-0000-00003D5D0000}"/>
    <cellStyle name="Normal 3 3 7 9" xfId="13834" xr:uid="{00000000-0005-0000-0000-00003E5D0000}"/>
    <cellStyle name="Normal 3 3 7 9 10" xfId="13835" xr:uid="{00000000-0005-0000-0000-00003F5D0000}"/>
    <cellStyle name="Normal 3 3 7 9 10 2" xfId="31339" xr:uid="{00000000-0005-0000-0000-0000405D0000}"/>
    <cellStyle name="Normal 3 3 7 9 11" xfId="13836" xr:uid="{00000000-0005-0000-0000-0000415D0000}"/>
    <cellStyle name="Normal 3 3 7 9 11 2" xfId="31340" xr:uid="{00000000-0005-0000-0000-0000425D0000}"/>
    <cellStyle name="Normal 3 3 7 9 12" xfId="13837" xr:uid="{00000000-0005-0000-0000-0000435D0000}"/>
    <cellStyle name="Normal 3 3 7 9 12 2" xfId="31341" xr:uid="{00000000-0005-0000-0000-0000445D0000}"/>
    <cellStyle name="Normal 3 3 7 9 13" xfId="13838" xr:uid="{00000000-0005-0000-0000-0000455D0000}"/>
    <cellStyle name="Normal 3 3 7 9 13 2" xfId="31342" xr:uid="{00000000-0005-0000-0000-0000465D0000}"/>
    <cellStyle name="Normal 3 3 7 9 14" xfId="13839" xr:uid="{00000000-0005-0000-0000-0000475D0000}"/>
    <cellStyle name="Normal 3 3 7 9 14 2" xfId="31343" xr:uid="{00000000-0005-0000-0000-0000485D0000}"/>
    <cellStyle name="Normal 3 3 7 9 15" xfId="31338" xr:uid="{00000000-0005-0000-0000-0000495D0000}"/>
    <cellStyle name="Normal 3 3 7 9 2" xfId="13840" xr:uid="{00000000-0005-0000-0000-00004A5D0000}"/>
    <cellStyle name="Normal 3 3 7 9 2 2" xfId="31344" xr:uid="{00000000-0005-0000-0000-00004B5D0000}"/>
    <cellStyle name="Normal 3 3 7 9 3" xfId="13841" xr:uid="{00000000-0005-0000-0000-00004C5D0000}"/>
    <cellStyle name="Normal 3 3 7 9 3 2" xfId="31345" xr:uid="{00000000-0005-0000-0000-00004D5D0000}"/>
    <cellStyle name="Normal 3 3 7 9 4" xfId="13842" xr:uid="{00000000-0005-0000-0000-00004E5D0000}"/>
    <cellStyle name="Normal 3 3 7 9 4 2" xfId="31346" xr:uid="{00000000-0005-0000-0000-00004F5D0000}"/>
    <cellStyle name="Normal 3 3 7 9 5" xfId="13843" xr:uid="{00000000-0005-0000-0000-0000505D0000}"/>
    <cellStyle name="Normal 3 3 7 9 5 2" xfId="31347" xr:uid="{00000000-0005-0000-0000-0000515D0000}"/>
    <cellStyle name="Normal 3 3 7 9 6" xfId="13844" xr:uid="{00000000-0005-0000-0000-0000525D0000}"/>
    <cellStyle name="Normal 3 3 7 9 6 2" xfId="31348" xr:uid="{00000000-0005-0000-0000-0000535D0000}"/>
    <cellStyle name="Normal 3 3 7 9 7" xfId="13845" xr:uid="{00000000-0005-0000-0000-0000545D0000}"/>
    <cellStyle name="Normal 3 3 7 9 7 2" xfId="31349" xr:uid="{00000000-0005-0000-0000-0000555D0000}"/>
    <cellStyle name="Normal 3 3 7 9 8" xfId="13846" xr:uid="{00000000-0005-0000-0000-0000565D0000}"/>
    <cellStyle name="Normal 3 3 7 9 8 2" xfId="31350" xr:uid="{00000000-0005-0000-0000-0000575D0000}"/>
    <cellStyle name="Normal 3 3 7 9 9" xfId="13847" xr:uid="{00000000-0005-0000-0000-0000585D0000}"/>
    <cellStyle name="Normal 3 3 7 9 9 2" xfId="31351" xr:uid="{00000000-0005-0000-0000-0000595D0000}"/>
    <cellStyle name="Normal 3 3 8" xfId="13848" xr:uid="{00000000-0005-0000-0000-00005A5D0000}"/>
    <cellStyle name="Normal 3 3 8 10" xfId="13849" xr:uid="{00000000-0005-0000-0000-00005B5D0000}"/>
    <cellStyle name="Normal 3 3 8 10 10" xfId="13850" xr:uid="{00000000-0005-0000-0000-00005C5D0000}"/>
    <cellStyle name="Normal 3 3 8 10 10 2" xfId="31354" xr:uid="{00000000-0005-0000-0000-00005D5D0000}"/>
    <cellStyle name="Normal 3 3 8 10 11" xfId="13851" xr:uid="{00000000-0005-0000-0000-00005E5D0000}"/>
    <cellStyle name="Normal 3 3 8 10 11 2" xfId="31355" xr:uid="{00000000-0005-0000-0000-00005F5D0000}"/>
    <cellStyle name="Normal 3 3 8 10 12" xfId="13852" xr:uid="{00000000-0005-0000-0000-0000605D0000}"/>
    <cellStyle name="Normal 3 3 8 10 12 2" xfId="31356" xr:uid="{00000000-0005-0000-0000-0000615D0000}"/>
    <cellStyle name="Normal 3 3 8 10 13" xfId="13853" xr:uid="{00000000-0005-0000-0000-0000625D0000}"/>
    <cellStyle name="Normal 3 3 8 10 13 2" xfId="31357" xr:uid="{00000000-0005-0000-0000-0000635D0000}"/>
    <cellStyle name="Normal 3 3 8 10 14" xfId="13854" xr:uid="{00000000-0005-0000-0000-0000645D0000}"/>
    <cellStyle name="Normal 3 3 8 10 14 2" xfId="31358" xr:uid="{00000000-0005-0000-0000-0000655D0000}"/>
    <cellStyle name="Normal 3 3 8 10 15" xfId="31353" xr:uid="{00000000-0005-0000-0000-0000665D0000}"/>
    <cellStyle name="Normal 3 3 8 10 2" xfId="13855" xr:uid="{00000000-0005-0000-0000-0000675D0000}"/>
    <cellStyle name="Normal 3 3 8 10 2 2" xfId="31359" xr:uid="{00000000-0005-0000-0000-0000685D0000}"/>
    <cellStyle name="Normal 3 3 8 10 3" xfId="13856" xr:uid="{00000000-0005-0000-0000-0000695D0000}"/>
    <cellStyle name="Normal 3 3 8 10 3 2" xfId="31360" xr:uid="{00000000-0005-0000-0000-00006A5D0000}"/>
    <cellStyle name="Normal 3 3 8 10 4" xfId="13857" xr:uid="{00000000-0005-0000-0000-00006B5D0000}"/>
    <cellStyle name="Normal 3 3 8 10 4 2" xfId="31361" xr:uid="{00000000-0005-0000-0000-00006C5D0000}"/>
    <cellStyle name="Normal 3 3 8 10 5" xfId="13858" xr:uid="{00000000-0005-0000-0000-00006D5D0000}"/>
    <cellStyle name="Normal 3 3 8 10 5 2" xfId="31362" xr:uid="{00000000-0005-0000-0000-00006E5D0000}"/>
    <cellStyle name="Normal 3 3 8 10 6" xfId="13859" xr:uid="{00000000-0005-0000-0000-00006F5D0000}"/>
    <cellStyle name="Normal 3 3 8 10 6 2" xfId="31363" xr:uid="{00000000-0005-0000-0000-0000705D0000}"/>
    <cellStyle name="Normal 3 3 8 10 7" xfId="13860" xr:uid="{00000000-0005-0000-0000-0000715D0000}"/>
    <cellStyle name="Normal 3 3 8 10 7 2" xfId="31364" xr:uid="{00000000-0005-0000-0000-0000725D0000}"/>
    <cellStyle name="Normal 3 3 8 10 8" xfId="13861" xr:uid="{00000000-0005-0000-0000-0000735D0000}"/>
    <cellStyle name="Normal 3 3 8 10 8 2" xfId="31365" xr:uid="{00000000-0005-0000-0000-0000745D0000}"/>
    <cellStyle name="Normal 3 3 8 10 9" xfId="13862" xr:uid="{00000000-0005-0000-0000-0000755D0000}"/>
    <cellStyle name="Normal 3 3 8 10 9 2" xfId="31366" xr:uid="{00000000-0005-0000-0000-0000765D0000}"/>
    <cellStyle name="Normal 3 3 8 11" xfId="13863" xr:uid="{00000000-0005-0000-0000-0000775D0000}"/>
    <cellStyle name="Normal 3 3 8 11 2" xfId="31367" xr:uid="{00000000-0005-0000-0000-0000785D0000}"/>
    <cellStyle name="Normal 3 3 8 12" xfId="13864" xr:uid="{00000000-0005-0000-0000-0000795D0000}"/>
    <cellStyle name="Normal 3 3 8 12 2" xfId="31368" xr:uid="{00000000-0005-0000-0000-00007A5D0000}"/>
    <cellStyle name="Normal 3 3 8 13" xfId="13865" xr:uid="{00000000-0005-0000-0000-00007B5D0000}"/>
    <cellStyle name="Normal 3 3 8 13 2" xfId="31369" xr:uid="{00000000-0005-0000-0000-00007C5D0000}"/>
    <cellStyle name="Normal 3 3 8 14" xfId="13866" xr:uid="{00000000-0005-0000-0000-00007D5D0000}"/>
    <cellStyle name="Normal 3 3 8 14 2" xfId="31370" xr:uid="{00000000-0005-0000-0000-00007E5D0000}"/>
    <cellStyle name="Normal 3 3 8 15" xfId="13867" xr:uid="{00000000-0005-0000-0000-00007F5D0000}"/>
    <cellStyle name="Normal 3 3 8 15 2" xfId="31371" xr:uid="{00000000-0005-0000-0000-0000805D0000}"/>
    <cellStyle name="Normal 3 3 8 16" xfId="13868" xr:uid="{00000000-0005-0000-0000-0000815D0000}"/>
    <cellStyle name="Normal 3 3 8 16 2" xfId="31372" xr:uid="{00000000-0005-0000-0000-0000825D0000}"/>
    <cellStyle name="Normal 3 3 8 17" xfId="13869" xr:uid="{00000000-0005-0000-0000-0000835D0000}"/>
    <cellStyle name="Normal 3 3 8 17 2" xfId="31373" xr:uid="{00000000-0005-0000-0000-0000845D0000}"/>
    <cellStyle name="Normal 3 3 8 18" xfId="13870" xr:uid="{00000000-0005-0000-0000-0000855D0000}"/>
    <cellStyle name="Normal 3 3 8 18 2" xfId="31374" xr:uid="{00000000-0005-0000-0000-0000865D0000}"/>
    <cellStyle name="Normal 3 3 8 19" xfId="13871" xr:uid="{00000000-0005-0000-0000-0000875D0000}"/>
    <cellStyle name="Normal 3 3 8 19 2" xfId="31375" xr:uid="{00000000-0005-0000-0000-0000885D0000}"/>
    <cellStyle name="Normal 3 3 8 2" xfId="13872" xr:uid="{00000000-0005-0000-0000-0000895D0000}"/>
    <cellStyle name="Normal 3 3 8 2 10" xfId="13873" xr:uid="{00000000-0005-0000-0000-00008A5D0000}"/>
    <cellStyle name="Normal 3 3 8 2 10 2" xfId="31377" xr:uid="{00000000-0005-0000-0000-00008B5D0000}"/>
    <cellStyle name="Normal 3 3 8 2 11" xfId="13874" xr:uid="{00000000-0005-0000-0000-00008C5D0000}"/>
    <cellStyle name="Normal 3 3 8 2 11 2" xfId="31378" xr:uid="{00000000-0005-0000-0000-00008D5D0000}"/>
    <cellStyle name="Normal 3 3 8 2 12" xfId="13875" xr:uid="{00000000-0005-0000-0000-00008E5D0000}"/>
    <cellStyle name="Normal 3 3 8 2 12 2" xfId="31379" xr:uid="{00000000-0005-0000-0000-00008F5D0000}"/>
    <cellStyle name="Normal 3 3 8 2 13" xfId="13876" xr:uid="{00000000-0005-0000-0000-0000905D0000}"/>
    <cellStyle name="Normal 3 3 8 2 13 2" xfId="31380" xr:uid="{00000000-0005-0000-0000-0000915D0000}"/>
    <cellStyle name="Normal 3 3 8 2 14" xfId="13877" xr:uid="{00000000-0005-0000-0000-0000925D0000}"/>
    <cellStyle name="Normal 3 3 8 2 14 2" xfId="31381" xr:uid="{00000000-0005-0000-0000-0000935D0000}"/>
    <cellStyle name="Normal 3 3 8 2 15" xfId="13878" xr:uid="{00000000-0005-0000-0000-0000945D0000}"/>
    <cellStyle name="Normal 3 3 8 2 15 2" xfId="31382" xr:uid="{00000000-0005-0000-0000-0000955D0000}"/>
    <cellStyle name="Normal 3 3 8 2 16" xfId="31376" xr:uid="{00000000-0005-0000-0000-0000965D0000}"/>
    <cellStyle name="Normal 3 3 8 2 2" xfId="13879" xr:uid="{00000000-0005-0000-0000-0000975D0000}"/>
    <cellStyle name="Normal 3 3 8 2 2 10" xfId="13880" xr:uid="{00000000-0005-0000-0000-0000985D0000}"/>
    <cellStyle name="Normal 3 3 8 2 2 10 2" xfId="31384" xr:uid="{00000000-0005-0000-0000-0000995D0000}"/>
    <cellStyle name="Normal 3 3 8 2 2 11" xfId="13881" xr:uid="{00000000-0005-0000-0000-00009A5D0000}"/>
    <cellStyle name="Normal 3 3 8 2 2 11 2" xfId="31385" xr:uid="{00000000-0005-0000-0000-00009B5D0000}"/>
    <cellStyle name="Normal 3 3 8 2 2 12" xfId="13882" xr:uid="{00000000-0005-0000-0000-00009C5D0000}"/>
    <cellStyle name="Normal 3 3 8 2 2 12 2" xfId="31386" xr:uid="{00000000-0005-0000-0000-00009D5D0000}"/>
    <cellStyle name="Normal 3 3 8 2 2 13" xfId="13883" xr:uid="{00000000-0005-0000-0000-00009E5D0000}"/>
    <cellStyle name="Normal 3 3 8 2 2 13 2" xfId="31387" xr:uid="{00000000-0005-0000-0000-00009F5D0000}"/>
    <cellStyle name="Normal 3 3 8 2 2 14" xfId="13884" xr:uid="{00000000-0005-0000-0000-0000A05D0000}"/>
    <cellStyle name="Normal 3 3 8 2 2 14 2" xfId="31388" xr:uid="{00000000-0005-0000-0000-0000A15D0000}"/>
    <cellStyle name="Normal 3 3 8 2 2 15" xfId="31383" xr:uid="{00000000-0005-0000-0000-0000A25D0000}"/>
    <cellStyle name="Normal 3 3 8 2 2 2" xfId="13885" xr:uid="{00000000-0005-0000-0000-0000A35D0000}"/>
    <cellStyle name="Normal 3 3 8 2 2 2 2" xfId="31389" xr:uid="{00000000-0005-0000-0000-0000A45D0000}"/>
    <cellStyle name="Normal 3 3 8 2 2 3" xfId="13886" xr:uid="{00000000-0005-0000-0000-0000A55D0000}"/>
    <cellStyle name="Normal 3 3 8 2 2 3 2" xfId="31390" xr:uid="{00000000-0005-0000-0000-0000A65D0000}"/>
    <cellStyle name="Normal 3 3 8 2 2 4" xfId="13887" xr:uid="{00000000-0005-0000-0000-0000A75D0000}"/>
    <cellStyle name="Normal 3 3 8 2 2 4 2" xfId="31391" xr:uid="{00000000-0005-0000-0000-0000A85D0000}"/>
    <cellStyle name="Normal 3 3 8 2 2 5" xfId="13888" xr:uid="{00000000-0005-0000-0000-0000A95D0000}"/>
    <cellStyle name="Normal 3 3 8 2 2 5 2" xfId="31392" xr:uid="{00000000-0005-0000-0000-0000AA5D0000}"/>
    <cellStyle name="Normal 3 3 8 2 2 6" xfId="13889" xr:uid="{00000000-0005-0000-0000-0000AB5D0000}"/>
    <cellStyle name="Normal 3 3 8 2 2 6 2" xfId="31393" xr:uid="{00000000-0005-0000-0000-0000AC5D0000}"/>
    <cellStyle name="Normal 3 3 8 2 2 7" xfId="13890" xr:uid="{00000000-0005-0000-0000-0000AD5D0000}"/>
    <cellStyle name="Normal 3 3 8 2 2 7 2" xfId="31394" xr:uid="{00000000-0005-0000-0000-0000AE5D0000}"/>
    <cellStyle name="Normal 3 3 8 2 2 8" xfId="13891" xr:uid="{00000000-0005-0000-0000-0000AF5D0000}"/>
    <cellStyle name="Normal 3 3 8 2 2 8 2" xfId="31395" xr:uid="{00000000-0005-0000-0000-0000B05D0000}"/>
    <cellStyle name="Normal 3 3 8 2 2 9" xfId="13892" xr:uid="{00000000-0005-0000-0000-0000B15D0000}"/>
    <cellStyle name="Normal 3 3 8 2 2 9 2" xfId="31396" xr:uid="{00000000-0005-0000-0000-0000B25D0000}"/>
    <cellStyle name="Normal 3 3 8 2 3" xfId="13893" xr:uid="{00000000-0005-0000-0000-0000B35D0000}"/>
    <cellStyle name="Normal 3 3 8 2 3 2" xfId="31397" xr:uid="{00000000-0005-0000-0000-0000B45D0000}"/>
    <cellStyle name="Normal 3 3 8 2 4" xfId="13894" xr:uid="{00000000-0005-0000-0000-0000B55D0000}"/>
    <cellStyle name="Normal 3 3 8 2 4 2" xfId="31398" xr:uid="{00000000-0005-0000-0000-0000B65D0000}"/>
    <cellStyle name="Normal 3 3 8 2 5" xfId="13895" xr:uid="{00000000-0005-0000-0000-0000B75D0000}"/>
    <cellStyle name="Normal 3 3 8 2 5 2" xfId="31399" xr:uid="{00000000-0005-0000-0000-0000B85D0000}"/>
    <cellStyle name="Normal 3 3 8 2 6" xfId="13896" xr:uid="{00000000-0005-0000-0000-0000B95D0000}"/>
    <cellStyle name="Normal 3 3 8 2 6 2" xfId="31400" xr:uid="{00000000-0005-0000-0000-0000BA5D0000}"/>
    <cellStyle name="Normal 3 3 8 2 7" xfId="13897" xr:uid="{00000000-0005-0000-0000-0000BB5D0000}"/>
    <cellStyle name="Normal 3 3 8 2 7 2" xfId="31401" xr:uid="{00000000-0005-0000-0000-0000BC5D0000}"/>
    <cellStyle name="Normal 3 3 8 2 8" xfId="13898" xr:uid="{00000000-0005-0000-0000-0000BD5D0000}"/>
    <cellStyle name="Normal 3 3 8 2 8 2" xfId="31402" xr:uid="{00000000-0005-0000-0000-0000BE5D0000}"/>
    <cellStyle name="Normal 3 3 8 2 9" xfId="13899" xr:uid="{00000000-0005-0000-0000-0000BF5D0000}"/>
    <cellStyle name="Normal 3 3 8 2 9 2" xfId="31403" xr:uid="{00000000-0005-0000-0000-0000C05D0000}"/>
    <cellStyle name="Normal 3 3 8 20" xfId="13900" xr:uid="{00000000-0005-0000-0000-0000C15D0000}"/>
    <cellStyle name="Normal 3 3 8 20 2" xfId="31404" xr:uid="{00000000-0005-0000-0000-0000C25D0000}"/>
    <cellStyle name="Normal 3 3 8 21" xfId="13901" xr:uid="{00000000-0005-0000-0000-0000C35D0000}"/>
    <cellStyle name="Normal 3 3 8 21 2" xfId="31405" xr:uid="{00000000-0005-0000-0000-0000C45D0000}"/>
    <cellStyle name="Normal 3 3 8 22" xfId="13902" xr:uid="{00000000-0005-0000-0000-0000C55D0000}"/>
    <cellStyle name="Normal 3 3 8 22 2" xfId="31406" xr:uid="{00000000-0005-0000-0000-0000C65D0000}"/>
    <cellStyle name="Normal 3 3 8 23" xfId="13903" xr:uid="{00000000-0005-0000-0000-0000C75D0000}"/>
    <cellStyle name="Normal 3 3 8 23 2" xfId="31407" xr:uid="{00000000-0005-0000-0000-0000C85D0000}"/>
    <cellStyle name="Normal 3 3 8 24" xfId="31352" xr:uid="{00000000-0005-0000-0000-0000C95D0000}"/>
    <cellStyle name="Normal 3 3 8 3" xfId="13904" xr:uid="{00000000-0005-0000-0000-0000CA5D0000}"/>
    <cellStyle name="Normal 3 3 8 3 10" xfId="13905" xr:uid="{00000000-0005-0000-0000-0000CB5D0000}"/>
    <cellStyle name="Normal 3 3 8 3 10 2" xfId="31409" xr:uid="{00000000-0005-0000-0000-0000CC5D0000}"/>
    <cellStyle name="Normal 3 3 8 3 11" xfId="13906" xr:uid="{00000000-0005-0000-0000-0000CD5D0000}"/>
    <cellStyle name="Normal 3 3 8 3 11 2" xfId="31410" xr:uid="{00000000-0005-0000-0000-0000CE5D0000}"/>
    <cellStyle name="Normal 3 3 8 3 12" xfId="13907" xr:uid="{00000000-0005-0000-0000-0000CF5D0000}"/>
    <cellStyle name="Normal 3 3 8 3 12 2" xfId="31411" xr:uid="{00000000-0005-0000-0000-0000D05D0000}"/>
    <cellStyle name="Normal 3 3 8 3 13" xfId="13908" xr:uid="{00000000-0005-0000-0000-0000D15D0000}"/>
    <cellStyle name="Normal 3 3 8 3 13 2" xfId="31412" xr:uid="{00000000-0005-0000-0000-0000D25D0000}"/>
    <cellStyle name="Normal 3 3 8 3 14" xfId="13909" xr:uid="{00000000-0005-0000-0000-0000D35D0000}"/>
    <cellStyle name="Normal 3 3 8 3 14 2" xfId="31413" xr:uid="{00000000-0005-0000-0000-0000D45D0000}"/>
    <cellStyle name="Normal 3 3 8 3 15" xfId="13910" xr:uid="{00000000-0005-0000-0000-0000D55D0000}"/>
    <cellStyle name="Normal 3 3 8 3 15 2" xfId="31414" xr:uid="{00000000-0005-0000-0000-0000D65D0000}"/>
    <cellStyle name="Normal 3 3 8 3 16" xfId="31408" xr:uid="{00000000-0005-0000-0000-0000D75D0000}"/>
    <cellStyle name="Normal 3 3 8 3 2" xfId="13911" xr:uid="{00000000-0005-0000-0000-0000D85D0000}"/>
    <cellStyle name="Normal 3 3 8 3 2 10" xfId="13912" xr:uid="{00000000-0005-0000-0000-0000D95D0000}"/>
    <cellStyle name="Normal 3 3 8 3 2 10 2" xfId="31416" xr:uid="{00000000-0005-0000-0000-0000DA5D0000}"/>
    <cellStyle name="Normal 3 3 8 3 2 11" xfId="13913" xr:uid="{00000000-0005-0000-0000-0000DB5D0000}"/>
    <cellStyle name="Normal 3 3 8 3 2 11 2" xfId="31417" xr:uid="{00000000-0005-0000-0000-0000DC5D0000}"/>
    <cellStyle name="Normal 3 3 8 3 2 12" xfId="13914" xr:uid="{00000000-0005-0000-0000-0000DD5D0000}"/>
    <cellStyle name="Normal 3 3 8 3 2 12 2" xfId="31418" xr:uid="{00000000-0005-0000-0000-0000DE5D0000}"/>
    <cellStyle name="Normal 3 3 8 3 2 13" xfId="13915" xr:uid="{00000000-0005-0000-0000-0000DF5D0000}"/>
    <cellStyle name="Normal 3 3 8 3 2 13 2" xfId="31419" xr:uid="{00000000-0005-0000-0000-0000E05D0000}"/>
    <cellStyle name="Normal 3 3 8 3 2 14" xfId="13916" xr:uid="{00000000-0005-0000-0000-0000E15D0000}"/>
    <cellStyle name="Normal 3 3 8 3 2 14 2" xfId="31420" xr:uid="{00000000-0005-0000-0000-0000E25D0000}"/>
    <cellStyle name="Normal 3 3 8 3 2 15" xfId="31415" xr:uid="{00000000-0005-0000-0000-0000E35D0000}"/>
    <cellStyle name="Normal 3 3 8 3 2 2" xfId="13917" xr:uid="{00000000-0005-0000-0000-0000E45D0000}"/>
    <cellStyle name="Normal 3 3 8 3 2 2 2" xfId="31421" xr:uid="{00000000-0005-0000-0000-0000E55D0000}"/>
    <cellStyle name="Normal 3 3 8 3 2 3" xfId="13918" xr:uid="{00000000-0005-0000-0000-0000E65D0000}"/>
    <cellStyle name="Normal 3 3 8 3 2 3 2" xfId="31422" xr:uid="{00000000-0005-0000-0000-0000E75D0000}"/>
    <cellStyle name="Normal 3 3 8 3 2 4" xfId="13919" xr:uid="{00000000-0005-0000-0000-0000E85D0000}"/>
    <cellStyle name="Normal 3 3 8 3 2 4 2" xfId="31423" xr:uid="{00000000-0005-0000-0000-0000E95D0000}"/>
    <cellStyle name="Normal 3 3 8 3 2 5" xfId="13920" xr:uid="{00000000-0005-0000-0000-0000EA5D0000}"/>
    <cellStyle name="Normal 3 3 8 3 2 5 2" xfId="31424" xr:uid="{00000000-0005-0000-0000-0000EB5D0000}"/>
    <cellStyle name="Normal 3 3 8 3 2 6" xfId="13921" xr:uid="{00000000-0005-0000-0000-0000EC5D0000}"/>
    <cellStyle name="Normal 3 3 8 3 2 6 2" xfId="31425" xr:uid="{00000000-0005-0000-0000-0000ED5D0000}"/>
    <cellStyle name="Normal 3 3 8 3 2 7" xfId="13922" xr:uid="{00000000-0005-0000-0000-0000EE5D0000}"/>
    <cellStyle name="Normal 3 3 8 3 2 7 2" xfId="31426" xr:uid="{00000000-0005-0000-0000-0000EF5D0000}"/>
    <cellStyle name="Normal 3 3 8 3 2 8" xfId="13923" xr:uid="{00000000-0005-0000-0000-0000F05D0000}"/>
    <cellStyle name="Normal 3 3 8 3 2 8 2" xfId="31427" xr:uid="{00000000-0005-0000-0000-0000F15D0000}"/>
    <cellStyle name="Normal 3 3 8 3 2 9" xfId="13924" xr:uid="{00000000-0005-0000-0000-0000F25D0000}"/>
    <cellStyle name="Normal 3 3 8 3 2 9 2" xfId="31428" xr:uid="{00000000-0005-0000-0000-0000F35D0000}"/>
    <cellStyle name="Normal 3 3 8 3 3" xfId="13925" xr:uid="{00000000-0005-0000-0000-0000F45D0000}"/>
    <cellStyle name="Normal 3 3 8 3 3 2" xfId="31429" xr:uid="{00000000-0005-0000-0000-0000F55D0000}"/>
    <cellStyle name="Normal 3 3 8 3 4" xfId="13926" xr:uid="{00000000-0005-0000-0000-0000F65D0000}"/>
    <cellStyle name="Normal 3 3 8 3 4 2" xfId="31430" xr:uid="{00000000-0005-0000-0000-0000F75D0000}"/>
    <cellStyle name="Normal 3 3 8 3 5" xfId="13927" xr:uid="{00000000-0005-0000-0000-0000F85D0000}"/>
    <cellStyle name="Normal 3 3 8 3 5 2" xfId="31431" xr:uid="{00000000-0005-0000-0000-0000F95D0000}"/>
    <cellStyle name="Normal 3 3 8 3 6" xfId="13928" xr:uid="{00000000-0005-0000-0000-0000FA5D0000}"/>
    <cellStyle name="Normal 3 3 8 3 6 2" xfId="31432" xr:uid="{00000000-0005-0000-0000-0000FB5D0000}"/>
    <cellStyle name="Normal 3 3 8 3 7" xfId="13929" xr:uid="{00000000-0005-0000-0000-0000FC5D0000}"/>
    <cellStyle name="Normal 3 3 8 3 7 2" xfId="31433" xr:uid="{00000000-0005-0000-0000-0000FD5D0000}"/>
    <cellStyle name="Normal 3 3 8 3 8" xfId="13930" xr:uid="{00000000-0005-0000-0000-0000FE5D0000}"/>
    <cellStyle name="Normal 3 3 8 3 8 2" xfId="31434" xr:uid="{00000000-0005-0000-0000-0000FF5D0000}"/>
    <cellStyle name="Normal 3 3 8 3 9" xfId="13931" xr:uid="{00000000-0005-0000-0000-0000005E0000}"/>
    <cellStyle name="Normal 3 3 8 3 9 2" xfId="31435" xr:uid="{00000000-0005-0000-0000-0000015E0000}"/>
    <cellStyle name="Normal 3 3 8 4" xfId="13932" xr:uid="{00000000-0005-0000-0000-0000025E0000}"/>
    <cellStyle name="Normal 3 3 8 4 10" xfId="13933" xr:uid="{00000000-0005-0000-0000-0000035E0000}"/>
    <cellStyle name="Normal 3 3 8 4 10 2" xfId="31437" xr:uid="{00000000-0005-0000-0000-0000045E0000}"/>
    <cellStyle name="Normal 3 3 8 4 11" xfId="13934" xr:uid="{00000000-0005-0000-0000-0000055E0000}"/>
    <cellStyle name="Normal 3 3 8 4 11 2" xfId="31438" xr:uid="{00000000-0005-0000-0000-0000065E0000}"/>
    <cellStyle name="Normal 3 3 8 4 12" xfId="13935" xr:uid="{00000000-0005-0000-0000-0000075E0000}"/>
    <cellStyle name="Normal 3 3 8 4 12 2" xfId="31439" xr:uid="{00000000-0005-0000-0000-0000085E0000}"/>
    <cellStyle name="Normal 3 3 8 4 13" xfId="13936" xr:uid="{00000000-0005-0000-0000-0000095E0000}"/>
    <cellStyle name="Normal 3 3 8 4 13 2" xfId="31440" xr:uid="{00000000-0005-0000-0000-00000A5E0000}"/>
    <cellStyle name="Normal 3 3 8 4 14" xfId="13937" xr:uid="{00000000-0005-0000-0000-00000B5E0000}"/>
    <cellStyle name="Normal 3 3 8 4 14 2" xfId="31441" xr:uid="{00000000-0005-0000-0000-00000C5E0000}"/>
    <cellStyle name="Normal 3 3 8 4 15" xfId="13938" xr:uid="{00000000-0005-0000-0000-00000D5E0000}"/>
    <cellStyle name="Normal 3 3 8 4 15 2" xfId="31442" xr:uid="{00000000-0005-0000-0000-00000E5E0000}"/>
    <cellStyle name="Normal 3 3 8 4 16" xfId="31436" xr:uid="{00000000-0005-0000-0000-00000F5E0000}"/>
    <cellStyle name="Normal 3 3 8 4 2" xfId="13939" xr:uid="{00000000-0005-0000-0000-0000105E0000}"/>
    <cellStyle name="Normal 3 3 8 4 2 10" xfId="13940" xr:uid="{00000000-0005-0000-0000-0000115E0000}"/>
    <cellStyle name="Normal 3 3 8 4 2 10 2" xfId="31444" xr:uid="{00000000-0005-0000-0000-0000125E0000}"/>
    <cellStyle name="Normal 3 3 8 4 2 11" xfId="13941" xr:uid="{00000000-0005-0000-0000-0000135E0000}"/>
    <cellStyle name="Normal 3 3 8 4 2 11 2" xfId="31445" xr:uid="{00000000-0005-0000-0000-0000145E0000}"/>
    <cellStyle name="Normal 3 3 8 4 2 12" xfId="13942" xr:uid="{00000000-0005-0000-0000-0000155E0000}"/>
    <cellStyle name="Normal 3 3 8 4 2 12 2" xfId="31446" xr:uid="{00000000-0005-0000-0000-0000165E0000}"/>
    <cellStyle name="Normal 3 3 8 4 2 13" xfId="13943" xr:uid="{00000000-0005-0000-0000-0000175E0000}"/>
    <cellStyle name="Normal 3 3 8 4 2 13 2" xfId="31447" xr:uid="{00000000-0005-0000-0000-0000185E0000}"/>
    <cellStyle name="Normal 3 3 8 4 2 14" xfId="13944" xr:uid="{00000000-0005-0000-0000-0000195E0000}"/>
    <cellStyle name="Normal 3 3 8 4 2 14 2" xfId="31448" xr:uid="{00000000-0005-0000-0000-00001A5E0000}"/>
    <cellStyle name="Normal 3 3 8 4 2 15" xfId="31443" xr:uid="{00000000-0005-0000-0000-00001B5E0000}"/>
    <cellStyle name="Normal 3 3 8 4 2 2" xfId="13945" xr:uid="{00000000-0005-0000-0000-00001C5E0000}"/>
    <cellStyle name="Normal 3 3 8 4 2 2 2" xfId="31449" xr:uid="{00000000-0005-0000-0000-00001D5E0000}"/>
    <cellStyle name="Normal 3 3 8 4 2 3" xfId="13946" xr:uid="{00000000-0005-0000-0000-00001E5E0000}"/>
    <cellStyle name="Normal 3 3 8 4 2 3 2" xfId="31450" xr:uid="{00000000-0005-0000-0000-00001F5E0000}"/>
    <cellStyle name="Normal 3 3 8 4 2 4" xfId="13947" xr:uid="{00000000-0005-0000-0000-0000205E0000}"/>
    <cellStyle name="Normal 3 3 8 4 2 4 2" xfId="31451" xr:uid="{00000000-0005-0000-0000-0000215E0000}"/>
    <cellStyle name="Normal 3 3 8 4 2 5" xfId="13948" xr:uid="{00000000-0005-0000-0000-0000225E0000}"/>
    <cellStyle name="Normal 3 3 8 4 2 5 2" xfId="31452" xr:uid="{00000000-0005-0000-0000-0000235E0000}"/>
    <cellStyle name="Normal 3 3 8 4 2 6" xfId="13949" xr:uid="{00000000-0005-0000-0000-0000245E0000}"/>
    <cellStyle name="Normal 3 3 8 4 2 6 2" xfId="31453" xr:uid="{00000000-0005-0000-0000-0000255E0000}"/>
    <cellStyle name="Normal 3 3 8 4 2 7" xfId="13950" xr:uid="{00000000-0005-0000-0000-0000265E0000}"/>
    <cellStyle name="Normal 3 3 8 4 2 7 2" xfId="31454" xr:uid="{00000000-0005-0000-0000-0000275E0000}"/>
    <cellStyle name="Normal 3 3 8 4 2 8" xfId="13951" xr:uid="{00000000-0005-0000-0000-0000285E0000}"/>
    <cellStyle name="Normal 3 3 8 4 2 8 2" xfId="31455" xr:uid="{00000000-0005-0000-0000-0000295E0000}"/>
    <cellStyle name="Normal 3 3 8 4 2 9" xfId="13952" xr:uid="{00000000-0005-0000-0000-00002A5E0000}"/>
    <cellStyle name="Normal 3 3 8 4 2 9 2" xfId="31456" xr:uid="{00000000-0005-0000-0000-00002B5E0000}"/>
    <cellStyle name="Normal 3 3 8 4 3" xfId="13953" xr:uid="{00000000-0005-0000-0000-00002C5E0000}"/>
    <cellStyle name="Normal 3 3 8 4 3 2" xfId="31457" xr:uid="{00000000-0005-0000-0000-00002D5E0000}"/>
    <cellStyle name="Normal 3 3 8 4 4" xfId="13954" xr:uid="{00000000-0005-0000-0000-00002E5E0000}"/>
    <cellStyle name="Normal 3 3 8 4 4 2" xfId="31458" xr:uid="{00000000-0005-0000-0000-00002F5E0000}"/>
    <cellStyle name="Normal 3 3 8 4 5" xfId="13955" xr:uid="{00000000-0005-0000-0000-0000305E0000}"/>
    <cellStyle name="Normal 3 3 8 4 5 2" xfId="31459" xr:uid="{00000000-0005-0000-0000-0000315E0000}"/>
    <cellStyle name="Normal 3 3 8 4 6" xfId="13956" xr:uid="{00000000-0005-0000-0000-0000325E0000}"/>
    <cellStyle name="Normal 3 3 8 4 6 2" xfId="31460" xr:uid="{00000000-0005-0000-0000-0000335E0000}"/>
    <cellStyle name="Normal 3 3 8 4 7" xfId="13957" xr:uid="{00000000-0005-0000-0000-0000345E0000}"/>
    <cellStyle name="Normal 3 3 8 4 7 2" xfId="31461" xr:uid="{00000000-0005-0000-0000-0000355E0000}"/>
    <cellStyle name="Normal 3 3 8 4 8" xfId="13958" xr:uid="{00000000-0005-0000-0000-0000365E0000}"/>
    <cellStyle name="Normal 3 3 8 4 8 2" xfId="31462" xr:uid="{00000000-0005-0000-0000-0000375E0000}"/>
    <cellStyle name="Normal 3 3 8 4 9" xfId="13959" xr:uid="{00000000-0005-0000-0000-0000385E0000}"/>
    <cellStyle name="Normal 3 3 8 4 9 2" xfId="31463" xr:uid="{00000000-0005-0000-0000-0000395E0000}"/>
    <cellStyle name="Normal 3 3 8 5" xfId="13960" xr:uid="{00000000-0005-0000-0000-00003A5E0000}"/>
    <cellStyle name="Normal 3 3 8 5 10" xfId="13961" xr:uid="{00000000-0005-0000-0000-00003B5E0000}"/>
    <cellStyle name="Normal 3 3 8 5 10 2" xfId="31465" xr:uid="{00000000-0005-0000-0000-00003C5E0000}"/>
    <cellStyle name="Normal 3 3 8 5 11" xfId="13962" xr:uid="{00000000-0005-0000-0000-00003D5E0000}"/>
    <cellStyle name="Normal 3 3 8 5 11 2" xfId="31466" xr:uid="{00000000-0005-0000-0000-00003E5E0000}"/>
    <cellStyle name="Normal 3 3 8 5 12" xfId="13963" xr:uid="{00000000-0005-0000-0000-00003F5E0000}"/>
    <cellStyle name="Normal 3 3 8 5 12 2" xfId="31467" xr:uid="{00000000-0005-0000-0000-0000405E0000}"/>
    <cellStyle name="Normal 3 3 8 5 13" xfId="13964" xr:uid="{00000000-0005-0000-0000-0000415E0000}"/>
    <cellStyle name="Normal 3 3 8 5 13 2" xfId="31468" xr:uid="{00000000-0005-0000-0000-0000425E0000}"/>
    <cellStyle name="Normal 3 3 8 5 14" xfId="13965" xr:uid="{00000000-0005-0000-0000-0000435E0000}"/>
    <cellStyle name="Normal 3 3 8 5 14 2" xfId="31469" xr:uid="{00000000-0005-0000-0000-0000445E0000}"/>
    <cellStyle name="Normal 3 3 8 5 15" xfId="31464" xr:uid="{00000000-0005-0000-0000-0000455E0000}"/>
    <cellStyle name="Normal 3 3 8 5 2" xfId="13966" xr:uid="{00000000-0005-0000-0000-0000465E0000}"/>
    <cellStyle name="Normal 3 3 8 5 2 2" xfId="31470" xr:uid="{00000000-0005-0000-0000-0000475E0000}"/>
    <cellStyle name="Normal 3 3 8 5 3" xfId="13967" xr:uid="{00000000-0005-0000-0000-0000485E0000}"/>
    <cellStyle name="Normal 3 3 8 5 3 2" xfId="31471" xr:uid="{00000000-0005-0000-0000-0000495E0000}"/>
    <cellStyle name="Normal 3 3 8 5 4" xfId="13968" xr:uid="{00000000-0005-0000-0000-00004A5E0000}"/>
    <cellStyle name="Normal 3 3 8 5 4 2" xfId="31472" xr:uid="{00000000-0005-0000-0000-00004B5E0000}"/>
    <cellStyle name="Normal 3 3 8 5 5" xfId="13969" xr:uid="{00000000-0005-0000-0000-00004C5E0000}"/>
    <cellStyle name="Normal 3 3 8 5 5 2" xfId="31473" xr:uid="{00000000-0005-0000-0000-00004D5E0000}"/>
    <cellStyle name="Normal 3 3 8 5 6" xfId="13970" xr:uid="{00000000-0005-0000-0000-00004E5E0000}"/>
    <cellStyle name="Normal 3 3 8 5 6 2" xfId="31474" xr:uid="{00000000-0005-0000-0000-00004F5E0000}"/>
    <cellStyle name="Normal 3 3 8 5 7" xfId="13971" xr:uid="{00000000-0005-0000-0000-0000505E0000}"/>
    <cellStyle name="Normal 3 3 8 5 7 2" xfId="31475" xr:uid="{00000000-0005-0000-0000-0000515E0000}"/>
    <cellStyle name="Normal 3 3 8 5 8" xfId="13972" xr:uid="{00000000-0005-0000-0000-0000525E0000}"/>
    <cellStyle name="Normal 3 3 8 5 8 2" xfId="31476" xr:uid="{00000000-0005-0000-0000-0000535E0000}"/>
    <cellStyle name="Normal 3 3 8 5 9" xfId="13973" xr:uid="{00000000-0005-0000-0000-0000545E0000}"/>
    <cellStyle name="Normal 3 3 8 5 9 2" xfId="31477" xr:uid="{00000000-0005-0000-0000-0000555E0000}"/>
    <cellStyle name="Normal 3 3 8 6" xfId="13974" xr:uid="{00000000-0005-0000-0000-0000565E0000}"/>
    <cellStyle name="Normal 3 3 8 6 10" xfId="13975" xr:uid="{00000000-0005-0000-0000-0000575E0000}"/>
    <cellStyle name="Normal 3 3 8 6 10 2" xfId="31479" xr:uid="{00000000-0005-0000-0000-0000585E0000}"/>
    <cellStyle name="Normal 3 3 8 6 11" xfId="13976" xr:uid="{00000000-0005-0000-0000-0000595E0000}"/>
    <cellStyle name="Normal 3 3 8 6 11 2" xfId="31480" xr:uid="{00000000-0005-0000-0000-00005A5E0000}"/>
    <cellStyle name="Normal 3 3 8 6 12" xfId="13977" xr:uid="{00000000-0005-0000-0000-00005B5E0000}"/>
    <cellStyle name="Normal 3 3 8 6 12 2" xfId="31481" xr:uid="{00000000-0005-0000-0000-00005C5E0000}"/>
    <cellStyle name="Normal 3 3 8 6 13" xfId="13978" xr:uid="{00000000-0005-0000-0000-00005D5E0000}"/>
    <cellStyle name="Normal 3 3 8 6 13 2" xfId="31482" xr:uid="{00000000-0005-0000-0000-00005E5E0000}"/>
    <cellStyle name="Normal 3 3 8 6 14" xfId="13979" xr:uid="{00000000-0005-0000-0000-00005F5E0000}"/>
    <cellStyle name="Normal 3 3 8 6 14 2" xfId="31483" xr:uid="{00000000-0005-0000-0000-0000605E0000}"/>
    <cellStyle name="Normal 3 3 8 6 15" xfId="31478" xr:uid="{00000000-0005-0000-0000-0000615E0000}"/>
    <cellStyle name="Normal 3 3 8 6 2" xfId="13980" xr:uid="{00000000-0005-0000-0000-0000625E0000}"/>
    <cellStyle name="Normal 3 3 8 6 2 2" xfId="31484" xr:uid="{00000000-0005-0000-0000-0000635E0000}"/>
    <cellStyle name="Normal 3 3 8 6 3" xfId="13981" xr:uid="{00000000-0005-0000-0000-0000645E0000}"/>
    <cellStyle name="Normal 3 3 8 6 3 2" xfId="31485" xr:uid="{00000000-0005-0000-0000-0000655E0000}"/>
    <cellStyle name="Normal 3 3 8 6 4" xfId="13982" xr:uid="{00000000-0005-0000-0000-0000665E0000}"/>
    <cellStyle name="Normal 3 3 8 6 4 2" xfId="31486" xr:uid="{00000000-0005-0000-0000-0000675E0000}"/>
    <cellStyle name="Normal 3 3 8 6 5" xfId="13983" xr:uid="{00000000-0005-0000-0000-0000685E0000}"/>
    <cellStyle name="Normal 3 3 8 6 5 2" xfId="31487" xr:uid="{00000000-0005-0000-0000-0000695E0000}"/>
    <cellStyle name="Normal 3 3 8 6 6" xfId="13984" xr:uid="{00000000-0005-0000-0000-00006A5E0000}"/>
    <cellStyle name="Normal 3 3 8 6 6 2" xfId="31488" xr:uid="{00000000-0005-0000-0000-00006B5E0000}"/>
    <cellStyle name="Normal 3 3 8 6 7" xfId="13985" xr:uid="{00000000-0005-0000-0000-00006C5E0000}"/>
    <cellStyle name="Normal 3 3 8 6 7 2" xfId="31489" xr:uid="{00000000-0005-0000-0000-00006D5E0000}"/>
    <cellStyle name="Normal 3 3 8 6 8" xfId="13986" xr:uid="{00000000-0005-0000-0000-00006E5E0000}"/>
    <cellStyle name="Normal 3 3 8 6 8 2" xfId="31490" xr:uid="{00000000-0005-0000-0000-00006F5E0000}"/>
    <cellStyle name="Normal 3 3 8 6 9" xfId="13987" xr:uid="{00000000-0005-0000-0000-0000705E0000}"/>
    <cellStyle name="Normal 3 3 8 6 9 2" xfId="31491" xr:uid="{00000000-0005-0000-0000-0000715E0000}"/>
    <cellStyle name="Normal 3 3 8 7" xfId="13988" xr:uid="{00000000-0005-0000-0000-0000725E0000}"/>
    <cellStyle name="Normal 3 3 8 7 10" xfId="13989" xr:uid="{00000000-0005-0000-0000-0000735E0000}"/>
    <cellStyle name="Normal 3 3 8 7 10 2" xfId="31493" xr:uid="{00000000-0005-0000-0000-0000745E0000}"/>
    <cellStyle name="Normal 3 3 8 7 11" xfId="13990" xr:uid="{00000000-0005-0000-0000-0000755E0000}"/>
    <cellStyle name="Normal 3 3 8 7 11 2" xfId="31494" xr:uid="{00000000-0005-0000-0000-0000765E0000}"/>
    <cellStyle name="Normal 3 3 8 7 12" xfId="13991" xr:uid="{00000000-0005-0000-0000-0000775E0000}"/>
    <cellStyle name="Normal 3 3 8 7 12 2" xfId="31495" xr:uid="{00000000-0005-0000-0000-0000785E0000}"/>
    <cellStyle name="Normal 3 3 8 7 13" xfId="13992" xr:uid="{00000000-0005-0000-0000-0000795E0000}"/>
    <cellStyle name="Normal 3 3 8 7 13 2" xfId="31496" xr:uid="{00000000-0005-0000-0000-00007A5E0000}"/>
    <cellStyle name="Normal 3 3 8 7 14" xfId="13993" xr:uid="{00000000-0005-0000-0000-00007B5E0000}"/>
    <cellStyle name="Normal 3 3 8 7 14 2" xfId="31497" xr:uid="{00000000-0005-0000-0000-00007C5E0000}"/>
    <cellStyle name="Normal 3 3 8 7 15" xfId="31492" xr:uid="{00000000-0005-0000-0000-00007D5E0000}"/>
    <cellStyle name="Normal 3 3 8 7 2" xfId="13994" xr:uid="{00000000-0005-0000-0000-00007E5E0000}"/>
    <cellStyle name="Normal 3 3 8 7 2 2" xfId="31498" xr:uid="{00000000-0005-0000-0000-00007F5E0000}"/>
    <cellStyle name="Normal 3 3 8 7 3" xfId="13995" xr:uid="{00000000-0005-0000-0000-0000805E0000}"/>
    <cellStyle name="Normal 3 3 8 7 3 2" xfId="31499" xr:uid="{00000000-0005-0000-0000-0000815E0000}"/>
    <cellStyle name="Normal 3 3 8 7 4" xfId="13996" xr:uid="{00000000-0005-0000-0000-0000825E0000}"/>
    <cellStyle name="Normal 3 3 8 7 4 2" xfId="31500" xr:uid="{00000000-0005-0000-0000-0000835E0000}"/>
    <cellStyle name="Normal 3 3 8 7 5" xfId="13997" xr:uid="{00000000-0005-0000-0000-0000845E0000}"/>
    <cellStyle name="Normal 3 3 8 7 5 2" xfId="31501" xr:uid="{00000000-0005-0000-0000-0000855E0000}"/>
    <cellStyle name="Normal 3 3 8 7 6" xfId="13998" xr:uid="{00000000-0005-0000-0000-0000865E0000}"/>
    <cellStyle name="Normal 3 3 8 7 6 2" xfId="31502" xr:uid="{00000000-0005-0000-0000-0000875E0000}"/>
    <cellStyle name="Normal 3 3 8 7 7" xfId="13999" xr:uid="{00000000-0005-0000-0000-0000885E0000}"/>
    <cellStyle name="Normal 3 3 8 7 7 2" xfId="31503" xr:uid="{00000000-0005-0000-0000-0000895E0000}"/>
    <cellStyle name="Normal 3 3 8 7 8" xfId="14000" xr:uid="{00000000-0005-0000-0000-00008A5E0000}"/>
    <cellStyle name="Normal 3 3 8 7 8 2" xfId="31504" xr:uid="{00000000-0005-0000-0000-00008B5E0000}"/>
    <cellStyle name="Normal 3 3 8 7 9" xfId="14001" xr:uid="{00000000-0005-0000-0000-00008C5E0000}"/>
    <cellStyle name="Normal 3 3 8 7 9 2" xfId="31505" xr:uid="{00000000-0005-0000-0000-00008D5E0000}"/>
    <cellStyle name="Normal 3 3 8 8" xfId="14002" xr:uid="{00000000-0005-0000-0000-00008E5E0000}"/>
    <cellStyle name="Normal 3 3 8 8 10" xfId="14003" xr:uid="{00000000-0005-0000-0000-00008F5E0000}"/>
    <cellStyle name="Normal 3 3 8 8 10 2" xfId="31507" xr:uid="{00000000-0005-0000-0000-0000905E0000}"/>
    <cellStyle name="Normal 3 3 8 8 11" xfId="14004" xr:uid="{00000000-0005-0000-0000-0000915E0000}"/>
    <cellStyle name="Normal 3 3 8 8 11 2" xfId="31508" xr:uid="{00000000-0005-0000-0000-0000925E0000}"/>
    <cellStyle name="Normal 3 3 8 8 12" xfId="14005" xr:uid="{00000000-0005-0000-0000-0000935E0000}"/>
    <cellStyle name="Normal 3 3 8 8 12 2" xfId="31509" xr:uid="{00000000-0005-0000-0000-0000945E0000}"/>
    <cellStyle name="Normal 3 3 8 8 13" xfId="14006" xr:uid="{00000000-0005-0000-0000-0000955E0000}"/>
    <cellStyle name="Normal 3 3 8 8 13 2" xfId="31510" xr:uid="{00000000-0005-0000-0000-0000965E0000}"/>
    <cellStyle name="Normal 3 3 8 8 14" xfId="14007" xr:uid="{00000000-0005-0000-0000-0000975E0000}"/>
    <cellStyle name="Normal 3 3 8 8 14 2" xfId="31511" xr:uid="{00000000-0005-0000-0000-0000985E0000}"/>
    <cellStyle name="Normal 3 3 8 8 15" xfId="31506" xr:uid="{00000000-0005-0000-0000-0000995E0000}"/>
    <cellStyle name="Normal 3 3 8 8 2" xfId="14008" xr:uid="{00000000-0005-0000-0000-00009A5E0000}"/>
    <cellStyle name="Normal 3 3 8 8 2 2" xfId="31512" xr:uid="{00000000-0005-0000-0000-00009B5E0000}"/>
    <cellStyle name="Normal 3 3 8 8 3" xfId="14009" xr:uid="{00000000-0005-0000-0000-00009C5E0000}"/>
    <cellStyle name="Normal 3 3 8 8 3 2" xfId="31513" xr:uid="{00000000-0005-0000-0000-00009D5E0000}"/>
    <cellStyle name="Normal 3 3 8 8 4" xfId="14010" xr:uid="{00000000-0005-0000-0000-00009E5E0000}"/>
    <cellStyle name="Normal 3 3 8 8 4 2" xfId="31514" xr:uid="{00000000-0005-0000-0000-00009F5E0000}"/>
    <cellStyle name="Normal 3 3 8 8 5" xfId="14011" xr:uid="{00000000-0005-0000-0000-0000A05E0000}"/>
    <cellStyle name="Normal 3 3 8 8 5 2" xfId="31515" xr:uid="{00000000-0005-0000-0000-0000A15E0000}"/>
    <cellStyle name="Normal 3 3 8 8 6" xfId="14012" xr:uid="{00000000-0005-0000-0000-0000A25E0000}"/>
    <cellStyle name="Normal 3 3 8 8 6 2" xfId="31516" xr:uid="{00000000-0005-0000-0000-0000A35E0000}"/>
    <cellStyle name="Normal 3 3 8 8 7" xfId="14013" xr:uid="{00000000-0005-0000-0000-0000A45E0000}"/>
    <cellStyle name="Normal 3 3 8 8 7 2" xfId="31517" xr:uid="{00000000-0005-0000-0000-0000A55E0000}"/>
    <cellStyle name="Normal 3 3 8 8 8" xfId="14014" xr:uid="{00000000-0005-0000-0000-0000A65E0000}"/>
    <cellStyle name="Normal 3 3 8 8 8 2" xfId="31518" xr:uid="{00000000-0005-0000-0000-0000A75E0000}"/>
    <cellStyle name="Normal 3 3 8 8 9" xfId="14015" xr:uid="{00000000-0005-0000-0000-0000A85E0000}"/>
    <cellStyle name="Normal 3 3 8 8 9 2" xfId="31519" xr:uid="{00000000-0005-0000-0000-0000A95E0000}"/>
    <cellStyle name="Normal 3 3 8 9" xfId="14016" xr:uid="{00000000-0005-0000-0000-0000AA5E0000}"/>
    <cellStyle name="Normal 3 3 8 9 10" xfId="14017" xr:uid="{00000000-0005-0000-0000-0000AB5E0000}"/>
    <cellStyle name="Normal 3 3 8 9 10 2" xfId="31521" xr:uid="{00000000-0005-0000-0000-0000AC5E0000}"/>
    <cellStyle name="Normal 3 3 8 9 11" xfId="14018" xr:uid="{00000000-0005-0000-0000-0000AD5E0000}"/>
    <cellStyle name="Normal 3 3 8 9 11 2" xfId="31522" xr:uid="{00000000-0005-0000-0000-0000AE5E0000}"/>
    <cellStyle name="Normal 3 3 8 9 12" xfId="14019" xr:uid="{00000000-0005-0000-0000-0000AF5E0000}"/>
    <cellStyle name="Normal 3 3 8 9 12 2" xfId="31523" xr:uid="{00000000-0005-0000-0000-0000B05E0000}"/>
    <cellStyle name="Normal 3 3 8 9 13" xfId="14020" xr:uid="{00000000-0005-0000-0000-0000B15E0000}"/>
    <cellStyle name="Normal 3 3 8 9 13 2" xfId="31524" xr:uid="{00000000-0005-0000-0000-0000B25E0000}"/>
    <cellStyle name="Normal 3 3 8 9 14" xfId="14021" xr:uid="{00000000-0005-0000-0000-0000B35E0000}"/>
    <cellStyle name="Normal 3 3 8 9 14 2" xfId="31525" xr:uid="{00000000-0005-0000-0000-0000B45E0000}"/>
    <cellStyle name="Normal 3 3 8 9 15" xfId="31520" xr:uid="{00000000-0005-0000-0000-0000B55E0000}"/>
    <cellStyle name="Normal 3 3 8 9 2" xfId="14022" xr:uid="{00000000-0005-0000-0000-0000B65E0000}"/>
    <cellStyle name="Normal 3 3 8 9 2 2" xfId="31526" xr:uid="{00000000-0005-0000-0000-0000B75E0000}"/>
    <cellStyle name="Normal 3 3 8 9 3" xfId="14023" xr:uid="{00000000-0005-0000-0000-0000B85E0000}"/>
    <cellStyle name="Normal 3 3 8 9 3 2" xfId="31527" xr:uid="{00000000-0005-0000-0000-0000B95E0000}"/>
    <cellStyle name="Normal 3 3 8 9 4" xfId="14024" xr:uid="{00000000-0005-0000-0000-0000BA5E0000}"/>
    <cellStyle name="Normal 3 3 8 9 4 2" xfId="31528" xr:uid="{00000000-0005-0000-0000-0000BB5E0000}"/>
    <cellStyle name="Normal 3 3 8 9 5" xfId="14025" xr:uid="{00000000-0005-0000-0000-0000BC5E0000}"/>
    <cellStyle name="Normal 3 3 8 9 5 2" xfId="31529" xr:uid="{00000000-0005-0000-0000-0000BD5E0000}"/>
    <cellStyle name="Normal 3 3 8 9 6" xfId="14026" xr:uid="{00000000-0005-0000-0000-0000BE5E0000}"/>
    <cellStyle name="Normal 3 3 8 9 6 2" xfId="31530" xr:uid="{00000000-0005-0000-0000-0000BF5E0000}"/>
    <cellStyle name="Normal 3 3 8 9 7" xfId="14027" xr:uid="{00000000-0005-0000-0000-0000C05E0000}"/>
    <cellStyle name="Normal 3 3 8 9 7 2" xfId="31531" xr:uid="{00000000-0005-0000-0000-0000C15E0000}"/>
    <cellStyle name="Normal 3 3 8 9 8" xfId="14028" xr:uid="{00000000-0005-0000-0000-0000C25E0000}"/>
    <cellStyle name="Normal 3 3 8 9 8 2" xfId="31532" xr:uid="{00000000-0005-0000-0000-0000C35E0000}"/>
    <cellStyle name="Normal 3 3 8 9 9" xfId="14029" xr:uid="{00000000-0005-0000-0000-0000C45E0000}"/>
    <cellStyle name="Normal 3 3 8 9 9 2" xfId="31533" xr:uid="{00000000-0005-0000-0000-0000C55E0000}"/>
    <cellStyle name="Normal 3 3 9" xfId="14030" xr:uid="{00000000-0005-0000-0000-0000C65E0000}"/>
    <cellStyle name="Normal 3 3 9 10" xfId="14031" xr:uid="{00000000-0005-0000-0000-0000C75E0000}"/>
    <cellStyle name="Normal 3 3 9 10 10" xfId="14032" xr:uid="{00000000-0005-0000-0000-0000C85E0000}"/>
    <cellStyle name="Normal 3 3 9 10 10 2" xfId="31536" xr:uid="{00000000-0005-0000-0000-0000C95E0000}"/>
    <cellStyle name="Normal 3 3 9 10 11" xfId="14033" xr:uid="{00000000-0005-0000-0000-0000CA5E0000}"/>
    <cellStyle name="Normal 3 3 9 10 11 2" xfId="31537" xr:uid="{00000000-0005-0000-0000-0000CB5E0000}"/>
    <cellStyle name="Normal 3 3 9 10 12" xfId="14034" xr:uid="{00000000-0005-0000-0000-0000CC5E0000}"/>
    <cellStyle name="Normal 3 3 9 10 12 2" xfId="31538" xr:uid="{00000000-0005-0000-0000-0000CD5E0000}"/>
    <cellStyle name="Normal 3 3 9 10 13" xfId="14035" xr:uid="{00000000-0005-0000-0000-0000CE5E0000}"/>
    <cellStyle name="Normal 3 3 9 10 13 2" xfId="31539" xr:uid="{00000000-0005-0000-0000-0000CF5E0000}"/>
    <cellStyle name="Normal 3 3 9 10 14" xfId="14036" xr:uid="{00000000-0005-0000-0000-0000D05E0000}"/>
    <cellStyle name="Normal 3 3 9 10 14 2" xfId="31540" xr:uid="{00000000-0005-0000-0000-0000D15E0000}"/>
    <cellStyle name="Normal 3 3 9 10 15" xfId="31535" xr:uid="{00000000-0005-0000-0000-0000D25E0000}"/>
    <cellStyle name="Normal 3 3 9 10 2" xfId="14037" xr:uid="{00000000-0005-0000-0000-0000D35E0000}"/>
    <cellStyle name="Normal 3 3 9 10 2 2" xfId="31541" xr:uid="{00000000-0005-0000-0000-0000D45E0000}"/>
    <cellStyle name="Normal 3 3 9 10 3" xfId="14038" xr:uid="{00000000-0005-0000-0000-0000D55E0000}"/>
    <cellStyle name="Normal 3 3 9 10 3 2" xfId="31542" xr:uid="{00000000-0005-0000-0000-0000D65E0000}"/>
    <cellStyle name="Normal 3 3 9 10 4" xfId="14039" xr:uid="{00000000-0005-0000-0000-0000D75E0000}"/>
    <cellStyle name="Normal 3 3 9 10 4 2" xfId="31543" xr:uid="{00000000-0005-0000-0000-0000D85E0000}"/>
    <cellStyle name="Normal 3 3 9 10 5" xfId="14040" xr:uid="{00000000-0005-0000-0000-0000D95E0000}"/>
    <cellStyle name="Normal 3 3 9 10 5 2" xfId="31544" xr:uid="{00000000-0005-0000-0000-0000DA5E0000}"/>
    <cellStyle name="Normal 3 3 9 10 6" xfId="14041" xr:uid="{00000000-0005-0000-0000-0000DB5E0000}"/>
    <cellStyle name="Normal 3 3 9 10 6 2" xfId="31545" xr:uid="{00000000-0005-0000-0000-0000DC5E0000}"/>
    <cellStyle name="Normal 3 3 9 10 7" xfId="14042" xr:uid="{00000000-0005-0000-0000-0000DD5E0000}"/>
    <cellStyle name="Normal 3 3 9 10 7 2" xfId="31546" xr:uid="{00000000-0005-0000-0000-0000DE5E0000}"/>
    <cellStyle name="Normal 3 3 9 10 8" xfId="14043" xr:uid="{00000000-0005-0000-0000-0000DF5E0000}"/>
    <cellStyle name="Normal 3 3 9 10 8 2" xfId="31547" xr:uid="{00000000-0005-0000-0000-0000E05E0000}"/>
    <cellStyle name="Normal 3 3 9 10 9" xfId="14044" xr:uid="{00000000-0005-0000-0000-0000E15E0000}"/>
    <cellStyle name="Normal 3 3 9 10 9 2" xfId="31548" xr:uid="{00000000-0005-0000-0000-0000E25E0000}"/>
    <cellStyle name="Normal 3 3 9 11" xfId="14045" xr:uid="{00000000-0005-0000-0000-0000E35E0000}"/>
    <cellStyle name="Normal 3 3 9 11 2" xfId="31549" xr:uid="{00000000-0005-0000-0000-0000E45E0000}"/>
    <cellStyle name="Normal 3 3 9 12" xfId="14046" xr:uid="{00000000-0005-0000-0000-0000E55E0000}"/>
    <cellStyle name="Normal 3 3 9 12 2" xfId="31550" xr:uid="{00000000-0005-0000-0000-0000E65E0000}"/>
    <cellStyle name="Normal 3 3 9 13" xfId="14047" xr:uid="{00000000-0005-0000-0000-0000E75E0000}"/>
    <cellStyle name="Normal 3 3 9 13 2" xfId="31551" xr:uid="{00000000-0005-0000-0000-0000E85E0000}"/>
    <cellStyle name="Normal 3 3 9 14" xfId="14048" xr:uid="{00000000-0005-0000-0000-0000E95E0000}"/>
    <cellStyle name="Normal 3 3 9 14 2" xfId="31552" xr:uid="{00000000-0005-0000-0000-0000EA5E0000}"/>
    <cellStyle name="Normal 3 3 9 15" xfId="14049" xr:uid="{00000000-0005-0000-0000-0000EB5E0000}"/>
    <cellStyle name="Normal 3 3 9 15 2" xfId="31553" xr:uid="{00000000-0005-0000-0000-0000EC5E0000}"/>
    <cellStyle name="Normal 3 3 9 16" xfId="14050" xr:uid="{00000000-0005-0000-0000-0000ED5E0000}"/>
    <cellStyle name="Normal 3 3 9 16 2" xfId="31554" xr:uid="{00000000-0005-0000-0000-0000EE5E0000}"/>
    <cellStyle name="Normal 3 3 9 17" xfId="14051" xr:uid="{00000000-0005-0000-0000-0000EF5E0000}"/>
    <cellStyle name="Normal 3 3 9 17 2" xfId="31555" xr:uid="{00000000-0005-0000-0000-0000F05E0000}"/>
    <cellStyle name="Normal 3 3 9 18" xfId="14052" xr:uid="{00000000-0005-0000-0000-0000F15E0000}"/>
    <cellStyle name="Normal 3 3 9 18 2" xfId="31556" xr:uid="{00000000-0005-0000-0000-0000F25E0000}"/>
    <cellStyle name="Normal 3 3 9 19" xfId="14053" xr:uid="{00000000-0005-0000-0000-0000F35E0000}"/>
    <cellStyle name="Normal 3 3 9 19 2" xfId="31557" xr:uid="{00000000-0005-0000-0000-0000F45E0000}"/>
    <cellStyle name="Normal 3 3 9 2" xfId="14054" xr:uid="{00000000-0005-0000-0000-0000F55E0000}"/>
    <cellStyle name="Normal 3 3 9 2 10" xfId="14055" xr:uid="{00000000-0005-0000-0000-0000F65E0000}"/>
    <cellStyle name="Normal 3 3 9 2 10 2" xfId="31559" xr:uid="{00000000-0005-0000-0000-0000F75E0000}"/>
    <cellStyle name="Normal 3 3 9 2 11" xfId="14056" xr:uid="{00000000-0005-0000-0000-0000F85E0000}"/>
    <cellStyle name="Normal 3 3 9 2 11 2" xfId="31560" xr:uid="{00000000-0005-0000-0000-0000F95E0000}"/>
    <cellStyle name="Normal 3 3 9 2 12" xfId="14057" xr:uid="{00000000-0005-0000-0000-0000FA5E0000}"/>
    <cellStyle name="Normal 3 3 9 2 12 2" xfId="31561" xr:uid="{00000000-0005-0000-0000-0000FB5E0000}"/>
    <cellStyle name="Normal 3 3 9 2 13" xfId="14058" xr:uid="{00000000-0005-0000-0000-0000FC5E0000}"/>
    <cellStyle name="Normal 3 3 9 2 13 2" xfId="31562" xr:uid="{00000000-0005-0000-0000-0000FD5E0000}"/>
    <cellStyle name="Normal 3 3 9 2 14" xfId="14059" xr:uid="{00000000-0005-0000-0000-0000FE5E0000}"/>
    <cellStyle name="Normal 3 3 9 2 14 2" xfId="31563" xr:uid="{00000000-0005-0000-0000-0000FF5E0000}"/>
    <cellStyle name="Normal 3 3 9 2 15" xfId="14060" xr:uid="{00000000-0005-0000-0000-0000005F0000}"/>
    <cellStyle name="Normal 3 3 9 2 15 2" xfId="31564" xr:uid="{00000000-0005-0000-0000-0000015F0000}"/>
    <cellStyle name="Normal 3 3 9 2 16" xfId="31558" xr:uid="{00000000-0005-0000-0000-0000025F0000}"/>
    <cellStyle name="Normal 3 3 9 2 2" xfId="14061" xr:uid="{00000000-0005-0000-0000-0000035F0000}"/>
    <cellStyle name="Normal 3 3 9 2 2 10" xfId="14062" xr:uid="{00000000-0005-0000-0000-0000045F0000}"/>
    <cellStyle name="Normal 3 3 9 2 2 10 2" xfId="31566" xr:uid="{00000000-0005-0000-0000-0000055F0000}"/>
    <cellStyle name="Normal 3 3 9 2 2 11" xfId="14063" xr:uid="{00000000-0005-0000-0000-0000065F0000}"/>
    <cellStyle name="Normal 3 3 9 2 2 11 2" xfId="31567" xr:uid="{00000000-0005-0000-0000-0000075F0000}"/>
    <cellStyle name="Normal 3 3 9 2 2 12" xfId="14064" xr:uid="{00000000-0005-0000-0000-0000085F0000}"/>
    <cellStyle name="Normal 3 3 9 2 2 12 2" xfId="31568" xr:uid="{00000000-0005-0000-0000-0000095F0000}"/>
    <cellStyle name="Normal 3 3 9 2 2 13" xfId="14065" xr:uid="{00000000-0005-0000-0000-00000A5F0000}"/>
    <cellStyle name="Normal 3 3 9 2 2 13 2" xfId="31569" xr:uid="{00000000-0005-0000-0000-00000B5F0000}"/>
    <cellStyle name="Normal 3 3 9 2 2 14" xfId="14066" xr:uid="{00000000-0005-0000-0000-00000C5F0000}"/>
    <cellStyle name="Normal 3 3 9 2 2 14 2" xfId="31570" xr:uid="{00000000-0005-0000-0000-00000D5F0000}"/>
    <cellStyle name="Normal 3 3 9 2 2 15" xfId="31565" xr:uid="{00000000-0005-0000-0000-00000E5F0000}"/>
    <cellStyle name="Normal 3 3 9 2 2 2" xfId="14067" xr:uid="{00000000-0005-0000-0000-00000F5F0000}"/>
    <cellStyle name="Normal 3 3 9 2 2 2 2" xfId="31571" xr:uid="{00000000-0005-0000-0000-0000105F0000}"/>
    <cellStyle name="Normal 3 3 9 2 2 3" xfId="14068" xr:uid="{00000000-0005-0000-0000-0000115F0000}"/>
    <cellStyle name="Normal 3 3 9 2 2 3 2" xfId="31572" xr:uid="{00000000-0005-0000-0000-0000125F0000}"/>
    <cellStyle name="Normal 3 3 9 2 2 4" xfId="14069" xr:uid="{00000000-0005-0000-0000-0000135F0000}"/>
    <cellStyle name="Normal 3 3 9 2 2 4 2" xfId="31573" xr:uid="{00000000-0005-0000-0000-0000145F0000}"/>
    <cellStyle name="Normal 3 3 9 2 2 5" xfId="14070" xr:uid="{00000000-0005-0000-0000-0000155F0000}"/>
    <cellStyle name="Normal 3 3 9 2 2 5 2" xfId="31574" xr:uid="{00000000-0005-0000-0000-0000165F0000}"/>
    <cellStyle name="Normal 3 3 9 2 2 6" xfId="14071" xr:uid="{00000000-0005-0000-0000-0000175F0000}"/>
    <cellStyle name="Normal 3 3 9 2 2 6 2" xfId="31575" xr:uid="{00000000-0005-0000-0000-0000185F0000}"/>
    <cellStyle name="Normal 3 3 9 2 2 7" xfId="14072" xr:uid="{00000000-0005-0000-0000-0000195F0000}"/>
    <cellStyle name="Normal 3 3 9 2 2 7 2" xfId="31576" xr:uid="{00000000-0005-0000-0000-00001A5F0000}"/>
    <cellStyle name="Normal 3 3 9 2 2 8" xfId="14073" xr:uid="{00000000-0005-0000-0000-00001B5F0000}"/>
    <cellStyle name="Normal 3 3 9 2 2 8 2" xfId="31577" xr:uid="{00000000-0005-0000-0000-00001C5F0000}"/>
    <cellStyle name="Normal 3 3 9 2 2 9" xfId="14074" xr:uid="{00000000-0005-0000-0000-00001D5F0000}"/>
    <cellStyle name="Normal 3 3 9 2 2 9 2" xfId="31578" xr:uid="{00000000-0005-0000-0000-00001E5F0000}"/>
    <cellStyle name="Normal 3 3 9 2 3" xfId="14075" xr:uid="{00000000-0005-0000-0000-00001F5F0000}"/>
    <cellStyle name="Normal 3 3 9 2 3 2" xfId="31579" xr:uid="{00000000-0005-0000-0000-0000205F0000}"/>
    <cellStyle name="Normal 3 3 9 2 4" xfId="14076" xr:uid="{00000000-0005-0000-0000-0000215F0000}"/>
    <cellStyle name="Normal 3 3 9 2 4 2" xfId="31580" xr:uid="{00000000-0005-0000-0000-0000225F0000}"/>
    <cellStyle name="Normal 3 3 9 2 5" xfId="14077" xr:uid="{00000000-0005-0000-0000-0000235F0000}"/>
    <cellStyle name="Normal 3 3 9 2 5 2" xfId="31581" xr:uid="{00000000-0005-0000-0000-0000245F0000}"/>
    <cellStyle name="Normal 3 3 9 2 6" xfId="14078" xr:uid="{00000000-0005-0000-0000-0000255F0000}"/>
    <cellStyle name="Normal 3 3 9 2 6 2" xfId="31582" xr:uid="{00000000-0005-0000-0000-0000265F0000}"/>
    <cellStyle name="Normal 3 3 9 2 7" xfId="14079" xr:uid="{00000000-0005-0000-0000-0000275F0000}"/>
    <cellStyle name="Normal 3 3 9 2 7 2" xfId="31583" xr:uid="{00000000-0005-0000-0000-0000285F0000}"/>
    <cellStyle name="Normal 3 3 9 2 8" xfId="14080" xr:uid="{00000000-0005-0000-0000-0000295F0000}"/>
    <cellStyle name="Normal 3 3 9 2 8 2" xfId="31584" xr:uid="{00000000-0005-0000-0000-00002A5F0000}"/>
    <cellStyle name="Normal 3 3 9 2 9" xfId="14081" xr:uid="{00000000-0005-0000-0000-00002B5F0000}"/>
    <cellStyle name="Normal 3 3 9 2 9 2" xfId="31585" xr:uid="{00000000-0005-0000-0000-00002C5F0000}"/>
    <cellStyle name="Normal 3 3 9 20" xfId="14082" xr:uid="{00000000-0005-0000-0000-00002D5F0000}"/>
    <cellStyle name="Normal 3 3 9 20 2" xfId="31586" xr:uid="{00000000-0005-0000-0000-00002E5F0000}"/>
    <cellStyle name="Normal 3 3 9 21" xfId="14083" xr:uid="{00000000-0005-0000-0000-00002F5F0000}"/>
    <cellStyle name="Normal 3 3 9 21 2" xfId="31587" xr:uid="{00000000-0005-0000-0000-0000305F0000}"/>
    <cellStyle name="Normal 3 3 9 22" xfId="14084" xr:uid="{00000000-0005-0000-0000-0000315F0000}"/>
    <cellStyle name="Normal 3 3 9 22 2" xfId="31588" xr:uid="{00000000-0005-0000-0000-0000325F0000}"/>
    <cellStyle name="Normal 3 3 9 23" xfId="14085" xr:uid="{00000000-0005-0000-0000-0000335F0000}"/>
    <cellStyle name="Normal 3 3 9 23 2" xfId="31589" xr:uid="{00000000-0005-0000-0000-0000345F0000}"/>
    <cellStyle name="Normal 3 3 9 24" xfId="31534" xr:uid="{00000000-0005-0000-0000-0000355F0000}"/>
    <cellStyle name="Normal 3 3 9 3" xfId="14086" xr:uid="{00000000-0005-0000-0000-0000365F0000}"/>
    <cellStyle name="Normal 3 3 9 3 10" xfId="14087" xr:uid="{00000000-0005-0000-0000-0000375F0000}"/>
    <cellStyle name="Normal 3 3 9 3 10 2" xfId="31591" xr:uid="{00000000-0005-0000-0000-0000385F0000}"/>
    <cellStyle name="Normal 3 3 9 3 11" xfId="14088" xr:uid="{00000000-0005-0000-0000-0000395F0000}"/>
    <cellStyle name="Normal 3 3 9 3 11 2" xfId="31592" xr:uid="{00000000-0005-0000-0000-00003A5F0000}"/>
    <cellStyle name="Normal 3 3 9 3 12" xfId="14089" xr:uid="{00000000-0005-0000-0000-00003B5F0000}"/>
    <cellStyle name="Normal 3 3 9 3 12 2" xfId="31593" xr:uid="{00000000-0005-0000-0000-00003C5F0000}"/>
    <cellStyle name="Normal 3 3 9 3 13" xfId="14090" xr:uid="{00000000-0005-0000-0000-00003D5F0000}"/>
    <cellStyle name="Normal 3 3 9 3 13 2" xfId="31594" xr:uid="{00000000-0005-0000-0000-00003E5F0000}"/>
    <cellStyle name="Normal 3 3 9 3 14" xfId="14091" xr:uid="{00000000-0005-0000-0000-00003F5F0000}"/>
    <cellStyle name="Normal 3 3 9 3 14 2" xfId="31595" xr:uid="{00000000-0005-0000-0000-0000405F0000}"/>
    <cellStyle name="Normal 3 3 9 3 15" xfId="14092" xr:uid="{00000000-0005-0000-0000-0000415F0000}"/>
    <cellStyle name="Normal 3 3 9 3 15 2" xfId="31596" xr:uid="{00000000-0005-0000-0000-0000425F0000}"/>
    <cellStyle name="Normal 3 3 9 3 16" xfId="31590" xr:uid="{00000000-0005-0000-0000-0000435F0000}"/>
    <cellStyle name="Normal 3 3 9 3 2" xfId="14093" xr:uid="{00000000-0005-0000-0000-0000445F0000}"/>
    <cellStyle name="Normal 3 3 9 3 2 10" xfId="14094" xr:uid="{00000000-0005-0000-0000-0000455F0000}"/>
    <cellStyle name="Normal 3 3 9 3 2 10 2" xfId="31598" xr:uid="{00000000-0005-0000-0000-0000465F0000}"/>
    <cellStyle name="Normal 3 3 9 3 2 11" xfId="14095" xr:uid="{00000000-0005-0000-0000-0000475F0000}"/>
    <cellStyle name="Normal 3 3 9 3 2 11 2" xfId="31599" xr:uid="{00000000-0005-0000-0000-0000485F0000}"/>
    <cellStyle name="Normal 3 3 9 3 2 12" xfId="14096" xr:uid="{00000000-0005-0000-0000-0000495F0000}"/>
    <cellStyle name="Normal 3 3 9 3 2 12 2" xfId="31600" xr:uid="{00000000-0005-0000-0000-00004A5F0000}"/>
    <cellStyle name="Normal 3 3 9 3 2 13" xfId="14097" xr:uid="{00000000-0005-0000-0000-00004B5F0000}"/>
    <cellStyle name="Normal 3 3 9 3 2 13 2" xfId="31601" xr:uid="{00000000-0005-0000-0000-00004C5F0000}"/>
    <cellStyle name="Normal 3 3 9 3 2 14" xfId="14098" xr:uid="{00000000-0005-0000-0000-00004D5F0000}"/>
    <cellStyle name="Normal 3 3 9 3 2 14 2" xfId="31602" xr:uid="{00000000-0005-0000-0000-00004E5F0000}"/>
    <cellStyle name="Normal 3 3 9 3 2 15" xfId="31597" xr:uid="{00000000-0005-0000-0000-00004F5F0000}"/>
    <cellStyle name="Normal 3 3 9 3 2 2" xfId="14099" xr:uid="{00000000-0005-0000-0000-0000505F0000}"/>
    <cellStyle name="Normal 3 3 9 3 2 2 2" xfId="31603" xr:uid="{00000000-0005-0000-0000-0000515F0000}"/>
    <cellStyle name="Normal 3 3 9 3 2 3" xfId="14100" xr:uid="{00000000-0005-0000-0000-0000525F0000}"/>
    <cellStyle name="Normal 3 3 9 3 2 3 2" xfId="31604" xr:uid="{00000000-0005-0000-0000-0000535F0000}"/>
    <cellStyle name="Normal 3 3 9 3 2 4" xfId="14101" xr:uid="{00000000-0005-0000-0000-0000545F0000}"/>
    <cellStyle name="Normal 3 3 9 3 2 4 2" xfId="31605" xr:uid="{00000000-0005-0000-0000-0000555F0000}"/>
    <cellStyle name="Normal 3 3 9 3 2 5" xfId="14102" xr:uid="{00000000-0005-0000-0000-0000565F0000}"/>
    <cellStyle name="Normal 3 3 9 3 2 5 2" xfId="31606" xr:uid="{00000000-0005-0000-0000-0000575F0000}"/>
    <cellStyle name="Normal 3 3 9 3 2 6" xfId="14103" xr:uid="{00000000-0005-0000-0000-0000585F0000}"/>
    <cellStyle name="Normal 3 3 9 3 2 6 2" xfId="31607" xr:uid="{00000000-0005-0000-0000-0000595F0000}"/>
    <cellStyle name="Normal 3 3 9 3 2 7" xfId="14104" xr:uid="{00000000-0005-0000-0000-00005A5F0000}"/>
    <cellStyle name="Normal 3 3 9 3 2 7 2" xfId="31608" xr:uid="{00000000-0005-0000-0000-00005B5F0000}"/>
    <cellStyle name="Normal 3 3 9 3 2 8" xfId="14105" xr:uid="{00000000-0005-0000-0000-00005C5F0000}"/>
    <cellStyle name="Normal 3 3 9 3 2 8 2" xfId="31609" xr:uid="{00000000-0005-0000-0000-00005D5F0000}"/>
    <cellStyle name="Normal 3 3 9 3 2 9" xfId="14106" xr:uid="{00000000-0005-0000-0000-00005E5F0000}"/>
    <cellStyle name="Normal 3 3 9 3 2 9 2" xfId="31610" xr:uid="{00000000-0005-0000-0000-00005F5F0000}"/>
    <cellStyle name="Normal 3 3 9 3 3" xfId="14107" xr:uid="{00000000-0005-0000-0000-0000605F0000}"/>
    <cellStyle name="Normal 3 3 9 3 3 2" xfId="31611" xr:uid="{00000000-0005-0000-0000-0000615F0000}"/>
    <cellStyle name="Normal 3 3 9 3 4" xfId="14108" xr:uid="{00000000-0005-0000-0000-0000625F0000}"/>
    <cellStyle name="Normal 3 3 9 3 4 2" xfId="31612" xr:uid="{00000000-0005-0000-0000-0000635F0000}"/>
    <cellStyle name="Normal 3 3 9 3 5" xfId="14109" xr:uid="{00000000-0005-0000-0000-0000645F0000}"/>
    <cellStyle name="Normal 3 3 9 3 5 2" xfId="31613" xr:uid="{00000000-0005-0000-0000-0000655F0000}"/>
    <cellStyle name="Normal 3 3 9 3 6" xfId="14110" xr:uid="{00000000-0005-0000-0000-0000665F0000}"/>
    <cellStyle name="Normal 3 3 9 3 6 2" xfId="31614" xr:uid="{00000000-0005-0000-0000-0000675F0000}"/>
    <cellStyle name="Normal 3 3 9 3 7" xfId="14111" xr:uid="{00000000-0005-0000-0000-0000685F0000}"/>
    <cellStyle name="Normal 3 3 9 3 7 2" xfId="31615" xr:uid="{00000000-0005-0000-0000-0000695F0000}"/>
    <cellStyle name="Normal 3 3 9 3 8" xfId="14112" xr:uid="{00000000-0005-0000-0000-00006A5F0000}"/>
    <cellStyle name="Normal 3 3 9 3 8 2" xfId="31616" xr:uid="{00000000-0005-0000-0000-00006B5F0000}"/>
    <cellStyle name="Normal 3 3 9 3 9" xfId="14113" xr:uid="{00000000-0005-0000-0000-00006C5F0000}"/>
    <cellStyle name="Normal 3 3 9 3 9 2" xfId="31617" xr:uid="{00000000-0005-0000-0000-00006D5F0000}"/>
    <cellStyle name="Normal 3 3 9 4" xfId="14114" xr:uid="{00000000-0005-0000-0000-00006E5F0000}"/>
    <cellStyle name="Normal 3 3 9 4 10" xfId="14115" xr:uid="{00000000-0005-0000-0000-00006F5F0000}"/>
    <cellStyle name="Normal 3 3 9 4 10 2" xfId="31619" xr:uid="{00000000-0005-0000-0000-0000705F0000}"/>
    <cellStyle name="Normal 3 3 9 4 11" xfId="14116" xr:uid="{00000000-0005-0000-0000-0000715F0000}"/>
    <cellStyle name="Normal 3 3 9 4 11 2" xfId="31620" xr:uid="{00000000-0005-0000-0000-0000725F0000}"/>
    <cellStyle name="Normal 3 3 9 4 12" xfId="14117" xr:uid="{00000000-0005-0000-0000-0000735F0000}"/>
    <cellStyle name="Normal 3 3 9 4 12 2" xfId="31621" xr:uid="{00000000-0005-0000-0000-0000745F0000}"/>
    <cellStyle name="Normal 3 3 9 4 13" xfId="14118" xr:uid="{00000000-0005-0000-0000-0000755F0000}"/>
    <cellStyle name="Normal 3 3 9 4 13 2" xfId="31622" xr:uid="{00000000-0005-0000-0000-0000765F0000}"/>
    <cellStyle name="Normal 3 3 9 4 14" xfId="14119" xr:uid="{00000000-0005-0000-0000-0000775F0000}"/>
    <cellStyle name="Normal 3 3 9 4 14 2" xfId="31623" xr:uid="{00000000-0005-0000-0000-0000785F0000}"/>
    <cellStyle name="Normal 3 3 9 4 15" xfId="14120" xr:uid="{00000000-0005-0000-0000-0000795F0000}"/>
    <cellStyle name="Normal 3 3 9 4 15 2" xfId="31624" xr:uid="{00000000-0005-0000-0000-00007A5F0000}"/>
    <cellStyle name="Normal 3 3 9 4 16" xfId="31618" xr:uid="{00000000-0005-0000-0000-00007B5F0000}"/>
    <cellStyle name="Normal 3 3 9 4 2" xfId="14121" xr:uid="{00000000-0005-0000-0000-00007C5F0000}"/>
    <cellStyle name="Normal 3 3 9 4 2 10" xfId="14122" xr:uid="{00000000-0005-0000-0000-00007D5F0000}"/>
    <cellStyle name="Normal 3 3 9 4 2 10 2" xfId="31626" xr:uid="{00000000-0005-0000-0000-00007E5F0000}"/>
    <cellStyle name="Normal 3 3 9 4 2 11" xfId="14123" xr:uid="{00000000-0005-0000-0000-00007F5F0000}"/>
    <cellStyle name="Normal 3 3 9 4 2 11 2" xfId="31627" xr:uid="{00000000-0005-0000-0000-0000805F0000}"/>
    <cellStyle name="Normal 3 3 9 4 2 12" xfId="14124" xr:uid="{00000000-0005-0000-0000-0000815F0000}"/>
    <cellStyle name="Normal 3 3 9 4 2 12 2" xfId="31628" xr:uid="{00000000-0005-0000-0000-0000825F0000}"/>
    <cellStyle name="Normal 3 3 9 4 2 13" xfId="14125" xr:uid="{00000000-0005-0000-0000-0000835F0000}"/>
    <cellStyle name="Normal 3 3 9 4 2 13 2" xfId="31629" xr:uid="{00000000-0005-0000-0000-0000845F0000}"/>
    <cellStyle name="Normal 3 3 9 4 2 14" xfId="14126" xr:uid="{00000000-0005-0000-0000-0000855F0000}"/>
    <cellStyle name="Normal 3 3 9 4 2 14 2" xfId="31630" xr:uid="{00000000-0005-0000-0000-0000865F0000}"/>
    <cellStyle name="Normal 3 3 9 4 2 15" xfId="31625" xr:uid="{00000000-0005-0000-0000-0000875F0000}"/>
    <cellStyle name="Normal 3 3 9 4 2 2" xfId="14127" xr:uid="{00000000-0005-0000-0000-0000885F0000}"/>
    <cellStyle name="Normal 3 3 9 4 2 2 2" xfId="31631" xr:uid="{00000000-0005-0000-0000-0000895F0000}"/>
    <cellStyle name="Normal 3 3 9 4 2 3" xfId="14128" xr:uid="{00000000-0005-0000-0000-00008A5F0000}"/>
    <cellStyle name="Normal 3 3 9 4 2 3 2" xfId="31632" xr:uid="{00000000-0005-0000-0000-00008B5F0000}"/>
    <cellStyle name="Normal 3 3 9 4 2 4" xfId="14129" xr:uid="{00000000-0005-0000-0000-00008C5F0000}"/>
    <cellStyle name="Normal 3 3 9 4 2 4 2" xfId="31633" xr:uid="{00000000-0005-0000-0000-00008D5F0000}"/>
    <cellStyle name="Normal 3 3 9 4 2 5" xfId="14130" xr:uid="{00000000-0005-0000-0000-00008E5F0000}"/>
    <cellStyle name="Normal 3 3 9 4 2 5 2" xfId="31634" xr:uid="{00000000-0005-0000-0000-00008F5F0000}"/>
    <cellStyle name="Normal 3 3 9 4 2 6" xfId="14131" xr:uid="{00000000-0005-0000-0000-0000905F0000}"/>
    <cellStyle name="Normal 3 3 9 4 2 6 2" xfId="31635" xr:uid="{00000000-0005-0000-0000-0000915F0000}"/>
    <cellStyle name="Normal 3 3 9 4 2 7" xfId="14132" xr:uid="{00000000-0005-0000-0000-0000925F0000}"/>
    <cellStyle name="Normal 3 3 9 4 2 7 2" xfId="31636" xr:uid="{00000000-0005-0000-0000-0000935F0000}"/>
    <cellStyle name="Normal 3 3 9 4 2 8" xfId="14133" xr:uid="{00000000-0005-0000-0000-0000945F0000}"/>
    <cellStyle name="Normal 3 3 9 4 2 8 2" xfId="31637" xr:uid="{00000000-0005-0000-0000-0000955F0000}"/>
    <cellStyle name="Normal 3 3 9 4 2 9" xfId="14134" xr:uid="{00000000-0005-0000-0000-0000965F0000}"/>
    <cellStyle name="Normal 3 3 9 4 2 9 2" xfId="31638" xr:uid="{00000000-0005-0000-0000-0000975F0000}"/>
    <cellStyle name="Normal 3 3 9 4 3" xfId="14135" xr:uid="{00000000-0005-0000-0000-0000985F0000}"/>
    <cellStyle name="Normal 3 3 9 4 3 2" xfId="31639" xr:uid="{00000000-0005-0000-0000-0000995F0000}"/>
    <cellStyle name="Normal 3 3 9 4 4" xfId="14136" xr:uid="{00000000-0005-0000-0000-00009A5F0000}"/>
    <cellStyle name="Normal 3 3 9 4 4 2" xfId="31640" xr:uid="{00000000-0005-0000-0000-00009B5F0000}"/>
    <cellStyle name="Normal 3 3 9 4 5" xfId="14137" xr:uid="{00000000-0005-0000-0000-00009C5F0000}"/>
    <cellStyle name="Normal 3 3 9 4 5 2" xfId="31641" xr:uid="{00000000-0005-0000-0000-00009D5F0000}"/>
    <cellStyle name="Normal 3 3 9 4 6" xfId="14138" xr:uid="{00000000-0005-0000-0000-00009E5F0000}"/>
    <cellStyle name="Normal 3 3 9 4 6 2" xfId="31642" xr:uid="{00000000-0005-0000-0000-00009F5F0000}"/>
    <cellStyle name="Normal 3 3 9 4 7" xfId="14139" xr:uid="{00000000-0005-0000-0000-0000A05F0000}"/>
    <cellStyle name="Normal 3 3 9 4 7 2" xfId="31643" xr:uid="{00000000-0005-0000-0000-0000A15F0000}"/>
    <cellStyle name="Normal 3 3 9 4 8" xfId="14140" xr:uid="{00000000-0005-0000-0000-0000A25F0000}"/>
    <cellStyle name="Normal 3 3 9 4 8 2" xfId="31644" xr:uid="{00000000-0005-0000-0000-0000A35F0000}"/>
    <cellStyle name="Normal 3 3 9 4 9" xfId="14141" xr:uid="{00000000-0005-0000-0000-0000A45F0000}"/>
    <cellStyle name="Normal 3 3 9 4 9 2" xfId="31645" xr:uid="{00000000-0005-0000-0000-0000A55F0000}"/>
    <cellStyle name="Normal 3 3 9 5" xfId="14142" xr:uid="{00000000-0005-0000-0000-0000A65F0000}"/>
    <cellStyle name="Normal 3 3 9 5 10" xfId="14143" xr:uid="{00000000-0005-0000-0000-0000A75F0000}"/>
    <cellStyle name="Normal 3 3 9 5 10 2" xfId="31647" xr:uid="{00000000-0005-0000-0000-0000A85F0000}"/>
    <cellStyle name="Normal 3 3 9 5 11" xfId="14144" xr:uid="{00000000-0005-0000-0000-0000A95F0000}"/>
    <cellStyle name="Normal 3 3 9 5 11 2" xfId="31648" xr:uid="{00000000-0005-0000-0000-0000AA5F0000}"/>
    <cellStyle name="Normal 3 3 9 5 12" xfId="14145" xr:uid="{00000000-0005-0000-0000-0000AB5F0000}"/>
    <cellStyle name="Normal 3 3 9 5 12 2" xfId="31649" xr:uid="{00000000-0005-0000-0000-0000AC5F0000}"/>
    <cellStyle name="Normal 3 3 9 5 13" xfId="14146" xr:uid="{00000000-0005-0000-0000-0000AD5F0000}"/>
    <cellStyle name="Normal 3 3 9 5 13 2" xfId="31650" xr:uid="{00000000-0005-0000-0000-0000AE5F0000}"/>
    <cellStyle name="Normal 3 3 9 5 14" xfId="14147" xr:uid="{00000000-0005-0000-0000-0000AF5F0000}"/>
    <cellStyle name="Normal 3 3 9 5 14 2" xfId="31651" xr:uid="{00000000-0005-0000-0000-0000B05F0000}"/>
    <cellStyle name="Normal 3 3 9 5 15" xfId="31646" xr:uid="{00000000-0005-0000-0000-0000B15F0000}"/>
    <cellStyle name="Normal 3 3 9 5 2" xfId="14148" xr:uid="{00000000-0005-0000-0000-0000B25F0000}"/>
    <cellStyle name="Normal 3 3 9 5 2 2" xfId="31652" xr:uid="{00000000-0005-0000-0000-0000B35F0000}"/>
    <cellStyle name="Normal 3 3 9 5 3" xfId="14149" xr:uid="{00000000-0005-0000-0000-0000B45F0000}"/>
    <cellStyle name="Normal 3 3 9 5 3 2" xfId="31653" xr:uid="{00000000-0005-0000-0000-0000B55F0000}"/>
    <cellStyle name="Normal 3 3 9 5 4" xfId="14150" xr:uid="{00000000-0005-0000-0000-0000B65F0000}"/>
    <cellStyle name="Normal 3 3 9 5 4 2" xfId="31654" xr:uid="{00000000-0005-0000-0000-0000B75F0000}"/>
    <cellStyle name="Normal 3 3 9 5 5" xfId="14151" xr:uid="{00000000-0005-0000-0000-0000B85F0000}"/>
    <cellStyle name="Normal 3 3 9 5 5 2" xfId="31655" xr:uid="{00000000-0005-0000-0000-0000B95F0000}"/>
    <cellStyle name="Normal 3 3 9 5 6" xfId="14152" xr:uid="{00000000-0005-0000-0000-0000BA5F0000}"/>
    <cellStyle name="Normal 3 3 9 5 6 2" xfId="31656" xr:uid="{00000000-0005-0000-0000-0000BB5F0000}"/>
    <cellStyle name="Normal 3 3 9 5 7" xfId="14153" xr:uid="{00000000-0005-0000-0000-0000BC5F0000}"/>
    <cellStyle name="Normal 3 3 9 5 7 2" xfId="31657" xr:uid="{00000000-0005-0000-0000-0000BD5F0000}"/>
    <cellStyle name="Normal 3 3 9 5 8" xfId="14154" xr:uid="{00000000-0005-0000-0000-0000BE5F0000}"/>
    <cellStyle name="Normal 3 3 9 5 8 2" xfId="31658" xr:uid="{00000000-0005-0000-0000-0000BF5F0000}"/>
    <cellStyle name="Normal 3 3 9 5 9" xfId="14155" xr:uid="{00000000-0005-0000-0000-0000C05F0000}"/>
    <cellStyle name="Normal 3 3 9 5 9 2" xfId="31659" xr:uid="{00000000-0005-0000-0000-0000C15F0000}"/>
    <cellStyle name="Normal 3 3 9 6" xfId="14156" xr:uid="{00000000-0005-0000-0000-0000C25F0000}"/>
    <cellStyle name="Normal 3 3 9 6 10" xfId="14157" xr:uid="{00000000-0005-0000-0000-0000C35F0000}"/>
    <cellStyle name="Normal 3 3 9 6 10 2" xfId="31661" xr:uid="{00000000-0005-0000-0000-0000C45F0000}"/>
    <cellStyle name="Normal 3 3 9 6 11" xfId="14158" xr:uid="{00000000-0005-0000-0000-0000C55F0000}"/>
    <cellStyle name="Normal 3 3 9 6 11 2" xfId="31662" xr:uid="{00000000-0005-0000-0000-0000C65F0000}"/>
    <cellStyle name="Normal 3 3 9 6 12" xfId="14159" xr:uid="{00000000-0005-0000-0000-0000C75F0000}"/>
    <cellStyle name="Normal 3 3 9 6 12 2" xfId="31663" xr:uid="{00000000-0005-0000-0000-0000C85F0000}"/>
    <cellStyle name="Normal 3 3 9 6 13" xfId="14160" xr:uid="{00000000-0005-0000-0000-0000C95F0000}"/>
    <cellStyle name="Normal 3 3 9 6 13 2" xfId="31664" xr:uid="{00000000-0005-0000-0000-0000CA5F0000}"/>
    <cellStyle name="Normal 3 3 9 6 14" xfId="14161" xr:uid="{00000000-0005-0000-0000-0000CB5F0000}"/>
    <cellStyle name="Normal 3 3 9 6 14 2" xfId="31665" xr:uid="{00000000-0005-0000-0000-0000CC5F0000}"/>
    <cellStyle name="Normal 3 3 9 6 15" xfId="31660" xr:uid="{00000000-0005-0000-0000-0000CD5F0000}"/>
    <cellStyle name="Normal 3 3 9 6 2" xfId="14162" xr:uid="{00000000-0005-0000-0000-0000CE5F0000}"/>
    <cellStyle name="Normal 3 3 9 6 2 2" xfId="31666" xr:uid="{00000000-0005-0000-0000-0000CF5F0000}"/>
    <cellStyle name="Normal 3 3 9 6 3" xfId="14163" xr:uid="{00000000-0005-0000-0000-0000D05F0000}"/>
    <cellStyle name="Normal 3 3 9 6 3 2" xfId="31667" xr:uid="{00000000-0005-0000-0000-0000D15F0000}"/>
    <cellStyle name="Normal 3 3 9 6 4" xfId="14164" xr:uid="{00000000-0005-0000-0000-0000D25F0000}"/>
    <cellStyle name="Normal 3 3 9 6 4 2" xfId="31668" xr:uid="{00000000-0005-0000-0000-0000D35F0000}"/>
    <cellStyle name="Normal 3 3 9 6 5" xfId="14165" xr:uid="{00000000-0005-0000-0000-0000D45F0000}"/>
    <cellStyle name="Normal 3 3 9 6 5 2" xfId="31669" xr:uid="{00000000-0005-0000-0000-0000D55F0000}"/>
    <cellStyle name="Normal 3 3 9 6 6" xfId="14166" xr:uid="{00000000-0005-0000-0000-0000D65F0000}"/>
    <cellStyle name="Normal 3 3 9 6 6 2" xfId="31670" xr:uid="{00000000-0005-0000-0000-0000D75F0000}"/>
    <cellStyle name="Normal 3 3 9 6 7" xfId="14167" xr:uid="{00000000-0005-0000-0000-0000D85F0000}"/>
    <cellStyle name="Normal 3 3 9 6 7 2" xfId="31671" xr:uid="{00000000-0005-0000-0000-0000D95F0000}"/>
    <cellStyle name="Normal 3 3 9 6 8" xfId="14168" xr:uid="{00000000-0005-0000-0000-0000DA5F0000}"/>
    <cellStyle name="Normal 3 3 9 6 8 2" xfId="31672" xr:uid="{00000000-0005-0000-0000-0000DB5F0000}"/>
    <cellStyle name="Normal 3 3 9 6 9" xfId="14169" xr:uid="{00000000-0005-0000-0000-0000DC5F0000}"/>
    <cellStyle name="Normal 3 3 9 6 9 2" xfId="31673" xr:uid="{00000000-0005-0000-0000-0000DD5F0000}"/>
    <cellStyle name="Normal 3 3 9 7" xfId="14170" xr:uid="{00000000-0005-0000-0000-0000DE5F0000}"/>
    <cellStyle name="Normal 3 3 9 7 10" xfId="14171" xr:uid="{00000000-0005-0000-0000-0000DF5F0000}"/>
    <cellStyle name="Normal 3 3 9 7 10 2" xfId="31675" xr:uid="{00000000-0005-0000-0000-0000E05F0000}"/>
    <cellStyle name="Normal 3 3 9 7 11" xfId="14172" xr:uid="{00000000-0005-0000-0000-0000E15F0000}"/>
    <cellStyle name="Normal 3 3 9 7 11 2" xfId="31676" xr:uid="{00000000-0005-0000-0000-0000E25F0000}"/>
    <cellStyle name="Normal 3 3 9 7 12" xfId="14173" xr:uid="{00000000-0005-0000-0000-0000E35F0000}"/>
    <cellStyle name="Normal 3 3 9 7 12 2" xfId="31677" xr:uid="{00000000-0005-0000-0000-0000E45F0000}"/>
    <cellStyle name="Normal 3 3 9 7 13" xfId="14174" xr:uid="{00000000-0005-0000-0000-0000E55F0000}"/>
    <cellStyle name="Normal 3 3 9 7 13 2" xfId="31678" xr:uid="{00000000-0005-0000-0000-0000E65F0000}"/>
    <cellStyle name="Normal 3 3 9 7 14" xfId="14175" xr:uid="{00000000-0005-0000-0000-0000E75F0000}"/>
    <cellStyle name="Normal 3 3 9 7 14 2" xfId="31679" xr:uid="{00000000-0005-0000-0000-0000E85F0000}"/>
    <cellStyle name="Normal 3 3 9 7 15" xfId="31674" xr:uid="{00000000-0005-0000-0000-0000E95F0000}"/>
    <cellStyle name="Normal 3 3 9 7 2" xfId="14176" xr:uid="{00000000-0005-0000-0000-0000EA5F0000}"/>
    <cellStyle name="Normal 3 3 9 7 2 2" xfId="31680" xr:uid="{00000000-0005-0000-0000-0000EB5F0000}"/>
    <cellStyle name="Normal 3 3 9 7 3" xfId="14177" xr:uid="{00000000-0005-0000-0000-0000EC5F0000}"/>
    <cellStyle name="Normal 3 3 9 7 3 2" xfId="31681" xr:uid="{00000000-0005-0000-0000-0000ED5F0000}"/>
    <cellStyle name="Normal 3 3 9 7 4" xfId="14178" xr:uid="{00000000-0005-0000-0000-0000EE5F0000}"/>
    <cellStyle name="Normal 3 3 9 7 4 2" xfId="31682" xr:uid="{00000000-0005-0000-0000-0000EF5F0000}"/>
    <cellStyle name="Normal 3 3 9 7 5" xfId="14179" xr:uid="{00000000-0005-0000-0000-0000F05F0000}"/>
    <cellStyle name="Normal 3 3 9 7 5 2" xfId="31683" xr:uid="{00000000-0005-0000-0000-0000F15F0000}"/>
    <cellStyle name="Normal 3 3 9 7 6" xfId="14180" xr:uid="{00000000-0005-0000-0000-0000F25F0000}"/>
    <cellStyle name="Normal 3 3 9 7 6 2" xfId="31684" xr:uid="{00000000-0005-0000-0000-0000F35F0000}"/>
    <cellStyle name="Normal 3 3 9 7 7" xfId="14181" xr:uid="{00000000-0005-0000-0000-0000F45F0000}"/>
    <cellStyle name="Normal 3 3 9 7 7 2" xfId="31685" xr:uid="{00000000-0005-0000-0000-0000F55F0000}"/>
    <cellStyle name="Normal 3 3 9 7 8" xfId="14182" xr:uid="{00000000-0005-0000-0000-0000F65F0000}"/>
    <cellStyle name="Normal 3 3 9 7 8 2" xfId="31686" xr:uid="{00000000-0005-0000-0000-0000F75F0000}"/>
    <cellStyle name="Normal 3 3 9 7 9" xfId="14183" xr:uid="{00000000-0005-0000-0000-0000F85F0000}"/>
    <cellStyle name="Normal 3 3 9 7 9 2" xfId="31687" xr:uid="{00000000-0005-0000-0000-0000F95F0000}"/>
    <cellStyle name="Normal 3 3 9 8" xfId="14184" xr:uid="{00000000-0005-0000-0000-0000FA5F0000}"/>
    <cellStyle name="Normal 3 3 9 8 10" xfId="14185" xr:uid="{00000000-0005-0000-0000-0000FB5F0000}"/>
    <cellStyle name="Normal 3 3 9 8 10 2" xfId="31689" xr:uid="{00000000-0005-0000-0000-0000FC5F0000}"/>
    <cellStyle name="Normal 3 3 9 8 11" xfId="14186" xr:uid="{00000000-0005-0000-0000-0000FD5F0000}"/>
    <cellStyle name="Normal 3 3 9 8 11 2" xfId="31690" xr:uid="{00000000-0005-0000-0000-0000FE5F0000}"/>
    <cellStyle name="Normal 3 3 9 8 12" xfId="14187" xr:uid="{00000000-0005-0000-0000-0000FF5F0000}"/>
    <cellStyle name="Normal 3 3 9 8 12 2" xfId="31691" xr:uid="{00000000-0005-0000-0000-000000600000}"/>
    <cellStyle name="Normal 3 3 9 8 13" xfId="14188" xr:uid="{00000000-0005-0000-0000-000001600000}"/>
    <cellStyle name="Normal 3 3 9 8 13 2" xfId="31692" xr:uid="{00000000-0005-0000-0000-000002600000}"/>
    <cellStyle name="Normal 3 3 9 8 14" xfId="14189" xr:uid="{00000000-0005-0000-0000-000003600000}"/>
    <cellStyle name="Normal 3 3 9 8 14 2" xfId="31693" xr:uid="{00000000-0005-0000-0000-000004600000}"/>
    <cellStyle name="Normal 3 3 9 8 15" xfId="31688" xr:uid="{00000000-0005-0000-0000-000005600000}"/>
    <cellStyle name="Normal 3 3 9 8 2" xfId="14190" xr:uid="{00000000-0005-0000-0000-000006600000}"/>
    <cellStyle name="Normal 3 3 9 8 2 2" xfId="31694" xr:uid="{00000000-0005-0000-0000-000007600000}"/>
    <cellStyle name="Normal 3 3 9 8 3" xfId="14191" xr:uid="{00000000-0005-0000-0000-000008600000}"/>
    <cellStyle name="Normal 3 3 9 8 3 2" xfId="31695" xr:uid="{00000000-0005-0000-0000-000009600000}"/>
    <cellStyle name="Normal 3 3 9 8 4" xfId="14192" xr:uid="{00000000-0005-0000-0000-00000A600000}"/>
    <cellStyle name="Normal 3 3 9 8 4 2" xfId="31696" xr:uid="{00000000-0005-0000-0000-00000B600000}"/>
    <cellStyle name="Normal 3 3 9 8 5" xfId="14193" xr:uid="{00000000-0005-0000-0000-00000C600000}"/>
    <cellStyle name="Normal 3 3 9 8 5 2" xfId="31697" xr:uid="{00000000-0005-0000-0000-00000D600000}"/>
    <cellStyle name="Normal 3 3 9 8 6" xfId="14194" xr:uid="{00000000-0005-0000-0000-00000E600000}"/>
    <cellStyle name="Normal 3 3 9 8 6 2" xfId="31698" xr:uid="{00000000-0005-0000-0000-00000F600000}"/>
    <cellStyle name="Normal 3 3 9 8 7" xfId="14195" xr:uid="{00000000-0005-0000-0000-000010600000}"/>
    <cellStyle name="Normal 3 3 9 8 7 2" xfId="31699" xr:uid="{00000000-0005-0000-0000-000011600000}"/>
    <cellStyle name="Normal 3 3 9 8 8" xfId="14196" xr:uid="{00000000-0005-0000-0000-000012600000}"/>
    <cellStyle name="Normal 3 3 9 8 8 2" xfId="31700" xr:uid="{00000000-0005-0000-0000-000013600000}"/>
    <cellStyle name="Normal 3 3 9 8 9" xfId="14197" xr:uid="{00000000-0005-0000-0000-000014600000}"/>
    <cellStyle name="Normal 3 3 9 8 9 2" xfId="31701" xr:uid="{00000000-0005-0000-0000-000015600000}"/>
    <cellStyle name="Normal 3 3 9 9" xfId="14198" xr:uid="{00000000-0005-0000-0000-000016600000}"/>
    <cellStyle name="Normal 3 3 9 9 10" xfId="14199" xr:uid="{00000000-0005-0000-0000-000017600000}"/>
    <cellStyle name="Normal 3 3 9 9 10 2" xfId="31703" xr:uid="{00000000-0005-0000-0000-000018600000}"/>
    <cellStyle name="Normal 3 3 9 9 11" xfId="14200" xr:uid="{00000000-0005-0000-0000-000019600000}"/>
    <cellStyle name="Normal 3 3 9 9 11 2" xfId="31704" xr:uid="{00000000-0005-0000-0000-00001A600000}"/>
    <cellStyle name="Normal 3 3 9 9 12" xfId="14201" xr:uid="{00000000-0005-0000-0000-00001B600000}"/>
    <cellStyle name="Normal 3 3 9 9 12 2" xfId="31705" xr:uid="{00000000-0005-0000-0000-00001C600000}"/>
    <cellStyle name="Normal 3 3 9 9 13" xfId="14202" xr:uid="{00000000-0005-0000-0000-00001D600000}"/>
    <cellStyle name="Normal 3 3 9 9 13 2" xfId="31706" xr:uid="{00000000-0005-0000-0000-00001E600000}"/>
    <cellStyle name="Normal 3 3 9 9 14" xfId="14203" xr:uid="{00000000-0005-0000-0000-00001F600000}"/>
    <cellStyle name="Normal 3 3 9 9 14 2" xfId="31707" xr:uid="{00000000-0005-0000-0000-000020600000}"/>
    <cellStyle name="Normal 3 3 9 9 15" xfId="31702" xr:uid="{00000000-0005-0000-0000-000021600000}"/>
    <cellStyle name="Normal 3 3 9 9 2" xfId="14204" xr:uid="{00000000-0005-0000-0000-000022600000}"/>
    <cellStyle name="Normal 3 3 9 9 2 2" xfId="31708" xr:uid="{00000000-0005-0000-0000-000023600000}"/>
    <cellStyle name="Normal 3 3 9 9 3" xfId="14205" xr:uid="{00000000-0005-0000-0000-000024600000}"/>
    <cellStyle name="Normal 3 3 9 9 3 2" xfId="31709" xr:uid="{00000000-0005-0000-0000-000025600000}"/>
    <cellStyle name="Normal 3 3 9 9 4" xfId="14206" xr:uid="{00000000-0005-0000-0000-000026600000}"/>
    <cellStyle name="Normal 3 3 9 9 4 2" xfId="31710" xr:uid="{00000000-0005-0000-0000-000027600000}"/>
    <cellStyle name="Normal 3 3 9 9 5" xfId="14207" xr:uid="{00000000-0005-0000-0000-000028600000}"/>
    <cellStyle name="Normal 3 3 9 9 5 2" xfId="31711" xr:uid="{00000000-0005-0000-0000-000029600000}"/>
    <cellStyle name="Normal 3 3 9 9 6" xfId="14208" xr:uid="{00000000-0005-0000-0000-00002A600000}"/>
    <cellStyle name="Normal 3 3 9 9 6 2" xfId="31712" xr:uid="{00000000-0005-0000-0000-00002B600000}"/>
    <cellStyle name="Normal 3 3 9 9 7" xfId="14209" xr:uid="{00000000-0005-0000-0000-00002C600000}"/>
    <cellStyle name="Normal 3 3 9 9 7 2" xfId="31713" xr:uid="{00000000-0005-0000-0000-00002D600000}"/>
    <cellStyle name="Normal 3 3 9 9 8" xfId="14210" xr:uid="{00000000-0005-0000-0000-00002E600000}"/>
    <cellStyle name="Normal 3 3 9 9 8 2" xfId="31714" xr:uid="{00000000-0005-0000-0000-00002F600000}"/>
    <cellStyle name="Normal 3 3 9 9 9" xfId="14211" xr:uid="{00000000-0005-0000-0000-000030600000}"/>
    <cellStyle name="Normal 3 3 9 9 9 2" xfId="31715" xr:uid="{00000000-0005-0000-0000-000031600000}"/>
    <cellStyle name="Normal 3 30" xfId="14212" xr:uid="{00000000-0005-0000-0000-000032600000}"/>
    <cellStyle name="Normal 3 31" xfId="14213" xr:uid="{00000000-0005-0000-0000-000033600000}"/>
    <cellStyle name="Normal 3 32" xfId="14214" xr:uid="{00000000-0005-0000-0000-000034600000}"/>
    <cellStyle name="Normal 3 33" xfId="14215" xr:uid="{00000000-0005-0000-0000-000035600000}"/>
    <cellStyle name="Normal 3 34" xfId="14216" xr:uid="{00000000-0005-0000-0000-000036600000}"/>
    <cellStyle name="Normal 3 35" xfId="14217" xr:uid="{00000000-0005-0000-0000-000037600000}"/>
    <cellStyle name="Normal 3 36" xfId="14218" xr:uid="{00000000-0005-0000-0000-000038600000}"/>
    <cellStyle name="Normal 3 36 10" xfId="14219" xr:uid="{00000000-0005-0000-0000-000039600000}"/>
    <cellStyle name="Normal 3 36 10 10" xfId="14220" xr:uid="{00000000-0005-0000-0000-00003A600000}"/>
    <cellStyle name="Normal 3 36 10 10 2" xfId="31718" xr:uid="{00000000-0005-0000-0000-00003B600000}"/>
    <cellStyle name="Normal 3 36 10 11" xfId="14221" xr:uid="{00000000-0005-0000-0000-00003C600000}"/>
    <cellStyle name="Normal 3 36 10 11 2" xfId="31719" xr:uid="{00000000-0005-0000-0000-00003D600000}"/>
    <cellStyle name="Normal 3 36 10 12" xfId="14222" xr:uid="{00000000-0005-0000-0000-00003E600000}"/>
    <cellStyle name="Normal 3 36 10 12 2" xfId="31720" xr:uid="{00000000-0005-0000-0000-00003F600000}"/>
    <cellStyle name="Normal 3 36 10 13" xfId="14223" xr:uid="{00000000-0005-0000-0000-000040600000}"/>
    <cellStyle name="Normal 3 36 10 13 2" xfId="31721" xr:uid="{00000000-0005-0000-0000-000041600000}"/>
    <cellStyle name="Normal 3 36 10 14" xfId="14224" xr:uid="{00000000-0005-0000-0000-000042600000}"/>
    <cellStyle name="Normal 3 36 10 14 2" xfId="31722" xr:uid="{00000000-0005-0000-0000-000043600000}"/>
    <cellStyle name="Normal 3 36 10 15" xfId="31717" xr:uid="{00000000-0005-0000-0000-000044600000}"/>
    <cellStyle name="Normal 3 36 10 2" xfId="14225" xr:uid="{00000000-0005-0000-0000-000045600000}"/>
    <cellStyle name="Normal 3 36 10 2 2" xfId="31723" xr:uid="{00000000-0005-0000-0000-000046600000}"/>
    <cellStyle name="Normal 3 36 10 3" xfId="14226" xr:uid="{00000000-0005-0000-0000-000047600000}"/>
    <cellStyle name="Normal 3 36 10 3 2" xfId="31724" xr:uid="{00000000-0005-0000-0000-000048600000}"/>
    <cellStyle name="Normal 3 36 10 4" xfId="14227" xr:uid="{00000000-0005-0000-0000-000049600000}"/>
    <cellStyle name="Normal 3 36 10 4 2" xfId="31725" xr:uid="{00000000-0005-0000-0000-00004A600000}"/>
    <cellStyle name="Normal 3 36 10 5" xfId="14228" xr:uid="{00000000-0005-0000-0000-00004B600000}"/>
    <cellStyle name="Normal 3 36 10 5 2" xfId="31726" xr:uid="{00000000-0005-0000-0000-00004C600000}"/>
    <cellStyle name="Normal 3 36 10 6" xfId="14229" xr:uid="{00000000-0005-0000-0000-00004D600000}"/>
    <cellStyle name="Normal 3 36 10 6 2" xfId="31727" xr:uid="{00000000-0005-0000-0000-00004E600000}"/>
    <cellStyle name="Normal 3 36 10 7" xfId="14230" xr:uid="{00000000-0005-0000-0000-00004F600000}"/>
    <cellStyle name="Normal 3 36 10 7 2" xfId="31728" xr:uid="{00000000-0005-0000-0000-000050600000}"/>
    <cellStyle name="Normal 3 36 10 8" xfId="14231" xr:uid="{00000000-0005-0000-0000-000051600000}"/>
    <cellStyle name="Normal 3 36 10 8 2" xfId="31729" xr:uid="{00000000-0005-0000-0000-000052600000}"/>
    <cellStyle name="Normal 3 36 10 9" xfId="14232" xr:uid="{00000000-0005-0000-0000-000053600000}"/>
    <cellStyle name="Normal 3 36 10 9 2" xfId="31730" xr:uid="{00000000-0005-0000-0000-000054600000}"/>
    <cellStyle name="Normal 3 36 11" xfId="14233" xr:uid="{00000000-0005-0000-0000-000055600000}"/>
    <cellStyle name="Normal 3 36 11 2" xfId="31731" xr:uid="{00000000-0005-0000-0000-000056600000}"/>
    <cellStyle name="Normal 3 36 12" xfId="14234" xr:uid="{00000000-0005-0000-0000-000057600000}"/>
    <cellStyle name="Normal 3 36 12 2" xfId="31732" xr:uid="{00000000-0005-0000-0000-000058600000}"/>
    <cellStyle name="Normal 3 36 13" xfId="14235" xr:uid="{00000000-0005-0000-0000-000059600000}"/>
    <cellStyle name="Normal 3 36 13 2" xfId="31733" xr:uid="{00000000-0005-0000-0000-00005A600000}"/>
    <cellStyle name="Normal 3 36 14" xfId="14236" xr:uid="{00000000-0005-0000-0000-00005B600000}"/>
    <cellStyle name="Normal 3 36 14 2" xfId="31734" xr:uid="{00000000-0005-0000-0000-00005C600000}"/>
    <cellStyle name="Normal 3 36 15" xfId="14237" xr:uid="{00000000-0005-0000-0000-00005D600000}"/>
    <cellStyle name="Normal 3 36 15 2" xfId="31735" xr:uid="{00000000-0005-0000-0000-00005E600000}"/>
    <cellStyle name="Normal 3 36 16" xfId="14238" xr:uid="{00000000-0005-0000-0000-00005F600000}"/>
    <cellStyle name="Normal 3 36 16 2" xfId="31736" xr:uid="{00000000-0005-0000-0000-000060600000}"/>
    <cellStyle name="Normal 3 36 17" xfId="14239" xr:uid="{00000000-0005-0000-0000-000061600000}"/>
    <cellStyle name="Normal 3 36 17 2" xfId="31737" xr:uid="{00000000-0005-0000-0000-000062600000}"/>
    <cellStyle name="Normal 3 36 18" xfId="14240" xr:uid="{00000000-0005-0000-0000-000063600000}"/>
    <cellStyle name="Normal 3 36 18 2" xfId="31738" xr:uid="{00000000-0005-0000-0000-000064600000}"/>
    <cellStyle name="Normal 3 36 19" xfId="14241" xr:uid="{00000000-0005-0000-0000-000065600000}"/>
    <cellStyle name="Normal 3 36 19 2" xfId="31739" xr:uid="{00000000-0005-0000-0000-000066600000}"/>
    <cellStyle name="Normal 3 36 2" xfId="14242" xr:uid="{00000000-0005-0000-0000-000067600000}"/>
    <cellStyle name="Normal 3 36 2 10" xfId="14243" xr:uid="{00000000-0005-0000-0000-000068600000}"/>
    <cellStyle name="Normal 3 36 2 10 2" xfId="31741" xr:uid="{00000000-0005-0000-0000-000069600000}"/>
    <cellStyle name="Normal 3 36 2 11" xfId="14244" xr:uid="{00000000-0005-0000-0000-00006A600000}"/>
    <cellStyle name="Normal 3 36 2 11 2" xfId="31742" xr:uid="{00000000-0005-0000-0000-00006B600000}"/>
    <cellStyle name="Normal 3 36 2 12" xfId="14245" xr:uid="{00000000-0005-0000-0000-00006C600000}"/>
    <cellStyle name="Normal 3 36 2 12 2" xfId="31743" xr:uid="{00000000-0005-0000-0000-00006D600000}"/>
    <cellStyle name="Normal 3 36 2 13" xfId="14246" xr:uid="{00000000-0005-0000-0000-00006E600000}"/>
    <cellStyle name="Normal 3 36 2 13 2" xfId="31744" xr:uid="{00000000-0005-0000-0000-00006F600000}"/>
    <cellStyle name="Normal 3 36 2 14" xfId="14247" xr:uid="{00000000-0005-0000-0000-000070600000}"/>
    <cellStyle name="Normal 3 36 2 14 2" xfId="31745" xr:uid="{00000000-0005-0000-0000-000071600000}"/>
    <cellStyle name="Normal 3 36 2 15" xfId="14248" xr:uid="{00000000-0005-0000-0000-000072600000}"/>
    <cellStyle name="Normal 3 36 2 15 2" xfId="31746" xr:uid="{00000000-0005-0000-0000-000073600000}"/>
    <cellStyle name="Normal 3 36 2 16" xfId="31740" xr:uid="{00000000-0005-0000-0000-000074600000}"/>
    <cellStyle name="Normal 3 36 2 2" xfId="14249" xr:uid="{00000000-0005-0000-0000-000075600000}"/>
    <cellStyle name="Normal 3 36 2 2 10" xfId="14250" xr:uid="{00000000-0005-0000-0000-000076600000}"/>
    <cellStyle name="Normal 3 36 2 2 10 2" xfId="31748" xr:uid="{00000000-0005-0000-0000-000077600000}"/>
    <cellStyle name="Normal 3 36 2 2 11" xfId="14251" xr:uid="{00000000-0005-0000-0000-000078600000}"/>
    <cellStyle name="Normal 3 36 2 2 11 2" xfId="31749" xr:uid="{00000000-0005-0000-0000-000079600000}"/>
    <cellStyle name="Normal 3 36 2 2 12" xfId="14252" xr:uid="{00000000-0005-0000-0000-00007A600000}"/>
    <cellStyle name="Normal 3 36 2 2 12 2" xfId="31750" xr:uid="{00000000-0005-0000-0000-00007B600000}"/>
    <cellStyle name="Normal 3 36 2 2 13" xfId="14253" xr:uid="{00000000-0005-0000-0000-00007C600000}"/>
    <cellStyle name="Normal 3 36 2 2 13 2" xfId="31751" xr:uid="{00000000-0005-0000-0000-00007D600000}"/>
    <cellStyle name="Normal 3 36 2 2 14" xfId="14254" xr:uid="{00000000-0005-0000-0000-00007E600000}"/>
    <cellStyle name="Normal 3 36 2 2 14 2" xfId="31752" xr:uid="{00000000-0005-0000-0000-00007F600000}"/>
    <cellStyle name="Normal 3 36 2 2 15" xfId="31747" xr:uid="{00000000-0005-0000-0000-000080600000}"/>
    <cellStyle name="Normal 3 36 2 2 2" xfId="14255" xr:uid="{00000000-0005-0000-0000-000081600000}"/>
    <cellStyle name="Normal 3 36 2 2 2 2" xfId="31753" xr:uid="{00000000-0005-0000-0000-000082600000}"/>
    <cellStyle name="Normal 3 36 2 2 3" xfId="14256" xr:uid="{00000000-0005-0000-0000-000083600000}"/>
    <cellStyle name="Normal 3 36 2 2 3 2" xfId="31754" xr:uid="{00000000-0005-0000-0000-000084600000}"/>
    <cellStyle name="Normal 3 36 2 2 4" xfId="14257" xr:uid="{00000000-0005-0000-0000-000085600000}"/>
    <cellStyle name="Normal 3 36 2 2 4 2" xfId="31755" xr:uid="{00000000-0005-0000-0000-000086600000}"/>
    <cellStyle name="Normal 3 36 2 2 5" xfId="14258" xr:uid="{00000000-0005-0000-0000-000087600000}"/>
    <cellStyle name="Normal 3 36 2 2 5 2" xfId="31756" xr:uid="{00000000-0005-0000-0000-000088600000}"/>
    <cellStyle name="Normal 3 36 2 2 6" xfId="14259" xr:uid="{00000000-0005-0000-0000-000089600000}"/>
    <cellStyle name="Normal 3 36 2 2 6 2" xfId="31757" xr:uid="{00000000-0005-0000-0000-00008A600000}"/>
    <cellStyle name="Normal 3 36 2 2 7" xfId="14260" xr:uid="{00000000-0005-0000-0000-00008B600000}"/>
    <cellStyle name="Normal 3 36 2 2 7 2" xfId="31758" xr:uid="{00000000-0005-0000-0000-00008C600000}"/>
    <cellStyle name="Normal 3 36 2 2 8" xfId="14261" xr:uid="{00000000-0005-0000-0000-00008D600000}"/>
    <cellStyle name="Normal 3 36 2 2 8 2" xfId="31759" xr:uid="{00000000-0005-0000-0000-00008E600000}"/>
    <cellStyle name="Normal 3 36 2 2 9" xfId="14262" xr:uid="{00000000-0005-0000-0000-00008F600000}"/>
    <cellStyle name="Normal 3 36 2 2 9 2" xfId="31760" xr:uid="{00000000-0005-0000-0000-000090600000}"/>
    <cellStyle name="Normal 3 36 2 3" xfId="14263" xr:uid="{00000000-0005-0000-0000-000091600000}"/>
    <cellStyle name="Normal 3 36 2 3 2" xfId="31761" xr:uid="{00000000-0005-0000-0000-000092600000}"/>
    <cellStyle name="Normal 3 36 2 4" xfId="14264" xr:uid="{00000000-0005-0000-0000-000093600000}"/>
    <cellStyle name="Normal 3 36 2 4 2" xfId="31762" xr:uid="{00000000-0005-0000-0000-000094600000}"/>
    <cellStyle name="Normal 3 36 2 5" xfId="14265" xr:uid="{00000000-0005-0000-0000-000095600000}"/>
    <cellStyle name="Normal 3 36 2 5 2" xfId="31763" xr:uid="{00000000-0005-0000-0000-000096600000}"/>
    <cellStyle name="Normal 3 36 2 6" xfId="14266" xr:uid="{00000000-0005-0000-0000-000097600000}"/>
    <cellStyle name="Normal 3 36 2 6 2" xfId="31764" xr:uid="{00000000-0005-0000-0000-000098600000}"/>
    <cellStyle name="Normal 3 36 2 7" xfId="14267" xr:uid="{00000000-0005-0000-0000-000099600000}"/>
    <cellStyle name="Normal 3 36 2 7 2" xfId="31765" xr:uid="{00000000-0005-0000-0000-00009A600000}"/>
    <cellStyle name="Normal 3 36 2 8" xfId="14268" xr:uid="{00000000-0005-0000-0000-00009B600000}"/>
    <cellStyle name="Normal 3 36 2 8 2" xfId="31766" xr:uid="{00000000-0005-0000-0000-00009C600000}"/>
    <cellStyle name="Normal 3 36 2 9" xfId="14269" xr:uid="{00000000-0005-0000-0000-00009D600000}"/>
    <cellStyle name="Normal 3 36 2 9 2" xfId="31767" xr:uid="{00000000-0005-0000-0000-00009E600000}"/>
    <cellStyle name="Normal 3 36 20" xfId="14270" xr:uid="{00000000-0005-0000-0000-00009F600000}"/>
    <cellStyle name="Normal 3 36 20 2" xfId="31768" xr:uid="{00000000-0005-0000-0000-0000A0600000}"/>
    <cellStyle name="Normal 3 36 21" xfId="14271" xr:uid="{00000000-0005-0000-0000-0000A1600000}"/>
    <cellStyle name="Normal 3 36 21 2" xfId="31769" xr:uid="{00000000-0005-0000-0000-0000A2600000}"/>
    <cellStyle name="Normal 3 36 22" xfId="14272" xr:uid="{00000000-0005-0000-0000-0000A3600000}"/>
    <cellStyle name="Normal 3 36 22 2" xfId="31770" xr:uid="{00000000-0005-0000-0000-0000A4600000}"/>
    <cellStyle name="Normal 3 36 23" xfId="14273" xr:uid="{00000000-0005-0000-0000-0000A5600000}"/>
    <cellStyle name="Normal 3 36 23 2" xfId="31771" xr:uid="{00000000-0005-0000-0000-0000A6600000}"/>
    <cellStyle name="Normal 3 36 24" xfId="31716" xr:uid="{00000000-0005-0000-0000-0000A7600000}"/>
    <cellStyle name="Normal 3 36 3" xfId="14274" xr:uid="{00000000-0005-0000-0000-0000A8600000}"/>
    <cellStyle name="Normal 3 36 3 10" xfId="14275" xr:uid="{00000000-0005-0000-0000-0000A9600000}"/>
    <cellStyle name="Normal 3 36 3 10 2" xfId="31773" xr:uid="{00000000-0005-0000-0000-0000AA600000}"/>
    <cellStyle name="Normal 3 36 3 11" xfId="14276" xr:uid="{00000000-0005-0000-0000-0000AB600000}"/>
    <cellStyle name="Normal 3 36 3 11 2" xfId="31774" xr:uid="{00000000-0005-0000-0000-0000AC600000}"/>
    <cellStyle name="Normal 3 36 3 12" xfId="14277" xr:uid="{00000000-0005-0000-0000-0000AD600000}"/>
    <cellStyle name="Normal 3 36 3 12 2" xfId="31775" xr:uid="{00000000-0005-0000-0000-0000AE600000}"/>
    <cellStyle name="Normal 3 36 3 13" xfId="14278" xr:uid="{00000000-0005-0000-0000-0000AF600000}"/>
    <cellStyle name="Normal 3 36 3 13 2" xfId="31776" xr:uid="{00000000-0005-0000-0000-0000B0600000}"/>
    <cellStyle name="Normal 3 36 3 14" xfId="14279" xr:uid="{00000000-0005-0000-0000-0000B1600000}"/>
    <cellStyle name="Normal 3 36 3 14 2" xfId="31777" xr:uid="{00000000-0005-0000-0000-0000B2600000}"/>
    <cellStyle name="Normal 3 36 3 15" xfId="14280" xr:uid="{00000000-0005-0000-0000-0000B3600000}"/>
    <cellStyle name="Normal 3 36 3 15 2" xfId="31778" xr:uid="{00000000-0005-0000-0000-0000B4600000}"/>
    <cellStyle name="Normal 3 36 3 16" xfId="31772" xr:uid="{00000000-0005-0000-0000-0000B5600000}"/>
    <cellStyle name="Normal 3 36 3 2" xfId="14281" xr:uid="{00000000-0005-0000-0000-0000B6600000}"/>
    <cellStyle name="Normal 3 36 3 2 10" xfId="14282" xr:uid="{00000000-0005-0000-0000-0000B7600000}"/>
    <cellStyle name="Normal 3 36 3 2 10 2" xfId="31780" xr:uid="{00000000-0005-0000-0000-0000B8600000}"/>
    <cellStyle name="Normal 3 36 3 2 11" xfId="14283" xr:uid="{00000000-0005-0000-0000-0000B9600000}"/>
    <cellStyle name="Normal 3 36 3 2 11 2" xfId="31781" xr:uid="{00000000-0005-0000-0000-0000BA600000}"/>
    <cellStyle name="Normal 3 36 3 2 12" xfId="14284" xr:uid="{00000000-0005-0000-0000-0000BB600000}"/>
    <cellStyle name="Normal 3 36 3 2 12 2" xfId="31782" xr:uid="{00000000-0005-0000-0000-0000BC600000}"/>
    <cellStyle name="Normal 3 36 3 2 13" xfId="14285" xr:uid="{00000000-0005-0000-0000-0000BD600000}"/>
    <cellStyle name="Normal 3 36 3 2 13 2" xfId="31783" xr:uid="{00000000-0005-0000-0000-0000BE600000}"/>
    <cellStyle name="Normal 3 36 3 2 14" xfId="14286" xr:uid="{00000000-0005-0000-0000-0000BF600000}"/>
    <cellStyle name="Normal 3 36 3 2 14 2" xfId="31784" xr:uid="{00000000-0005-0000-0000-0000C0600000}"/>
    <cellStyle name="Normal 3 36 3 2 15" xfId="31779" xr:uid="{00000000-0005-0000-0000-0000C1600000}"/>
    <cellStyle name="Normal 3 36 3 2 2" xfId="14287" xr:uid="{00000000-0005-0000-0000-0000C2600000}"/>
    <cellStyle name="Normal 3 36 3 2 2 2" xfId="31785" xr:uid="{00000000-0005-0000-0000-0000C3600000}"/>
    <cellStyle name="Normal 3 36 3 2 3" xfId="14288" xr:uid="{00000000-0005-0000-0000-0000C4600000}"/>
    <cellStyle name="Normal 3 36 3 2 3 2" xfId="31786" xr:uid="{00000000-0005-0000-0000-0000C5600000}"/>
    <cellStyle name="Normal 3 36 3 2 4" xfId="14289" xr:uid="{00000000-0005-0000-0000-0000C6600000}"/>
    <cellStyle name="Normal 3 36 3 2 4 2" xfId="31787" xr:uid="{00000000-0005-0000-0000-0000C7600000}"/>
    <cellStyle name="Normal 3 36 3 2 5" xfId="14290" xr:uid="{00000000-0005-0000-0000-0000C8600000}"/>
    <cellStyle name="Normal 3 36 3 2 5 2" xfId="31788" xr:uid="{00000000-0005-0000-0000-0000C9600000}"/>
    <cellStyle name="Normal 3 36 3 2 6" xfId="14291" xr:uid="{00000000-0005-0000-0000-0000CA600000}"/>
    <cellStyle name="Normal 3 36 3 2 6 2" xfId="31789" xr:uid="{00000000-0005-0000-0000-0000CB600000}"/>
    <cellStyle name="Normal 3 36 3 2 7" xfId="14292" xr:uid="{00000000-0005-0000-0000-0000CC600000}"/>
    <cellStyle name="Normal 3 36 3 2 7 2" xfId="31790" xr:uid="{00000000-0005-0000-0000-0000CD600000}"/>
    <cellStyle name="Normal 3 36 3 2 8" xfId="14293" xr:uid="{00000000-0005-0000-0000-0000CE600000}"/>
    <cellStyle name="Normal 3 36 3 2 8 2" xfId="31791" xr:uid="{00000000-0005-0000-0000-0000CF600000}"/>
    <cellStyle name="Normal 3 36 3 2 9" xfId="14294" xr:uid="{00000000-0005-0000-0000-0000D0600000}"/>
    <cellStyle name="Normal 3 36 3 2 9 2" xfId="31792" xr:uid="{00000000-0005-0000-0000-0000D1600000}"/>
    <cellStyle name="Normal 3 36 3 3" xfId="14295" xr:uid="{00000000-0005-0000-0000-0000D2600000}"/>
    <cellStyle name="Normal 3 36 3 3 2" xfId="31793" xr:uid="{00000000-0005-0000-0000-0000D3600000}"/>
    <cellStyle name="Normal 3 36 3 4" xfId="14296" xr:uid="{00000000-0005-0000-0000-0000D4600000}"/>
    <cellStyle name="Normal 3 36 3 4 2" xfId="31794" xr:uid="{00000000-0005-0000-0000-0000D5600000}"/>
    <cellStyle name="Normal 3 36 3 5" xfId="14297" xr:uid="{00000000-0005-0000-0000-0000D6600000}"/>
    <cellStyle name="Normal 3 36 3 5 2" xfId="31795" xr:uid="{00000000-0005-0000-0000-0000D7600000}"/>
    <cellStyle name="Normal 3 36 3 6" xfId="14298" xr:uid="{00000000-0005-0000-0000-0000D8600000}"/>
    <cellStyle name="Normal 3 36 3 6 2" xfId="31796" xr:uid="{00000000-0005-0000-0000-0000D9600000}"/>
    <cellStyle name="Normal 3 36 3 7" xfId="14299" xr:uid="{00000000-0005-0000-0000-0000DA600000}"/>
    <cellStyle name="Normal 3 36 3 7 2" xfId="31797" xr:uid="{00000000-0005-0000-0000-0000DB600000}"/>
    <cellStyle name="Normal 3 36 3 8" xfId="14300" xr:uid="{00000000-0005-0000-0000-0000DC600000}"/>
    <cellStyle name="Normal 3 36 3 8 2" xfId="31798" xr:uid="{00000000-0005-0000-0000-0000DD600000}"/>
    <cellStyle name="Normal 3 36 3 9" xfId="14301" xr:uid="{00000000-0005-0000-0000-0000DE600000}"/>
    <cellStyle name="Normal 3 36 3 9 2" xfId="31799" xr:uid="{00000000-0005-0000-0000-0000DF600000}"/>
    <cellStyle name="Normal 3 36 4" xfId="14302" xr:uid="{00000000-0005-0000-0000-0000E0600000}"/>
    <cellStyle name="Normal 3 36 4 10" xfId="14303" xr:uid="{00000000-0005-0000-0000-0000E1600000}"/>
    <cellStyle name="Normal 3 36 4 10 2" xfId="31801" xr:uid="{00000000-0005-0000-0000-0000E2600000}"/>
    <cellStyle name="Normal 3 36 4 11" xfId="14304" xr:uid="{00000000-0005-0000-0000-0000E3600000}"/>
    <cellStyle name="Normal 3 36 4 11 2" xfId="31802" xr:uid="{00000000-0005-0000-0000-0000E4600000}"/>
    <cellStyle name="Normal 3 36 4 12" xfId="14305" xr:uid="{00000000-0005-0000-0000-0000E5600000}"/>
    <cellStyle name="Normal 3 36 4 12 2" xfId="31803" xr:uid="{00000000-0005-0000-0000-0000E6600000}"/>
    <cellStyle name="Normal 3 36 4 13" xfId="14306" xr:uid="{00000000-0005-0000-0000-0000E7600000}"/>
    <cellStyle name="Normal 3 36 4 13 2" xfId="31804" xr:uid="{00000000-0005-0000-0000-0000E8600000}"/>
    <cellStyle name="Normal 3 36 4 14" xfId="14307" xr:uid="{00000000-0005-0000-0000-0000E9600000}"/>
    <cellStyle name="Normal 3 36 4 14 2" xfId="31805" xr:uid="{00000000-0005-0000-0000-0000EA600000}"/>
    <cellStyle name="Normal 3 36 4 15" xfId="14308" xr:uid="{00000000-0005-0000-0000-0000EB600000}"/>
    <cellStyle name="Normal 3 36 4 15 2" xfId="31806" xr:uid="{00000000-0005-0000-0000-0000EC600000}"/>
    <cellStyle name="Normal 3 36 4 16" xfId="31800" xr:uid="{00000000-0005-0000-0000-0000ED600000}"/>
    <cellStyle name="Normal 3 36 4 2" xfId="14309" xr:uid="{00000000-0005-0000-0000-0000EE600000}"/>
    <cellStyle name="Normal 3 36 4 2 10" xfId="14310" xr:uid="{00000000-0005-0000-0000-0000EF600000}"/>
    <cellStyle name="Normal 3 36 4 2 10 2" xfId="31808" xr:uid="{00000000-0005-0000-0000-0000F0600000}"/>
    <cellStyle name="Normal 3 36 4 2 11" xfId="14311" xr:uid="{00000000-0005-0000-0000-0000F1600000}"/>
    <cellStyle name="Normal 3 36 4 2 11 2" xfId="31809" xr:uid="{00000000-0005-0000-0000-0000F2600000}"/>
    <cellStyle name="Normal 3 36 4 2 12" xfId="14312" xr:uid="{00000000-0005-0000-0000-0000F3600000}"/>
    <cellStyle name="Normal 3 36 4 2 12 2" xfId="31810" xr:uid="{00000000-0005-0000-0000-0000F4600000}"/>
    <cellStyle name="Normal 3 36 4 2 13" xfId="14313" xr:uid="{00000000-0005-0000-0000-0000F5600000}"/>
    <cellStyle name="Normal 3 36 4 2 13 2" xfId="31811" xr:uid="{00000000-0005-0000-0000-0000F6600000}"/>
    <cellStyle name="Normal 3 36 4 2 14" xfId="14314" xr:uid="{00000000-0005-0000-0000-0000F7600000}"/>
    <cellStyle name="Normal 3 36 4 2 14 2" xfId="31812" xr:uid="{00000000-0005-0000-0000-0000F8600000}"/>
    <cellStyle name="Normal 3 36 4 2 15" xfId="31807" xr:uid="{00000000-0005-0000-0000-0000F9600000}"/>
    <cellStyle name="Normal 3 36 4 2 2" xfId="14315" xr:uid="{00000000-0005-0000-0000-0000FA600000}"/>
    <cellStyle name="Normal 3 36 4 2 2 2" xfId="31813" xr:uid="{00000000-0005-0000-0000-0000FB600000}"/>
    <cellStyle name="Normal 3 36 4 2 3" xfId="14316" xr:uid="{00000000-0005-0000-0000-0000FC600000}"/>
    <cellStyle name="Normal 3 36 4 2 3 2" xfId="31814" xr:uid="{00000000-0005-0000-0000-0000FD600000}"/>
    <cellStyle name="Normal 3 36 4 2 4" xfId="14317" xr:uid="{00000000-0005-0000-0000-0000FE600000}"/>
    <cellStyle name="Normal 3 36 4 2 4 2" xfId="31815" xr:uid="{00000000-0005-0000-0000-0000FF600000}"/>
    <cellStyle name="Normal 3 36 4 2 5" xfId="14318" xr:uid="{00000000-0005-0000-0000-000000610000}"/>
    <cellStyle name="Normal 3 36 4 2 5 2" xfId="31816" xr:uid="{00000000-0005-0000-0000-000001610000}"/>
    <cellStyle name="Normal 3 36 4 2 6" xfId="14319" xr:uid="{00000000-0005-0000-0000-000002610000}"/>
    <cellStyle name="Normal 3 36 4 2 6 2" xfId="31817" xr:uid="{00000000-0005-0000-0000-000003610000}"/>
    <cellStyle name="Normal 3 36 4 2 7" xfId="14320" xr:uid="{00000000-0005-0000-0000-000004610000}"/>
    <cellStyle name="Normal 3 36 4 2 7 2" xfId="31818" xr:uid="{00000000-0005-0000-0000-000005610000}"/>
    <cellStyle name="Normal 3 36 4 2 8" xfId="14321" xr:uid="{00000000-0005-0000-0000-000006610000}"/>
    <cellStyle name="Normal 3 36 4 2 8 2" xfId="31819" xr:uid="{00000000-0005-0000-0000-000007610000}"/>
    <cellStyle name="Normal 3 36 4 2 9" xfId="14322" xr:uid="{00000000-0005-0000-0000-000008610000}"/>
    <cellStyle name="Normal 3 36 4 2 9 2" xfId="31820" xr:uid="{00000000-0005-0000-0000-000009610000}"/>
    <cellStyle name="Normal 3 36 4 3" xfId="14323" xr:uid="{00000000-0005-0000-0000-00000A610000}"/>
    <cellStyle name="Normal 3 36 4 3 2" xfId="31821" xr:uid="{00000000-0005-0000-0000-00000B610000}"/>
    <cellStyle name="Normal 3 36 4 4" xfId="14324" xr:uid="{00000000-0005-0000-0000-00000C610000}"/>
    <cellStyle name="Normal 3 36 4 4 2" xfId="31822" xr:uid="{00000000-0005-0000-0000-00000D610000}"/>
    <cellStyle name="Normal 3 36 4 5" xfId="14325" xr:uid="{00000000-0005-0000-0000-00000E610000}"/>
    <cellStyle name="Normal 3 36 4 5 2" xfId="31823" xr:uid="{00000000-0005-0000-0000-00000F610000}"/>
    <cellStyle name="Normal 3 36 4 6" xfId="14326" xr:uid="{00000000-0005-0000-0000-000010610000}"/>
    <cellStyle name="Normal 3 36 4 6 2" xfId="31824" xr:uid="{00000000-0005-0000-0000-000011610000}"/>
    <cellStyle name="Normal 3 36 4 7" xfId="14327" xr:uid="{00000000-0005-0000-0000-000012610000}"/>
    <cellStyle name="Normal 3 36 4 7 2" xfId="31825" xr:uid="{00000000-0005-0000-0000-000013610000}"/>
    <cellStyle name="Normal 3 36 4 8" xfId="14328" xr:uid="{00000000-0005-0000-0000-000014610000}"/>
    <cellStyle name="Normal 3 36 4 8 2" xfId="31826" xr:uid="{00000000-0005-0000-0000-000015610000}"/>
    <cellStyle name="Normal 3 36 4 9" xfId="14329" xr:uid="{00000000-0005-0000-0000-000016610000}"/>
    <cellStyle name="Normal 3 36 4 9 2" xfId="31827" xr:uid="{00000000-0005-0000-0000-000017610000}"/>
    <cellStyle name="Normal 3 36 5" xfId="14330" xr:uid="{00000000-0005-0000-0000-000018610000}"/>
    <cellStyle name="Normal 3 36 5 10" xfId="14331" xr:uid="{00000000-0005-0000-0000-000019610000}"/>
    <cellStyle name="Normal 3 36 5 10 2" xfId="31829" xr:uid="{00000000-0005-0000-0000-00001A610000}"/>
    <cellStyle name="Normal 3 36 5 11" xfId="14332" xr:uid="{00000000-0005-0000-0000-00001B610000}"/>
    <cellStyle name="Normal 3 36 5 11 2" xfId="31830" xr:uid="{00000000-0005-0000-0000-00001C610000}"/>
    <cellStyle name="Normal 3 36 5 12" xfId="14333" xr:uid="{00000000-0005-0000-0000-00001D610000}"/>
    <cellStyle name="Normal 3 36 5 12 2" xfId="31831" xr:uid="{00000000-0005-0000-0000-00001E610000}"/>
    <cellStyle name="Normal 3 36 5 13" xfId="14334" xr:uid="{00000000-0005-0000-0000-00001F610000}"/>
    <cellStyle name="Normal 3 36 5 13 2" xfId="31832" xr:uid="{00000000-0005-0000-0000-000020610000}"/>
    <cellStyle name="Normal 3 36 5 14" xfId="14335" xr:uid="{00000000-0005-0000-0000-000021610000}"/>
    <cellStyle name="Normal 3 36 5 14 2" xfId="31833" xr:uid="{00000000-0005-0000-0000-000022610000}"/>
    <cellStyle name="Normal 3 36 5 15" xfId="31828" xr:uid="{00000000-0005-0000-0000-000023610000}"/>
    <cellStyle name="Normal 3 36 5 2" xfId="14336" xr:uid="{00000000-0005-0000-0000-000024610000}"/>
    <cellStyle name="Normal 3 36 5 2 2" xfId="31834" xr:uid="{00000000-0005-0000-0000-000025610000}"/>
    <cellStyle name="Normal 3 36 5 3" xfId="14337" xr:uid="{00000000-0005-0000-0000-000026610000}"/>
    <cellStyle name="Normal 3 36 5 3 2" xfId="31835" xr:uid="{00000000-0005-0000-0000-000027610000}"/>
    <cellStyle name="Normal 3 36 5 4" xfId="14338" xr:uid="{00000000-0005-0000-0000-000028610000}"/>
    <cellStyle name="Normal 3 36 5 4 2" xfId="31836" xr:uid="{00000000-0005-0000-0000-000029610000}"/>
    <cellStyle name="Normal 3 36 5 5" xfId="14339" xr:uid="{00000000-0005-0000-0000-00002A610000}"/>
    <cellStyle name="Normal 3 36 5 5 2" xfId="31837" xr:uid="{00000000-0005-0000-0000-00002B610000}"/>
    <cellStyle name="Normal 3 36 5 6" xfId="14340" xr:uid="{00000000-0005-0000-0000-00002C610000}"/>
    <cellStyle name="Normal 3 36 5 6 2" xfId="31838" xr:uid="{00000000-0005-0000-0000-00002D610000}"/>
    <cellStyle name="Normal 3 36 5 7" xfId="14341" xr:uid="{00000000-0005-0000-0000-00002E610000}"/>
    <cellStyle name="Normal 3 36 5 7 2" xfId="31839" xr:uid="{00000000-0005-0000-0000-00002F610000}"/>
    <cellStyle name="Normal 3 36 5 8" xfId="14342" xr:uid="{00000000-0005-0000-0000-000030610000}"/>
    <cellStyle name="Normal 3 36 5 8 2" xfId="31840" xr:uid="{00000000-0005-0000-0000-000031610000}"/>
    <cellStyle name="Normal 3 36 5 9" xfId="14343" xr:uid="{00000000-0005-0000-0000-000032610000}"/>
    <cellStyle name="Normal 3 36 5 9 2" xfId="31841" xr:uid="{00000000-0005-0000-0000-000033610000}"/>
    <cellStyle name="Normal 3 36 6" xfId="14344" xr:uid="{00000000-0005-0000-0000-000034610000}"/>
    <cellStyle name="Normal 3 36 6 10" xfId="14345" xr:uid="{00000000-0005-0000-0000-000035610000}"/>
    <cellStyle name="Normal 3 36 6 10 2" xfId="31843" xr:uid="{00000000-0005-0000-0000-000036610000}"/>
    <cellStyle name="Normal 3 36 6 11" xfId="14346" xr:uid="{00000000-0005-0000-0000-000037610000}"/>
    <cellStyle name="Normal 3 36 6 11 2" xfId="31844" xr:uid="{00000000-0005-0000-0000-000038610000}"/>
    <cellStyle name="Normal 3 36 6 12" xfId="14347" xr:uid="{00000000-0005-0000-0000-000039610000}"/>
    <cellStyle name="Normal 3 36 6 12 2" xfId="31845" xr:uid="{00000000-0005-0000-0000-00003A610000}"/>
    <cellStyle name="Normal 3 36 6 13" xfId="14348" xr:uid="{00000000-0005-0000-0000-00003B610000}"/>
    <cellStyle name="Normal 3 36 6 13 2" xfId="31846" xr:uid="{00000000-0005-0000-0000-00003C610000}"/>
    <cellStyle name="Normal 3 36 6 14" xfId="14349" xr:uid="{00000000-0005-0000-0000-00003D610000}"/>
    <cellStyle name="Normal 3 36 6 14 2" xfId="31847" xr:uid="{00000000-0005-0000-0000-00003E610000}"/>
    <cellStyle name="Normal 3 36 6 15" xfId="31842" xr:uid="{00000000-0005-0000-0000-00003F610000}"/>
    <cellStyle name="Normal 3 36 6 2" xfId="14350" xr:uid="{00000000-0005-0000-0000-000040610000}"/>
    <cellStyle name="Normal 3 36 6 2 2" xfId="31848" xr:uid="{00000000-0005-0000-0000-000041610000}"/>
    <cellStyle name="Normal 3 36 6 3" xfId="14351" xr:uid="{00000000-0005-0000-0000-000042610000}"/>
    <cellStyle name="Normal 3 36 6 3 2" xfId="31849" xr:uid="{00000000-0005-0000-0000-000043610000}"/>
    <cellStyle name="Normal 3 36 6 4" xfId="14352" xr:uid="{00000000-0005-0000-0000-000044610000}"/>
    <cellStyle name="Normal 3 36 6 4 2" xfId="31850" xr:uid="{00000000-0005-0000-0000-000045610000}"/>
    <cellStyle name="Normal 3 36 6 5" xfId="14353" xr:uid="{00000000-0005-0000-0000-000046610000}"/>
    <cellStyle name="Normal 3 36 6 5 2" xfId="31851" xr:uid="{00000000-0005-0000-0000-000047610000}"/>
    <cellStyle name="Normal 3 36 6 6" xfId="14354" xr:uid="{00000000-0005-0000-0000-000048610000}"/>
    <cellStyle name="Normal 3 36 6 6 2" xfId="31852" xr:uid="{00000000-0005-0000-0000-000049610000}"/>
    <cellStyle name="Normal 3 36 6 7" xfId="14355" xr:uid="{00000000-0005-0000-0000-00004A610000}"/>
    <cellStyle name="Normal 3 36 6 7 2" xfId="31853" xr:uid="{00000000-0005-0000-0000-00004B610000}"/>
    <cellStyle name="Normal 3 36 6 8" xfId="14356" xr:uid="{00000000-0005-0000-0000-00004C610000}"/>
    <cellStyle name="Normal 3 36 6 8 2" xfId="31854" xr:uid="{00000000-0005-0000-0000-00004D610000}"/>
    <cellStyle name="Normal 3 36 6 9" xfId="14357" xr:uid="{00000000-0005-0000-0000-00004E610000}"/>
    <cellStyle name="Normal 3 36 6 9 2" xfId="31855" xr:uid="{00000000-0005-0000-0000-00004F610000}"/>
    <cellStyle name="Normal 3 36 7" xfId="14358" xr:uid="{00000000-0005-0000-0000-000050610000}"/>
    <cellStyle name="Normal 3 36 7 10" xfId="14359" xr:uid="{00000000-0005-0000-0000-000051610000}"/>
    <cellStyle name="Normal 3 36 7 10 2" xfId="31857" xr:uid="{00000000-0005-0000-0000-000052610000}"/>
    <cellStyle name="Normal 3 36 7 11" xfId="14360" xr:uid="{00000000-0005-0000-0000-000053610000}"/>
    <cellStyle name="Normal 3 36 7 11 2" xfId="31858" xr:uid="{00000000-0005-0000-0000-000054610000}"/>
    <cellStyle name="Normal 3 36 7 12" xfId="14361" xr:uid="{00000000-0005-0000-0000-000055610000}"/>
    <cellStyle name="Normal 3 36 7 12 2" xfId="31859" xr:uid="{00000000-0005-0000-0000-000056610000}"/>
    <cellStyle name="Normal 3 36 7 13" xfId="14362" xr:uid="{00000000-0005-0000-0000-000057610000}"/>
    <cellStyle name="Normal 3 36 7 13 2" xfId="31860" xr:uid="{00000000-0005-0000-0000-000058610000}"/>
    <cellStyle name="Normal 3 36 7 14" xfId="14363" xr:uid="{00000000-0005-0000-0000-000059610000}"/>
    <cellStyle name="Normal 3 36 7 14 2" xfId="31861" xr:uid="{00000000-0005-0000-0000-00005A610000}"/>
    <cellStyle name="Normal 3 36 7 15" xfId="31856" xr:uid="{00000000-0005-0000-0000-00005B610000}"/>
    <cellStyle name="Normal 3 36 7 2" xfId="14364" xr:uid="{00000000-0005-0000-0000-00005C610000}"/>
    <cellStyle name="Normal 3 36 7 2 2" xfId="31862" xr:uid="{00000000-0005-0000-0000-00005D610000}"/>
    <cellStyle name="Normal 3 36 7 3" xfId="14365" xr:uid="{00000000-0005-0000-0000-00005E610000}"/>
    <cellStyle name="Normal 3 36 7 3 2" xfId="31863" xr:uid="{00000000-0005-0000-0000-00005F610000}"/>
    <cellStyle name="Normal 3 36 7 4" xfId="14366" xr:uid="{00000000-0005-0000-0000-000060610000}"/>
    <cellStyle name="Normal 3 36 7 4 2" xfId="31864" xr:uid="{00000000-0005-0000-0000-000061610000}"/>
    <cellStyle name="Normal 3 36 7 5" xfId="14367" xr:uid="{00000000-0005-0000-0000-000062610000}"/>
    <cellStyle name="Normal 3 36 7 5 2" xfId="31865" xr:uid="{00000000-0005-0000-0000-000063610000}"/>
    <cellStyle name="Normal 3 36 7 6" xfId="14368" xr:uid="{00000000-0005-0000-0000-000064610000}"/>
    <cellStyle name="Normal 3 36 7 6 2" xfId="31866" xr:uid="{00000000-0005-0000-0000-000065610000}"/>
    <cellStyle name="Normal 3 36 7 7" xfId="14369" xr:uid="{00000000-0005-0000-0000-000066610000}"/>
    <cellStyle name="Normal 3 36 7 7 2" xfId="31867" xr:uid="{00000000-0005-0000-0000-000067610000}"/>
    <cellStyle name="Normal 3 36 7 8" xfId="14370" xr:uid="{00000000-0005-0000-0000-000068610000}"/>
    <cellStyle name="Normal 3 36 7 8 2" xfId="31868" xr:uid="{00000000-0005-0000-0000-000069610000}"/>
    <cellStyle name="Normal 3 36 7 9" xfId="14371" xr:uid="{00000000-0005-0000-0000-00006A610000}"/>
    <cellStyle name="Normal 3 36 7 9 2" xfId="31869" xr:uid="{00000000-0005-0000-0000-00006B610000}"/>
    <cellStyle name="Normal 3 36 8" xfId="14372" xr:uid="{00000000-0005-0000-0000-00006C610000}"/>
    <cellStyle name="Normal 3 36 8 10" xfId="14373" xr:uid="{00000000-0005-0000-0000-00006D610000}"/>
    <cellStyle name="Normal 3 36 8 10 2" xfId="31871" xr:uid="{00000000-0005-0000-0000-00006E610000}"/>
    <cellStyle name="Normal 3 36 8 11" xfId="14374" xr:uid="{00000000-0005-0000-0000-00006F610000}"/>
    <cellStyle name="Normal 3 36 8 11 2" xfId="31872" xr:uid="{00000000-0005-0000-0000-000070610000}"/>
    <cellStyle name="Normal 3 36 8 12" xfId="14375" xr:uid="{00000000-0005-0000-0000-000071610000}"/>
    <cellStyle name="Normal 3 36 8 12 2" xfId="31873" xr:uid="{00000000-0005-0000-0000-000072610000}"/>
    <cellStyle name="Normal 3 36 8 13" xfId="14376" xr:uid="{00000000-0005-0000-0000-000073610000}"/>
    <cellStyle name="Normal 3 36 8 13 2" xfId="31874" xr:uid="{00000000-0005-0000-0000-000074610000}"/>
    <cellStyle name="Normal 3 36 8 14" xfId="14377" xr:uid="{00000000-0005-0000-0000-000075610000}"/>
    <cellStyle name="Normal 3 36 8 14 2" xfId="31875" xr:uid="{00000000-0005-0000-0000-000076610000}"/>
    <cellStyle name="Normal 3 36 8 15" xfId="31870" xr:uid="{00000000-0005-0000-0000-000077610000}"/>
    <cellStyle name="Normal 3 36 8 2" xfId="14378" xr:uid="{00000000-0005-0000-0000-000078610000}"/>
    <cellStyle name="Normal 3 36 8 2 2" xfId="31876" xr:uid="{00000000-0005-0000-0000-000079610000}"/>
    <cellStyle name="Normal 3 36 8 3" xfId="14379" xr:uid="{00000000-0005-0000-0000-00007A610000}"/>
    <cellStyle name="Normal 3 36 8 3 2" xfId="31877" xr:uid="{00000000-0005-0000-0000-00007B610000}"/>
    <cellStyle name="Normal 3 36 8 4" xfId="14380" xr:uid="{00000000-0005-0000-0000-00007C610000}"/>
    <cellStyle name="Normal 3 36 8 4 2" xfId="31878" xr:uid="{00000000-0005-0000-0000-00007D610000}"/>
    <cellStyle name="Normal 3 36 8 5" xfId="14381" xr:uid="{00000000-0005-0000-0000-00007E610000}"/>
    <cellStyle name="Normal 3 36 8 5 2" xfId="31879" xr:uid="{00000000-0005-0000-0000-00007F610000}"/>
    <cellStyle name="Normal 3 36 8 6" xfId="14382" xr:uid="{00000000-0005-0000-0000-000080610000}"/>
    <cellStyle name="Normal 3 36 8 6 2" xfId="31880" xr:uid="{00000000-0005-0000-0000-000081610000}"/>
    <cellStyle name="Normal 3 36 8 7" xfId="14383" xr:uid="{00000000-0005-0000-0000-000082610000}"/>
    <cellStyle name="Normal 3 36 8 7 2" xfId="31881" xr:uid="{00000000-0005-0000-0000-000083610000}"/>
    <cellStyle name="Normal 3 36 8 8" xfId="14384" xr:uid="{00000000-0005-0000-0000-000084610000}"/>
    <cellStyle name="Normal 3 36 8 8 2" xfId="31882" xr:uid="{00000000-0005-0000-0000-000085610000}"/>
    <cellStyle name="Normal 3 36 8 9" xfId="14385" xr:uid="{00000000-0005-0000-0000-000086610000}"/>
    <cellStyle name="Normal 3 36 8 9 2" xfId="31883" xr:uid="{00000000-0005-0000-0000-000087610000}"/>
    <cellStyle name="Normal 3 36 9" xfId="14386" xr:uid="{00000000-0005-0000-0000-000088610000}"/>
    <cellStyle name="Normal 3 36 9 10" xfId="14387" xr:uid="{00000000-0005-0000-0000-000089610000}"/>
    <cellStyle name="Normal 3 36 9 10 2" xfId="31885" xr:uid="{00000000-0005-0000-0000-00008A610000}"/>
    <cellStyle name="Normal 3 36 9 11" xfId="14388" xr:uid="{00000000-0005-0000-0000-00008B610000}"/>
    <cellStyle name="Normal 3 36 9 11 2" xfId="31886" xr:uid="{00000000-0005-0000-0000-00008C610000}"/>
    <cellStyle name="Normal 3 36 9 12" xfId="14389" xr:uid="{00000000-0005-0000-0000-00008D610000}"/>
    <cellStyle name="Normal 3 36 9 12 2" xfId="31887" xr:uid="{00000000-0005-0000-0000-00008E610000}"/>
    <cellStyle name="Normal 3 36 9 13" xfId="14390" xr:uid="{00000000-0005-0000-0000-00008F610000}"/>
    <cellStyle name="Normal 3 36 9 13 2" xfId="31888" xr:uid="{00000000-0005-0000-0000-000090610000}"/>
    <cellStyle name="Normal 3 36 9 14" xfId="14391" xr:uid="{00000000-0005-0000-0000-000091610000}"/>
    <cellStyle name="Normal 3 36 9 14 2" xfId="31889" xr:uid="{00000000-0005-0000-0000-000092610000}"/>
    <cellStyle name="Normal 3 36 9 15" xfId="31884" xr:uid="{00000000-0005-0000-0000-000093610000}"/>
    <cellStyle name="Normal 3 36 9 2" xfId="14392" xr:uid="{00000000-0005-0000-0000-000094610000}"/>
    <cellStyle name="Normal 3 36 9 2 2" xfId="31890" xr:uid="{00000000-0005-0000-0000-000095610000}"/>
    <cellStyle name="Normal 3 36 9 3" xfId="14393" xr:uid="{00000000-0005-0000-0000-000096610000}"/>
    <cellStyle name="Normal 3 36 9 3 2" xfId="31891" xr:uid="{00000000-0005-0000-0000-000097610000}"/>
    <cellStyle name="Normal 3 36 9 4" xfId="14394" xr:uid="{00000000-0005-0000-0000-000098610000}"/>
    <cellStyle name="Normal 3 36 9 4 2" xfId="31892" xr:uid="{00000000-0005-0000-0000-000099610000}"/>
    <cellStyle name="Normal 3 36 9 5" xfId="14395" xr:uid="{00000000-0005-0000-0000-00009A610000}"/>
    <cellStyle name="Normal 3 36 9 5 2" xfId="31893" xr:uid="{00000000-0005-0000-0000-00009B610000}"/>
    <cellStyle name="Normal 3 36 9 6" xfId="14396" xr:uid="{00000000-0005-0000-0000-00009C610000}"/>
    <cellStyle name="Normal 3 36 9 6 2" xfId="31894" xr:uid="{00000000-0005-0000-0000-00009D610000}"/>
    <cellStyle name="Normal 3 36 9 7" xfId="14397" xr:uid="{00000000-0005-0000-0000-00009E610000}"/>
    <cellStyle name="Normal 3 36 9 7 2" xfId="31895" xr:uid="{00000000-0005-0000-0000-00009F610000}"/>
    <cellStyle name="Normal 3 36 9 8" xfId="14398" xr:uid="{00000000-0005-0000-0000-0000A0610000}"/>
    <cellStyle name="Normal 3 36 9 8 2" xfId="31896" xr:uid="{00000000-0005-0000-0000-0000A1610000}"/>
    <cellStyle name="Normal 3 36 9 9" xfId="14399" xr:uid="{00000000-0005-0000-0000-0000A2610000}"/>
    <cellStyle name="Normal 3 36 9 9 2" xfId="31897" xr:uid="{00000000-0005-0000-0000-0000A3610000}"/>
    <cellStyle name="Normal 3 37" xfId="14400" xr:uid="{00000000-0005-0000-0000-0000A4610000}"/>
    <cellStyle name="Normal 3 37 10" xfId="14401" xr:uid="{00000000-0005-0000-0000-0000A5610000}"/>
    <cellStyle name="Normal 3 37 10 10" xfId="14402" xr:uid="{00000000-0005-0000-0000-0000A6610000}"/>
    <cellStyle name="Normal 3 37 10 10 2" xfId="31900" xr:uid="{00000000-0005-0000-0000-0000A7610000}"/>
    <cellStyle name="Normal 3 37 10 11" xfId="14403" xr:uid="{00000000-0005-0000-0000-0000A8610000}"/>
    <cellStyle name="Normal 3 37 10 11 2" xfId="31901" xr:uid="{00000000-0005-0000-0000-0000A9610000}"/>
    <cellStyle name="Normal 3 37 10 12" xfId="14404" xr:uid="{00000000-0005-0000-0000-0000AA610000}"/>
    <cellStyle name="Normal 3 37 10 12 2" xfId="31902" xr:uid="{00000000-0005-0000-0000-0000AB610000}"/>
    <cellStyle name="Normal 3 37 10 13" xfId="14405" xr:uid="{00000000-0005-0000-0000-0000AC610000}"/>
    <cellStyle name="Normal 3 37 10 13 2" xfId="31903" xr:uid="{00000000-0005-0000-0000-0000AD610000}"/>
    <cellStyle name="Normal 3 37 10 14" xfId="14406" xr:uid="{00000000-0005-0000-0000-0000AE610000}"/>
    <cellStyle name="Normal 3 37 10 14 2" xfId="31904" xr:uid="{00000000-0005-0000-0000-0000AF610000}"/>
    <cellStyle name="Normal 3 37 10 15" xfId="31899" xr:uid="{00000000-0005-0000-0000-0000B0610000}"/>
    <cellStyle name="Normal 3 37 10 2" xfId="14407" xr:uid="{00000000-0005-0000-0000-0000B1610000}"/>
    <cellStyle name="Normal 3 37 10 2 2" xfId="31905" xr:uid="{00000000-0005-0000-0000-0000B2610000}"/>
    <cellStyle name="Normal 3 37 10 3" xfId="14408" xr:uid="{00000000-0005-0000-0000-0000B3610000}"/>
    <cellStyle name="Normal 3 37 10 3 2" xfId="31906" xr:uid="{00000000-0005-0000-0000-0000B4610000}"/>
    <cellStyle name="Normal 3 37 10 4" xfId="14409" xr:uid="{00000000-0005-0000-0000-0000B5610000}"/>
    <cellStyle name="Normal 3 37 10 4 2" xfId="31907" xr:uid="{00000000-0005-0000-0000-0000B6610000}"/>
    <cellStyle name="Normal 3 37 10 5" xfId="14410" xr:uid="{00000000-0005-0000-0000-0000B7610000}"/>
    <cellStyle name="Normal 3 37 10 5 2" xfId="31908" xr:uid="{00000000-0005-0000-0000-0000B8610000}"/>
    <cellStyle name="Normal 3 37 10 6" xfId="14411" xr:uid="{00000000-0005-0000-0000-0000B9610000}"/>
    <cellStyle name="Normal 3 37 10 6 2" xfId="31909" xr:uid="{00000000-0005-0000-0000-0000BA610000}"/>
    <cellStyle name="Normal 3 37 10 7" xfId="14412" xr:uid="{00000000-0005-0000-0000-0000BB610000}"/>
    <cellStyle name="Normal 3 37 10 7 2" xfId="31910" xr:uid="{00000000-0005-0000-0000-0000BC610000}"/>
    <cellStyle name="Normal 3 37 10 8" xfId="14413" xr:uid="{00000000-0005-0000-0000-0000BD610000}"/>
    <cellStyle name="Normal 3 37 10 8 2" xfId="31911" xr:uid="{00000000-0005-0000-0000-0000BE610000}"/>
    <cellStyle name="Normal 3 37 10 9" xfId="14414" xr:uid="{00000000-0005-0000-0000-0000BF610000}"/>
    <cellStyle name="Normal 3 37 10 9 2" xfId="31912" xr:uid="{00000000-0005-0000-0000-0000C0610000}"/>
    <cellStyle name="Normal 3 37 11" xfId="14415" xr:uid="{00000000-0005-0000-0000-0000C1610000}"/>
    <cellStyle name="Normal 3 37 11 2" xfId="31913" xr:uid="{00000000-0005-0000-0000-0000C2610000}"/>
    <cellStyle name="Normal 3 37 12" xfId="14416" xr:uid="{00000000-0005-0000-0000-0000C3610000}"/>
    <cellStyle name="Normal 3 37 12 2" xfId="31914" xr:uid="{00000000-0005-0000-0000-0000C4610000}"/>
    <cellStyle name="Normal 3 37 13" xfId="14417" xr:uid="{00000000-0005-0000-0000-0000C5610000}"/>
    <cellStyle name="Normal 3 37 13 2" xfId="31915" xr:uid="{00000000-0005-0000-0000-0000C6610000}"/>
    <cellStyle name="Normal 3 37 14" xfId="14418" xr:uid="{00000000-0005-0000-0000-0000C7610000}"/>
    <cellStyle name="Normal 3 37 14 2" xfId="31916" xr:uid="{00000000-0005-0000-0000-0000C8610000}"/>
    <cellStyle name="Normal 3 37 15" xfId="14419" xr:uid="{00000000-0005-0000-0000-0000C9610000}"/>
    <cellStyle name="Normal 3 37 15 2" xfId="31917" xr:uid="{00000000-0005-0000-0000-0000CA610000}"/>
    <cellStyle name="Normal 3 37 16" xfId="14420" xr:uid="{00000000-0005-0000-0000-0000CB610000}"/>
    <cellStyle name="Normal 3 37 16 2" xfId="31918" xr:uid="{00000000-0005-0000-0000-0000CC610000}"/>
    <cellStyle name="Normal 3 37 17" xfId="14421" xr:uid="{00000000-0005-0000-0000-0000CD610000}"/>
    <cellStyle name="Normal 3 37 17 2" xfId="31919" xr:uid="{00000000-0005-0000-0000-0000CE610000}"/>
    <cellStyle name="Normal 3 37 18" xfId="14422" xr:uid="{00000000-0005-0000-0000-0000CF610000}"/>
    <cellStyle name="Normal 3 37 18 2" xfId="31920" xr:uid="{00000000-0005-0000-0000-0000D0610000}"/>
    <cellStyle name="Normal 3 37 19" xfId="14423" xr:uid="{00000000-0005-0000-0000-0000D1610000}"/>
    <cellStyle name="Normal 3 37 19 2" xfId="31921" xr:uid="{00000000-0005-0000-0000-0000D2610000}"/>
    <cellStyle name="Normal 3 37 2" xfId="14424" xr:uid="{00000000-0005-0000-0000-0000D3610000}"/>
    <cellStyle name="Normal 3 37 2 10" xfId="14425" xr:uid="{00000000-0005-0000-0000-0000D4610000}"/>
    <cellStyle name="Normal 3 37 2 10 2" xfId="31923" xr:uid="{00000000-0005-0000-0000-0000D5610000}"/>
    <cellStyle name="Normal 3 37 2 11" xfId="14426" xr:uid="{00000000-0005-0000-0000-0000D6610000}"/>
    <cellStyle name="Normal 3 37 2 11 2" xfId="31924" xr:uid="{00000000-0005-0000-0000-0000D7610000}"/>
    <cellStyle name="Normal 3 37 2 12" xfId="14427" xr:uid="{00000000-0005-0000-0000-0000D8610000}"/>
    <cellStyle name="Normal 3 37 2 12 2" xfId="31925" xr:uid="{00000000-0005-0000-0000-0000D9610000}"/>
    <cellStyle name="Normal 3 37 2 13" xfId="14428" xr:uid="{00000000-0005-0000-0000-0000DA610000}"/>
    <cellStyle name="Normal 3 37 2 13 2" xfId="31926" xr:uid="{00000000-0005-0000-0000-0000DB610000}"/>
    <cellStyle name="Normal 3 37 2 14" xfId="14429" xr:uid="{00000000-0005-0000-0000-0000DC610000}"/>
    <cellStyle name="Normal 3 37 2 14 2" xfId="31927" xr:uid="{00000000-0005-0000-0000-0000DD610000}"/>
    <cellStyle name="Normal 3 37 2 15" xfId="14430" xr:uid="{00000000-0005-0000-0000-0000DE610000}"/>
    <cellStyle name="Normal 3 37 2 15 2" xfId="31928" xr:uid="{00000000-0005-0000-0000-0000DF610000}"/>
    <cellStyle name="Normal 3 37 2 16" xfId="31922" xr:uid="{00000000-0005-0000-0000-0000E0610000}"/>
    <cellStyle name="Normal 3 37 2 2" xfId="14431" xr:uid="{00000000-0005-0000-0000-0000E1610000}"/>
    <cellStyle name="Normal 3 37 2 2 10" xfId="14432" xr:uid="{00000000-0005-0000-0000-0000E2610000}"/>
    <cellStyle name="Normal 3 37 2 2 10 2" xfId="31930" xr:uid="{00000000-0005-0000-0000-0000E3610000}"/>
    <cellStyle name="Normal 3 37 2 2 11" xfId="14433" xr:uid="{00000000-0005-0000-0000-0000E4610000}"/>
    <cellStyle name="Normal 3 37 2 2 11 2" xfId="31931" xr:uid="{00000000-0005-0000-0000-0000E5610000}"/>
    <cellStyle name="Normal 3 37 2 2 12" xfId="14434" xr:uid="{00000000-0005-0000-0000-0000E6610000}"/>
    <cellStyle name="Normal 3 37 2 2 12 2" xfId="31932" xr:uid="{00000000-0005-0000-0000-0000E7610000}"/>
    <cellStyle name="Normal 3 37 2 2 13" xfId="14435" xr:uid="{00000000-0005-0000-0000-0000E8610000}"/>
    <cellStyle name="Normal 3 37 2 2 13 2" xfId="31933" xr:uid="{00000000-0005-0000-0000-0000E9610000}"/>
    <cellStyle name="Normal 3 37 2 2 14" xfId="14436" xr:uid="{00000000-0005-0000-0000-0000EA610000}"/>
    <cellStyle name="Normal 3 37 2 2 14 2" xfId="31934" xr:uid="{00000000-0005-0000-0000-0000EB610000}"/>
    <cellStyle name="Normal 3 37 2 2 15" xfId="31929" xr:uid="{00000000-0005-0000-0000-0000EC610000}"/>
    <cellStyle name="Normal 3 37 2 2 2" xfId="14437" xr:uid="{00000000-0005-0000-0000-0000ED610000}"/>
    <cellStyle name="Normal 3 37 2 2 2 2" xfId="31935" xr:uid="{00000000-0005-0000-0000-0000EE610000}"/>
    <cellStyle name="Normal 3 37 2 2 3" xfId="14438" xr:uid="{00000000-0005-0000-0000-0000EF610000}"/>
    <cellStyle name="Normal 3 37 2 2 3 2" xfId="31936" xr:uid="{00000000-0005-0000-0000-0000F0610000}"/>
    <cellStyle name="Normal 3 37 2 2 4" xfId="14439" xr:uid="{00000000-0005-0000-0000-0000F1610000}"/>
    <cellStyle name="Normal 3 37 2 2 4 2" xfId="31937" xr:uid="{00000000-0005-0000-0000-0000F2610000}"/>
    <cellStyle name="Normal 3 37 2 2 5" xfId="14440" xr:uid="{00000000-0005-0000-0000-0000F3610000}"/>
    <cellStyle name="Normal 3 37 2 2 5 2" xfId="31938" xr:uid="{00000000-0005-0000-0000-0000F4610000}"/>
    <cellStyle name="Normal 3 37 2 2 6" xfId="14441" xr:uid="{00000000-0005-0000-0000-0000F5610000}"/>
    <cellStyle name="Normal 3 37 2 2 6 2" xfId="31939" xr:uid="{00000000-0005-0000-0000-0000F6610000}"/>
    <cellStyle name="Normal 3 37 2 2 7" xfId="14442" xr:uid="{00000000-0005-0000-0000-0000F7610000}"/>
    <cellStyle name="Normal 3 37 2 2 7 2" xfId="31940" xr:uid="{00000000-0005-0000-0000-0000F8610000}"/>
    <cellStyle name="Normal 3 37 2 2 8" xfId="14443" xr:uid="{00000000-0005-0000-0000-0000F9610000}"/>
    <cellStyle name="Normal 3 37 2 2 8 2" xfId="31941" xr:uid="{00000000-0005-0000-0000-0000FA610000}"/>
    <cellStyle name="Normal 3 37 2 2 9" xfId="14444" xr:uid="{00000000-0005-0000-0000-0000FB610000}"/>
    <cellStyle name="Normal 3 37 2 2 9 2" xfId="31942" xr:uid="{00000000-0005-0000-0000-0000FC610000}"/>
    <cellStyle name="Normal 3 37 2 3" xfId="14445" xr:uid="{00000000-0005-0000-0000-0000FD610000}"/>
    <cellStyle name="Normal 3 37 2 3 2" xfId="31943" xr:uid="{00000000-0005-0000-0000-0000FE610000}"/>
    <cellStyle name="Normal 3 37 2 4" xfId="14446" xr:uid="{00000000-0005-0000-0000-0000FF610000}"/>
    <cellStyle name="Normal 3 37 2 4 2" xfId="31944" xr:uid="{00000000-0005-0000-0000-000000620000}"/>
    <cellStyle name="Normal 3 37 2 5" xfId="14447" xr:uid="{00000000-0005-0000-0000-000001620000}"/>
    <cellStyle name="Normal 3 37 2 5 2" xfId="31945" xr:uid="{00000000-0005-0000-0000-000002620000}"/>
    <cellStyle name="Normal 3 37 2 6" xfId="14448" xr:uid="{00000000-0005-0000-0000-000003620000}"/>
    <cellStyle name="Normal 3 37 2 6 2" xfId="31946" xr:uid="{00000000-0005-0000-0000-000004620000}"/>
    <cellStyle name="Normal 3 37 2 7" xfId="14449" xr:uid="{00000000-0005-0000-0000-000005620000}"/>
    <cellStyle name="Normal 3 37 2 7 2" xfId="31947" xr:uid="{00000000-0005-0000-0000-000006620000}"/>
    <cellStyle name="Normal 3 37 2 8" xfId="14450" xr:uid="{00000000-0005-0000-0000-000007620000}"/>
    <cellStyle name="Normal 3 37 2 8 2" xfId="31948" xr:uid="{00000000-0005-0000-0000-000008620000}"/>
    <cellStyle name="Normal 3 37 2 9" xfId="14451" xr:uid="{00000000-0005-0000-0000-000009620000}"/>
    <cellStyle name="Normal 3 37 2 9 2" xfId="31949" xr:uid="{00000000-0005-0000-0000-00000A620000}"/>
    <cellStyle name="Normal 3 37 20" xfId="14452" xr:uid="{00000000-0005-0000-0000-00000B620000}"/>
    <cellStyle name="Normal 3 37 20 2" xfId="31950" xr:uid="{00000000-0005-0000-0000-00000C620000}"/>
    <cellStyle name="Normal 3 37 21" xfId="14453" xr:uid="{00000000-0005-0000-0000-00000D620000}"/>
    <cellStyle name="Normal 3 37 21 2" xfId="31951" xr:uid="{00000000-0005-0000-0000-00000E620000}"/>
    <cellStyle name="Normal 3 37 22" xfId="14454" xr:uid="{00000000-0005-0000-0000-00000F620000}"/>
    <cellStyle name="Normal 3 37 22 2" xfId="31952" xr:uid="{00000000-0005-0000-0000-000010620000}"/>
    <cellStyle name="Normal 3 37 23" xfId="14455" xr:uid="{00000000-0005-0000-0000-000011620000}"/>
    <cellStyle name="Normal 3 37 23 2" xfId="31953" xr:uid="{00000000-0005-0000-0000-000012620000}"/>
    <cellStyle name="Normal 3 37 24" xfId="31898" xr:uid="{00000000-0005-0000-0000-000013620000}"/>
    <cellStyle name="Normal 3 37 3" xfId="14456" xr:uid="{00000000-0005-0000-0000-000014620000}"/>
    <cellStyle name="Normal 3 37 3 10" xfId="14457" xr:uid="{00000000-0005-0000-0000-000015620000}"/>
    <cellStyle name="Normal 3 37 3 10 2" xfId="31955" xr:uid="{00000000-0005-0000-0000-000016620000}"/>
    <cellStyle name="Normal 3 37 3 11" xfId="14458" xr:uid="{00000000-0005-0000-0000-000017620000}"/>
    <cellStyle name="Normal 3 37 3 11 2" xfId="31956" xr:uid="{00000000-0005-0000-0000-000018620000}"/>
    <cellStyle name="Normal 3 37 3 12" xfId="14459" xr:uid="{00000000-0005-0000-0000-000019620000}"/>
    <cellStyle name="Normal 3 37 3 12 2" xfId="31957" xr:uid="{00000000-0005-0000-0000-00001A620000}"/>
    <cellStyle name="Normal 3 37 3 13" xfId="14460" xr:uid="{00000000-0005-0000-0000-00001B620000}"/>
    <cellStyle name="Normal 3 37 3 13 2" xfId="31958" xr:uid="{00000000-0005-0000-0000-00001C620000}"/>
    <cellStyle name="Normal 3 37 3 14" xfId="14461" xr:uid="{00000000-0005-0000-0000-00001D620000}"/>
    <cellStyle name="Normal 3 37 3 14 2" xfId="31959" xr:uid="{00000000-0005-0000-0000-00001E620000}"/>
    <cellStyle name="Normal 3 37 3 15" xfId="14462" xr:uid="{00000000-0005-0000-0000-00001F620000}"/>
    <cellStyle name="Normal 3 37 3 15 2" xfId="31960" xr:uid="{00000000-0005-0000-0000-000020620000}"/>
    <cellStyle name="Normal 3 37 3 16" xfId="31954" xr:uid="{00000000-0005-0000-0000-000021620000}"/>
    <cellStyle name="Normal 3 37 3 2" xfId="14463" xr:uid="{00000000-0005-0000-0000-000022620000}"/>
    <cellStyle name="Normal 3 37 3 2 10" xfId="14464" xr:uid="{00000000-0005-0000-0000-000023620000}"/>
    <cellStyle name="Normal 3 37 3 2 10 2" xfId="31962" xr:uid="{00000000-0005-0000-0000-000024620000}"/>
    <cellStyle name="Normal 3 37 3 2 11" xfId="14465" xr:uid="{00000000-0005-0000-0000-000025620000}"/>
    <cellStyle name="Normal 3 37 3 2 11 2" xfId="31963" xr:uid="{00000000-0005-0000-0000-000026620000}"/>
    <cellStyle name="Normal 3 37 3 2 12" xfId="14466" xr:uid="{00000000-0005-0000-0000-000027620000}"/>
    <cellStyle name="Normal 3 37 3 2 12 2" xfId="31964" xr:uid="{00000000-0005-0000-0000-000028620000}"/>
    <cellStyle name="Normal 3 37 3 2 13" xfId="14467" xr:uid="{00000000-0005-0000-0000-000029620000}"/>
    <cellStyle name="Normal 3 37 3 2 13 2" xfId="31965" xr:uid="{00000000-0005-0000-0000-00002A620000}"/>
    <cellStyle name="Normal 3 37 3 2 14" xfId="14468" xr:uid="{00000000-0005-0000-0000-00002B620000}"/>
    <cellStyle name="Normal 3 37 3 2 14 2" xfId="31966" xr:uid="{00000000-0005-0000-0000-00002C620000}"/>
    <cellStyle name="Normal 3 37 3 2 15" xfId="31961" xr:uid="{00000000-0005-0000-0000-00002D620000}"/>
    <cellStyle name="Normal 3 37 3 2 2" xfId="14469" xr:uid="{00000000-0005-0000-0000-00002E620000}"/>
    <cellStyle name="Normal 3 37 3 2 2 2" xfId="31967" xr:uid="{00000000-0005-0000-0000-00002F620000}"/>
    <cellStyle name="Normal 3 37 3 2 3" xfId="14470" xr:uid="{00000000-0005-0000-0000-000030620000}"/>
    <cellStyle name="Normal 3 37 3 2 3 2" xfId="31968" xr:uid="{00000000-0005-0000-0000-000031620000}"/>
    <cellStyle name="Normal 3 37 3 2 4" xfId="14471" xr:uid="{00000000-0005-0000-0000-000032620000}"/>
    <cellStyle name="Normal 3 37 3 2 4 2" xfId="31969" xr:uid="{00000000-0005-0000-0000-000033620000}"/>
    <cellStyle name="Normal 3 37 3 2 5" xfId="14472" xr:uid="{00000000-0005-0000-0000-000034620000}"/>
    <cellStyle name="Normal 3 37 3 2 5 2" xfId="31970" xr:uid="{00000000-0005-0000-0000-000035620000}"/>
    <cellStyle name="Normal 3 37 3 2 6" xfId="14473" xr:uid="{00000000-0005-0000-0000-000036620000}"/>
    <cellStyle name="Normal 3 37 3 2 6 2" xfId="31971" xr:uid="{00000000-0005-0000-0000-000037620000}"/>
    <cellStyle name="Normal 3 37 3 2 7" xfId="14474" xr:uid="{00000000-0005-0000-0000-000038620000}"/>
    <cellStyle name="Normal 3 37 3 2 7 2" xfId="31972" xr:uid="{00000000-0005-0000-0000-000039620000}"/>
    <cellStyle name="Normal 3 37 3 2 8" xfId="14475" xr:uid="{00000000-0005-0000-0000-00003A620000}"/>
    <cellStyle name="Normal 3 37 3 2 8 2" xfId="31973" xr:uid="{00000000-0005-0000-0000-00003B620000}"/>
    <cellStyle name="Normal 3 37 3 2 9" xfId="14476" xr:uid="{00000000-0005-0000-0000-00003C620000}"/>
    <cellStyle name="Normal 3 37 3 2 9 2" xfId="31974" xr:uid="{00000000-0005-0000-0000-00003D620000}"/>
    <cellStyle name="Normal 3 37 3 3" xfId="14477" xr:uid="{00000000-0005-0000-0000-00003E620000}"/>
    <cellStyle name="Normal 3 37 3 3 2" xfId="31975" xr:uid="{00000000-0005-0000-0000-00003F620000}"/>
    <cellStyle name="Normal 3 37 3 4" xfId="14478" xr:uid="{00000000-0005-0000-0000-000040620000}"/>
    <cellStyle name="Normal 3 37 3 4 2" xfId="31976" xr:uid="{00000000-0005-0000-0000-000041620000}"/>
    <cellStyle name="Normal 3 37 3 5" xfId="14479" xr:uid="{00000000-0005-0000-0000-000042620000}"/>
    <cellStyle name="Normal 3 37 3 5 2" xfId="31977" xr:uid="{00000000-0005-0000-0000-000043620000}"/>
    <cellStyle name="Normal 3 37 3 6" xfId="14480" xr:uid="{00000000-0005-0000-0000-000044620000}"/>
    <cellStyle name="Normal 3 37 3 6 2" xfId="31978" xr:uid="{00000000-0005-0000-0000-000045620000}"/>
    <cellStyle name="Normal 3 37 3 7" xfId="14481" xr:uid="{00000000-0005-0000-0000-000046620000}"/>
    <cellStyle name="Normal 3 37 3 7 2" xfId="31979" xr:uid="{00000000-0005-0000-0000-000047620000}"/>
    <cellStyle name="Normal 3 37 3 8" xfId="14482" xr:uid="{00000000-0005-0000-0000-000048620000}"/>
    <cellStyle name="Normal 3 37 3 8 2" xfId="31980" xr:uid="{00000000-0005-0000-0000-000049620000}"/>
    <cellStyle name="Normal 3 37 3 9" xfId="14483" xr:uid="{00000000-0005-0000-0000-00004A620000}"/>
    <cellStyle name="Normal 3 37 3 9 2" xfId="31981" xr:uid="{00000000-0005-0000-0000-00004B620000}"/>
    <cellStyle name="Normal 3 37 4" xfId="14484" xr:uid="{00000000-0005-0000-0000-00004C620000}"/>
    <cellStyle name="Normal 3 37 4 10" xfId="14485" xr:uid="{00000000-0005-0000-0000-00004D620000}"/>
    <cellStyle name="Normal 3 37 4 10 2" xfId="31983" xr:uid="{00000000-0005-0000-0000-00004E620000}"/>
    <cellStyle name="Normal 3 37 4 11" xfId="14486" xr:uid="{00000000-0005-0000-0000-00004F620000}"/>
    <cellStyle name="Normal 3 37 4 11 2" xfId="31984" xr:uid="{00000000-0005-0000-0000-000050620000}"/>
    <cellStyle name="Normal 3 37 4 12" xfId="14487" xr:uid="{00000000-0005-0000-0000-000051620000}"/>
    <cellStyle name="Normal 3 37 4 12 2" xfId="31985" xr:uid="{00000000-0005-0000-0000-000052620000}"/>
    <cellStyle name="Normal 3 37 4 13" xfId="14488" xr:uid="{00000000-0005-0000-0000-000053620000}"/>
    <cellStyle name="Normal 3 37 4 13 2" xfId="31986" xr:uid="{00000000-0005-0000-0000-000054620000}"/>
    <cellStyle name="Normal 3 37 4 14" xfId="14489" xr:uid="{00000000-0005-0000-0000-000055620000}"/>
    <cellStyle name="Normal 3 37 4 14 2" xfId="31987" xr:uid="{00000000-0005-0000-0000-000056620000}"/>
    <cellStyle name="Normal 3 37 4 15" xfId="14490" xr:uid="{00000000-0005-0000-0000-000057620000}"/>
    <cellStyle name="Normal 3 37 4 15 2" xfId="31988" xr:uid="{00000000-0005-0000-0000-000058620000}"/>
    <cellStyle name="Normal 3 37 4 16" xfId="31982" xr:uid="{00000000-0005-0000-0000-000059620000}"/>
    <cellStyle name="Normal 3 37 4 2" xfId="14491" xr:uid="{00000000-0005-0000-0000-00005A620000}"/>
    <cellStyle name="Normal 3 37 4 2 10" xfId="14492" xr:uid="{00000000-0005-0000-0000-00005B620000}"/>
    <cellStyle name="Normal 3 37 4 2 10 2" xfId="31990" xr:uid="{00000000-0005-0000-0000-00005C620000}"/>
    <cellStyle name="Normal 3 37 4 2 11" xfId="14493" xr:uid="{00000000-0005-0000-0000-00005D620000}"/>
    <cellStyle name="Normal 3 37 4 2 11 2" xfId="31991" xr:uid="{00000000-0005-0000-0000-00005E620000}"/>
    <cellStyle name="Normal 3 37 4 2 12" xfId="14494" xr:uid="{00000000-0005-0000-0000-00005F620000}"/>
    <cellStyle name="Normal 3 37 4 2 12 2" xfId="31992" xr:uid="{00000000-0005-0000-0000-000060620000}"/>
    <cellStyle name="Normal 3 37 4 2 13" xfId="14495" xr:uid="{00000000-0005-0000-0000-000061620000}"/>
    <cellStyle name="Normal 3 37 4 2 13 2" xfId="31993" xr:uid="{00000000-0005-0000-0000-000062620000}"/>
    <cellStyle name="Normal 3 37 4 2 14" xfId="14496" xr:uid="{00000000-0005-0000-0000-000063620000}"/>
    <cellStyle name="Normal 3 37 4 2 14 2" xfId="31994" xr:uid="{00000000-0005-0000-0000-000064620000}"/>
    <cellStyle name="Normal 3 37 4 2 15" xfId="31989" xr:uid="{00000000-0005-0000-0000-000065620000}"/>
    <cellStyle name="Normal 3 37 4 2 2" xfId="14497" xr:uid="{00000000-0005-0000-0000-000066620000}"/>
    <cellStyle name="Normal 3 37 4 2 2 2" xfId="31995" xr:uid="{00000000-0005-0000-0000-000067620000}"/>
    <cellStyle name="Normal 3 37 4 2 3" xfId="14498" xr:uid="{00000000-0005-0000-0000-000068620000}"/>
    <cellStyle name="Normal 3 37 4 2 3 2" xfId="31996" xr:uid="{00000000-0005-0000-0000-000069620000}"/>
    <cellStyle name="Normal 3 37 4 2 4" xfId="14499" xr:uid="{00000000-0005-0000-0000-00006A620000}"/>
    <cellStyle name="Normal 3 37 4 2 4 2" xfId="31997" xr:uid="{00000000-0005-0000-0000-00006B620000}"/>
    <cellStyle name="Normal 3 37 4 2 5" xfId="14500" xr:uid="{00000000-0005-0000-0000-00006C620000}"/>
    <cellStyle name="Normal 3 37 4 2 5 2" xfId="31998" xr:uid="{00000000-0005-0000-0000-00006D620000}"/>
    <cellStyle name="Normal 3 37 4 2 6" xfId="14501" xr:uid="{00000000-0005-0000-0000-00006E620000}"/>
    <cellStyle name="Normal 3 37 4 2 6 2" xfId="31999" xr:uid="{00000000-0005-0000-0000-00006F620000}"/>
    <cellStyle name="Normal 3 37 4 2 7" xfId="14502" xr:uid="{00000000-0005-0000-0000-000070620000}"/>
    <cellStyle name="Normal 3 37 4 2 7 2" xfId="32000" xr:uid="{00000000-0005-0000-0000-000071620000}"/>
    <cellStyle name="Normal 3 37 4 2 8" xfId="14503" xr:uid="{00000000-0005-0000-0000-000072620000}"/>
    <cellStyle name="Normal 3 37 4 2 8 2" xfId="32001" xr:uid="{00000000-0005-0000-0000-000073620000}"/>
    <cellStyle name="Normal 3 37 4 2 9" xfId="14504" xr:uid="{00000000-0005-0000-0000-000074620000}"/>
    <cellStyle name="Normal 3 37 4 2 9 2" xfId="32002" xr:uid="{00000000-0005-0000-0000-000075620000}"/>
    <cellStyle name="Normal 3 37 4 3" xfId="14505" xr:uid="{00000000-0005-0000-0000-000076620000}"/>
    <cellStyle name="Normal 3 37 4 3 2" xfId="32003" xr:uid="{00000000-0005-0000-0000-000077620000}"/>
    <cellStyle name="Normal 3 37 4 4" xfId="14506" xr:uid="{00000000-0005-0000-0000-000078620000}"/>
    <cellStyle name="Normal 3 37 4 4 2" xfId="32004" xr:uid="{00000000-0005-0000-0000-000079620000}"/>
    <cellStyle name="Normal 3 37 4 5" xfId="14507" xr:uid="{00000000-0005-0000-0000-00007A620000}"/>
    <cellStyle name="Normal 3 37 4 5 2" xfId="32005" xr:uid="{00000000-0005-0000-0000-00007B620000}"/>
    <cellStyle name="Normal 3 37 4 6" xfId="14508" xr:uid="{00000000-0005-0000-0000-00007C620000}"/>
    <cellStyle name="Normal 3 37 4 6 2" xfId="32006" xr:uid="{00000000-0005-0000-0000-00007D620000}"/>
    <cellStyle name="Normal 3 37 4 7" xfId="14509" xr:uid="{00000000-0005-0000-0000-00007E620000}"/>
    <cellStyle name="Normal 3 37 4 7 2" xfId="32007" xr:uid="{00000000-0005-0000-0000-00007F620000}"/>
    <cellStyle name="Normal 3 37 4 8" xfId="14510" xr:uid="{00000000-0005-0000-0000-000080620000}"/>
    <cellStyle name="Normal 3 37 4 8 2" xfId="32008" xr:uid="{00000000-0005-0000-0000-000081620000}"/>
    <cellStyle name="Normal 3 37 4 9" xfId="14511" xr:uid="{00000000-0005-0000-0000-000082620000}"/>
    <cellStyle name="Normal 3 37 4 9 2" xfId="32009" xr:uid="{00000000-0005-0000-0000-000083620000}"/>
    <cellStyle name="Normal 3 37 5" xfId="14512" xr:uid="{00000000-0005-0000-0000-000084620000}"/>
    <cellStyle name="Normal 3 37 5 10" xfId="14513" xr:uid="{00000000-0005-0000-0000-000085620000}"/>
    <cellStyle name="Normal 3 37 5 10 2" xfId="32011" xr:uid="{00000000-0005-0000-0000-000086620000}"/>
    <cellStyle name="Normal 3 37 5 11" xfId="14514" xr:uid="{00000000-0005-0000-0000-000087620000}"/>
    <cellStyle name="Normal 3 37 5 11 2" xfId="32012" xr:uid="{00000000-0005-0000-0000-000088620000}"/>
    <cellStyle name="Normal 3 37 5 12" xfId="14515" xr:uid="{00000000-0005-0000-0000-000089620000}"/>
    <cellStyle name="Normal 3 37 5 12 2" xfId="32013" xr:uid="{00000000-0005-0000-0000-00008A620000}"/>
    <cellStyle name="Normal 3 37 5 13" xfId="14516" xr:uid="{00000000-0005-0000-0000-00008B620000}"/>
    <cellStyle name="Normal 3 37 5 13 2" xfId="32014" xr:uid="{00000000-0005-0000-0000-00008C620000}"/>
    <cellStyle name="Normal 3 37 5 14" xfId="14517" xr:uid="{00000000-0005-0000-0000-00008D620000}"/>
    <cellStyle name="Normal 3 37 5 14 2" xfId="32015" xr:uid="{00000000-0005-0000-0000-00008E620000}"/>
    <cellStyle name="Normal 3 37 5 15" xfId="32010" xr:uid="{00000000-0005-0000-0000-00008F620000}"/>
    <cellStyle name="Normal 3 37 5 2" xfId="14518" xr:uid="{00000000-0005-0000-0000-000090620000}"/>
    <cellStyle name="Normal 3 37 5 2 2" xfId="32016" xr:uid="{00000000-0005-0000-0000-000091620000}"/>
    <cellStyle name="Normal 3 37 5 3" xfId="14519" xr:uid="{00000000-0005-0000-0000-000092620000}"/>
    <cellStyle name="Normal 3 37 5 3 2" xfId="32017" xr:uid="{00000000-0005-0000-0000-000093620000}"/>
    <cellStyle name="Normal 3 37 5 4" xfId="14520" xr:uid="{00000000-0005-0000-0000-000094620000}"/>
    <cellStyle name="Normal 3 37 5 4 2" xfId="32018" xr:uid="{00000000-0005-0000-0000-000095620000}"/>
    <cellStyle name="Normal 3 37 5 5" xfId="14521" xr:uid="{00000000-0005-0000-0000-000096620000}"/>
    <cellStyle name="Normal 3 37 5 5 2" xfId="32019" xr:uid="{00000000-0005-0000-0000-000097620000}"/>
    <cellStyle name="Normal 3 37 5 6" xfId="14522" xr:uid="{00000000-0005-0000-0000-000098620000}"/>
    <cellStyle name="Normal 3 37 5 6 2" xfId="32020" xr:uid="{00000000-0005-0000-0000-000099620000}"/>
    <cellStyle name="Normal 3 37 5 7" xfId="14523" xr:uid="{00000000-0005-0000-0000-00009A620000}"/>
    <cellStyle name="Normal 3 37 5 7 2" xfId="32021" xr:uid="{00000000-0005-0000-0000-00009B620000}"/>
    <cellStyle name="Normal 3 37 5 8" xfId="14524" xr:uid="{00000000-0005-0000-0000-00009C620000}"/>
    <cellStyle name="Normal 3 37 5 8 2" xfId="32022" xr:uid="{00000000-0005-0000-0000-00009D620000}"/>
    <cellStyle name="Normal 3 37 5 9" xfId="14525" xr:uid="{00000000-0005-0000-0000-00009E620000}"/>
    <cellStyle name="Normal 3 37 5 9 2" xfId="32023" xr:uid="{00000000-0005-0000-0000-00009F620000}"/>
    <cellStyle name="Normal 3 37 6" xfId="14526" xr:uid="{00000000-0005-0000-0000-0000A0620000}"/>
    <cellStyle name="Normal 3 37 6 10" xfId="14527" xr:uid="{00000000-0005-0000-0000-0000A1620000}"/>
    <cellStyle name="Normal 3 37 6 10 2" xfId="32025" xr:uid="{00000000-0005-0000-0000-0000A2620000}"/>
    <cellStyle name="Normal 3 37 6 11" xfId="14528" xr:uid="{00000000-0005-0000-0000-0000A3620000}"/>
    <cellStyle name="Normal 3 37 6 11 2" xfId="32026" xr:uid="{00000000-0005-0000-0000-0000A4620000}"/>
    <cellStyle name="Normal 3 37 6 12" xfId="14529" xr:uid="{00000000-0005-0000-0000-0000A5620000}"/>
    <cellStyle name="Normal 3 37 6 12 2" xfId="32027" xr:uid="{00000000-0005-0000-0000-0000A6620000}"/>
    <cellStyle name="Normal 3 37 6 13" xfId="14530" xr:uid="{00000000-0005-0000-0000-0000A7620000}"/>
    <cellStyle name="Normal 3 37 6 13 2" xfId="32028" xr:uid="{00000000-0005-0000-0000-0000A8620000}"/>
    <cellStyle name="Normal 3 37 6 14" xfId="14531" xr:uid="{00000000-0005-0000-0000-0000A9620000}"/>
    <cellStyle name="Normal 3 37 6 14 2" xfId="32029" xr:uid="{00000000-0005-0000-0000-0000AA620000}"/>
    <cellStyle name="Normal 3 37 6 15" xfId="32024" xr:uid="{00000000-0005-0000-0000-0000AB620000}"/>
    <cellStyle name="Normal 3 37 6 2" xfId="14532" xr:uid="{00000000-0005-0000-0000-0000AC620000}"/>
    <cellStyle name="Normal 3 37 6 2 2" xfId="32030" xr:uid="{00000000-0005-0000-0000-0000AD620000}"/>
    <cellStyle name="Normal 3 37 6 3" xfId="14533" xr:uid="{00000000-0005-0000-0000-0000AE620000}"/>
    <cellStyle name="Normal 3 37 6 3 2" xfId="32031" xr:uid="{00000000-0005-0000-0000-0000AF620000}"/>
    <cellStyle name="Normal 3 37 6 4" xfId="14534" xr:uid="{00000000-0005-0000-0000-0000B0620000}"/>
    <cellStyle name="Normal 3 37 6 4 2" xfId="32032" xr:uid="{00000000-0005-0000-0000-0000B1620000}"/>
    <cellStyle name="Normal 3 37 6 5" xfId="14535" xr:uid="{00000000-0005-0000-0000-0000B2620000}"/>
    <cellStyle name="Normal 3 37 6 5 2" xfId="32033" xr:uid="{00000000-0005-0000-0000-0000B3620000}"/>
    <cellStyle name="Normal 3 37 6 6" xfId="14536" xr:uid="{00000000-0005-0000-0000-0000B4620000}"/>
    <cellStyle name="Normal 3 37 6 6 2" xfId="32034" xr:uid="{00000000-0005-0000-0000-0000B5620000}"/>
    <cellStyle name="Normal 3 37 6 7" xfId="14537" xr:uid="{00000000-0005-0000-0000-0000B6620000}"/>
    <cellStyle name="Normal 3 37 6 7 2" xfId="32035" xr:uid="{00000000-0005-0000-0000-0000B7620000}"/>
    <cellStyle name="Normal 3 37 6 8" xfId="14538" xr:uid="{00000000-0005-0000-0000-0000B8620000}"/>
    <cellStyle name="Normal 3 37 6 8 2" xfId="32036" xr:uid="{00000000-0005-0000-0000-0000B9620000}"/>
    <cellStyle name="Normal 3 37 6 9" xfId="14539" xr:uid="{00000000-0005-0000-0000-0000BA620000}"/>
    <cellStyle name="Normal 3 37 6 9 2" xfId="32037" xr:uid="{00000000-0005-0000-0000-0000BB620000}"/>
    <cellStyle name="Normal 3 37 7" xfId="14540" xr:uid="{00000000-0005-0000-0000-0000BC620000}"/>
    <cellStyle name="Normal 3 37 7 10" xfId="14541" xr:uid="{00000000-0005-0000-0000-0000BD620000}"/>
    <cellStyle name="Normal 3 37 7 10 2" xfId="32039" xr:uid="{00000000-0005-0000-0000-0000BE620000}"/>
    <cellStyle name="Normal 3 37 7 11" xfId="14542" xr:uid="{00000000-0005-0000-0000-0000BF620000}"/>
    <cellStyle name="Normal 3 37 7 11 2" xfId="32040" xr:uid="{00000000-0005-0000-0000-0000C0620000}"/>
    <cellStyle name="Normal 3 37 7 12" xfId="14543" xr:uid="{00000000-0005-0000-0000-0000C1620000}"/>
    <cellStyle name="Normal 3 37 7 12 2" xfId="32041" xr:uid="{00000000-0005-0000-0000-0000C2620000}"/>
    <cellStyle name="Normal 3 37 7 13" xfId="14544" xr:uid="{00000000-0005-0000-0000-0000C3620000}"/>
    <cellStyle name="Normal 3 37 7 13 2" xfId="32042" xr:uid="{00000000-0005-0000-0000-0000C4620000}"/>
    <cellStyle name="Normal 3 37 7 14" xfId="14545" xr:uid="{00000000-0005-0000-0000-0000C5620000}"/>
    <cellStyle name="Normal 3 37 7 14 2" xfId="32043" xr:uid="{00000000-0005-0000-0000-0000C6620000}"/>
    <cellStyle name="Normal 3 37 7 15" xfId="32038" xr:uid="{00000000-0005-0000-0000-0000C7620000}"/>
    <cellStyle name="Normal 3 37 7 2" xfId="14546" xr:uid="{00000000-0005-0000-0000-0000C8620000}"/>
    <cellStyle name="Normal 3 37 7 2 2" xfId="32044" xr:uid="{00000000-0005-0000-0000-0000C9620000}"/>
    <cellStyle name="Normal 3 37 7 3" xfId="14547" xr:uid="{00000000-0005-0000-0000-0000CA620000}"/>
    <cellStyle name="Normal 3 37 7 3 2" xfId="32045" xr:uid="{00000000-0005-0000-0000-0000CB620000}"/>
    <cellStyle name="Normal 3 37 7 4" xfId="14548" xr:uid="{00000000-0005-0000-0000-0000CC620000}"/>
    <cellStyle name="Normal 3 37 7 4 2" xfId="32046" xr:uid="{00000000-0005-0000-0000-0000CD620000}"/>
    <cellStyle name="Normal 3 37 7 5" xfId="14549" xr:uid="{00000000-0005-0000-0000-0000CE620000}"/>
    <cellStyle name="Normal 3 37 7 5 2" xfId="32047" xr:uid="{00000000-0005-0000-0000-0000CF620000}"/>
    <cellStyle name="Normal 3 37 7 6" xfId="14550" xr:uid="{00000000-0005-0000-0000-0000D0620000}"/>
    <cellStyle name="Normal 3 37 7 6 2" xfId="32048" xr:uid="{00000000-0005-0000-0000-0000D1620000}"/>
    <cellStyle name="Normal 3 37 7 7" xfId="14551" xr:uid="{00000000-0005-0000-0000-0000D2620000}"/>
    <cellStyle name="Normal 3 37 7 7 2" xfId="32049" xr:uid="{00000000-0005-0000-0000-0000D3620000}"/>
    <cellStyle name="Normal 3 37 7 8" xfId="14552" xr:uid="{00000000-0005-0000-0000-0000D4620000}"/>
    <cellStyle name="Normal 3 37 7 8 2" xfId="32050" xr:uid="{00000000-0005-0000-0000-0000D5620000}"/>
    <cellStyle name="Normal 3 37 7 9" xfId="14553" xr:uid="{00000000-0005-0000-0000-0000D6620000}"/>
    <cellStyle name="Normal 3 37 7 9 2" xfId="32051" xr:uid="{00000000-0005-0000-0000-0000D7620000}"/>
    <cellStyle name="Normal 3 37 8" xfId="14554" xr:uid="{00000000-0005-0000-0000-0000D8620000}"/>
    <cellStyle name="Normal 3 37 8 10" xfId="14555" xr:uid="{00000000-0005-0000-0000-0000D9620000}"/>
    <cellStyle name="Normal 3 37 8 10 2" xfId="32053" xr:uid="{00000000-0005-0000-0000-0000DA620000}"/>
    <cellStyle name="Normal 3 37 8 11" xfId="14556" xr:uid="{00000000-0005-0000-0000-0000DB620000}"/>
    <cellStyle name="Normal 3 37 8 11 2" xfId="32054" xr:uid="{00000000-0005-0000-0000-0000DC620000}"/>
    <cellStyle name="Normal 3 37 8 12" xfId="14557" xr:uid="{00000000-0005-0000-0000-0000DD620000}"/>
    <cellStyle name="Normal 3 37 8 12 2" xfId="32055" xr:uid="{00000000-0005-0000-0000-0000DE620000}"/>
    <cellStyle name="Normal 3 37 8 13" xfId="14558" xr:uid="{00000000-0005-0000-0000-0000DF620000}"/>
    <cellStyle name="Normal 3 37 8 13 2" xfId="32056" xr:uid="{00000000-0005-0000-0000-0000E0620000}"/>
    <cellStyle name="Normal 3 37 8 14" xfId="14559" xr:uid="{00000000-0005-0000-0000-0000E1620000}"/>
    <cellStyle name="Normal 3 37 8 14 2" xfId="32057" xr:uid="{00000000-0005-0000-0000-0000E2620000}"/>
    <cellStyle name="Normal 3 37 8 15" xfId="32052" xr:uid="{00000000-0005-0000-0000-0000E3620000}"/>
    <cellStyle name="Normal 3 37 8 2" xfId="14560" xr:uid="{00000000-0005-0000-0000-0000E4620000}"/>
    <cellStyle name="Normal 3 37 8 2 2" xfId="32058" xr:uid="{00000000-0005-0000-0000-0000E5620000}"/>
    <cellStyle name="Normal 3 37 8 3" xfId="14561" xr:uid="{00000000-0005-0000-0000-0000E6620000}"/>
    <cellStyle name="Normal 3 37 8 3 2" xfId="32059" xr:uid="{00000000-0005-0000-0000-0000E7620000}"/>
    <cellStyle name="Normal 3 37 8 4" xfId="14562" xr:uid="{00000000-0005-0000-0000-0000E8620000}"/>
    <cellStyle name="Normal 3 37 8 4 2" xfId="32060" xr:uid="{00000000-0005-0000-0000-0000E9620000}"/>
    <cellStyle name="Normal 3 37 8 5" xfId="14563" xr:uid="{00000000-0005-0000-0000-0000EA620000}"/>
    <cellStyle name="Normal 3 37 8 5 2" xfId="32061" xr:uid="{00000000-0005-0000-0000-0000EB620000}"/>
    <cellStyle name="Normal 3 37 8 6" xfId="14564" xr:uid="{00000000-0005-0000-0000-0000EC620000}"/>
    <cellStyle name="Normal 3 37 8 6 2" xfId="32062" xr:uid="{00000000-0005-0000-0000-0000ED620000}"/>
    <cellStyle name="Normal 3 37 8 7" xfId="14565" xr:uid="{00000000-0005-0000-0000-0000EE620000}"/>
    <cellStyle name="Normal 3 37 8 7 2" xfId="32063" xr:uid="{00000000-0005-0000-0000-0000EF620000}"/>
    <cellStyle name="Normal 3 37 8 8" xfId="14566" xr:uid="{00000000-0005-0000-0000-0000F0620000}"/>
    <cellStyle name="Normal 3 37 8 8 2" xfId="32064" xr:uid="{00000000-0005-0000-0000-0000F1620000}"/>
    <cellStyle name="Normal 3 37 8 9" xfId="14567" xr:uid="{00000000-0005-0000-0000-0000F2620000}"/>
    <cellStyle name="Normal 3 37 8 9 2" xfId="32065" xr:uid="{00000000-0005-0000-0000-0000F3620000}"/>
    <cellStyle name="Normal 3 37 9" xfId="14568" xr:uid="{00000000-0005-0000-0000-0000F4620000}"/>
    <cellStyle name="Normal 3 37 9 10" xfId="14569" xr:uid="{00000000-0005-0000-0000-0000F5620000}"/>
    <cellStyle name="Normal 3 37 9 10 2" xfId="32067" xr:uid="{00000000-0005-0000-0000-0000F6620000}"/>
    <cellStyle name="Normal 3 37 9 11" xfId="14570" xr:uid="{00000000-0005-0000-0000-0000F7620000}"/>
    <cellStyle name="Normal 3 37 9 11 2" xfId="32068" xr:uid="{00000000-0005-0000-0000-0000F8620000}"/>
    <cellStyle name="Normal 3 37 9 12" xfId="14571" xr:uid="{00000000-0005-0000-0000-0000F9620000}"/>
    <cellStyle name="Normal 3 37 9 12 2" xfId="32069" xr:uid="{00000000-0005-0000-0000-0000FA620000}"/>
    <cellStyle name="Normal 3 37 9 13" xfId="14572" xr:uid="{00000000-0005-0000-0000-0000FB620000}"/>
    <cellStyle name="Normal 3 37 9 13 2" xfId="32070" xr:uid="{00000000-0005-0000-0000-0000FC620000}"/>
    <cellStyle name="Normal 3 37 9 14" xfId="14573" xr:uid="{00000000-0005-0000-0000-0000FD620000}"/>
    <cellStyle name="Normal 3 37 9 14 2" xfId="32071" xr:uid="{00000000-0005-0000-0000-0000FE620000}"/>
    <cellStyle name="Normal 3 37 9 15" xfId="32066" xr:uid="{00000000-0005-0000-0000-0000FF620000}"/>
    <cellStyle name="Normal 3 37 9 2" xfId="14574" xr:uid="{00000000-0005-0000-0000-000000630000}"/>
    <cellStyle name="Normal 3 37 9 2 2" xfId="32072" xr:uid="{00000000-0005-0000-0000-000001630000}"/>
    <cellStyle name="Normal 3 37 9 3" xfId="14575" xr:uid="{00000000-0005-0000-0000-000002630000}"/>
    <cellStyle name="Normal 3 37 9 3 2" xfId="32073" xr:uid="{00000000-0005-0000-0000-000003630000}"/>
    <cellStyle name="Normal 3 37 9 4" xfId="14576" xr:uid="{00000000-0005-0000-0000-000004630000}"/>
    <cellStyle name="Normal 3 37 9 4 2" xfId="32074" xr:uid="{00000000-0005-0000-0000-000005630000}"/>
    <cellStyle name="Normal 3 37 9 5" xfId="14577" xr:uid="{00000000-0005-0000-0000-000006630000}"/>
    <cellStyle name="Normal 3 37 9 5 2" xfId="32075" xr:uid="{00000000-0005-0000-0000-000007630000}"/>
    <cellStyle name="Normal 3 37 9 6" xfId="14578" xr:uid="{00000000-0005-0000-0000-000008630000}"/>
    <cellStyle name="Normal 3 37 9 6 2" xfId="32076" xr:uid="{00000000-0005-0000-0000-000009630000}"/>
    <cellStyle name="Normal 3 37 9 7" xfId="14579" xr:uid="{00000000-0005-0000-0000-00000A630000}"/>
    <cellStyle name="Normal 3 37 9 7 2" xfId="32077" xr:uid="{00000000-0005-0000-0000-00000B630000}"/>
    <cellStyle name="Normal 3 37 9 8" xfId="14580" xr:uid="{00000000-0005-0000-0000-00000C630000}"/>
    <cellStyle name="Normal 3 37 9 8 2" xfId="32078" xr:uid="{00000000-0005-0000-0000-00000D630000}"/>
    <cellStyle name="Normal 3 37 9 9" xfId="14581" xr:uid="{00000000-0005-0000-0000-00000E630000}"/>
    <cellStyle name="Normal 3 37 9 9 2" xfId="32079" xr:uid="{00000000-0005-0000-0000-00000F630000}"/>
    <cellStyle name="Normal 3 38" xfId="14582" xr:uid="{00000000-0005-0000-0000-000010630000}"/>
    <cellStyle name="Normal 3 38 10" xfId="14583" xr:uid="{00000000-0005-0000-0000-000011630000}"/>
    <cellStyle name="Normal 3 38 10 10" xfId="14584" xr:uid="{00000000-0005-0000-0000-000012630000}"/>
    <cellStyle name="Normal 3 38 10 10 2" xfId="32082" xr:uid="{00000000-0005-0000-0000-000013630000}"/>
    <cellStyle name="Normal 3 38 10 11" xfId="14585" xr:uid="{00000000-0005-0000-0000-000014630000}"/>
    <cellStyle name="Normal 3 38 10 11 2" xfId="32083" xr:uid="{00000000-0005-0000-0000-000015630000}"/>
    <cellStyle name="Normal 3 38 10 12" xfId="14586" xr:uid="{00000000-0005-0000-0000-000016630000}"/>
    <cellStyle name="Normal 3 38 10 12 2" xfId="32084" xr:uid="{00000000-0005-0000-0000-000017630000}"/>
    <cellStyle name="Normal 3 38 10 13" xfId="14587" xr:uid="{00000000-0005-0000-0000-000018630000}"/>
    <cellStyle name="Normal 3 38 10 13 2" xfId="32085" xr:uid="{00000000-0005-0000-0000-000019630000}"/>
    <cellStyle name="Normal 3 38 10 14" xfId="14588" xr:uid="{00000000-0005-0000-0000-00001A630000}"/>
    <cellStyle name="Normal 3 38 10 14 2" xfId="32086" xr:uid="{00000000-0005-0000-0000-00001B630000}"/>
    <cellStyle name="Normal 3 38 10 15" xfId="32081" xr:uid="{00000000-0005-0000-0000-00001C630000}"/>
    <cellStyle name="Normal 3 38 10 2" xfId="14589" xr:uid="{00000000-0005-0000-0000-00001D630000}"/>
    <cellStyle name="Normal 3 38 10 2 2" xfId="32087" xr:uid="{00000000-0005-0000-0000-00001E630000}"/>
    <cellStyle name="Normal 3 38 10 3" xfId="14590" xr:uid="{00000000-0005-0000-0000-00001F630000}"/>
    <cellStyle name="Normal 3 38 10 3 2" xfId="32088" xr:uid="{00000000-0005-0000-0000-000020630000}"/>
    <cellStyle name="Normal 3 38 10 4" xfId="14591" xr:uid="{00000000-0005-0000-0000-000021630000}"/>
    <cellStyle name="Normal 3 38 10 4 2" xfId="32089" xr:uid="{00000000-0005-0000-0000-000022630000}"/>
    <cellStyle name="Normal 3 38 10 5" xfId="14592" xr:uid="{00000000-0005-0000-0000-000023630000}"/>
    <cellStyle name="Normal 3 38 10 5 2" xfId="32090" xr:uid="{00000000-0005-0000-0000-000024630000}"/>
    <cellStyle name="Normal 3 38 10 6" xfId="14593" xr:uid="{00000000-0005-0000-0000-000025630000}"/>
    <cellStyle name="Normal 3 38 10 6 2" xfId="32091" xr:uid="{00000000-0005-0000-0000-000026630000}"/>
    <cellStyle name="Normal 3 38 10 7" xfId="14594" xr:uid="{00000000-0005-0000-0000-000027630000}"/>
    <cellStyle name="Normal 3 38 10 7 2" xfId="32092" xr:uid="{00000000-0005-0000-0000-000028630000}"/>
    <cellStyle name="Normal 3 38 10 8" xfId="14595" xr:uid="{00000000-0005-0000-0000-000029630000}"/>
    <cellStyle name="Normal 3 38 10 8 2" xfId="32093" xr:uid="{00000000-0005-0000-0000-00002A630000}"/>
    <cellStyle name="Normal 3 38 10 9" xfId="14596" xr:uid="{00000000-0005-0000-0000-00002B630000}"/>
    <cellStyle name="Normal 3 38 10 9 2" xfId="32094" xr:uid="{00000000-0005-0000-0000-00002C630000}"/>
    <cellStyle name="Normal 3 38 11" xfId="14597" xr:uid="{00000000-0005-0000-0000-00002D630000}"/>
    <cellStyle name="Normal 3 38 11 2" xfId="32095" xr:uid="{00000000-0005-0000-0000-00002E630000}"/>
    <cellStyle name="Normal 3 38 12" xfId="14598" xr:uid="{00000000-0005-0000-0000-00002F630000}"/>
    <cellStyle name="Normal 3 38 12 2" xfId="32096" xr:uid="{00000000-0005-0000-0000-000030630000}"/>
    <cellStyle name="Normal 3 38 13" xfId="14599" xr:uid="{00000000-0005-0000-0000-000031630000}"/>
    <cellStyle name="Normal 3 38 13 2" xfId="32097" xr:uid="{00000000-0005-0000-0000-000032630000}"/>
    <cellStyle name="Normal 3 38 14" xfId="14600" xr:uid="{00000000-0005-0000-0000-000033630000}"/>
    <cellStyle name="Normal 3 38 14 2" xfId="32098" xr:uid="{00000000-0005-0000-0000-000034630000}"/>
    <cellStyle name="Normal 3 38 15" xfId="14601" xr:uid="{00000000-0005-0000-0000-000035630000}"/>
    <cellStyle name="Normal 3 38 15 2" xfId="32099" xr:uid="{00000000-0005-0000-0000-000036630000}"/>
    <cellStyle name="Normal 3 38 16" xfId="14602" xr:uid="{00000000-0005-0000-0000-000037630000}"/>
    <cellStyle name="Normal 3 38 16 2" xfId="32100" xr:uid="{00000000-0005-0000-0000-000038630000}"/>
    <cellStyle name="Normal 3 38 17" xfId="14603" xr:uid="{00000000-0005-0000-0000-000039630000}"/>
    <cellStyle name="Normal 3 38 17 2" xfId="32101" xr:uid="{00000000-0005-0000-0000-00003A630000}"/>
    <cellStyle name="Normal 3 38 18" xfId="14604" xr:uid="{00000000-0005-0000-0000-00003B630000}"/>
    <cellStyle name="Normal 3 38 18 2" xfId="32102" xr:uid="{00000000-0005-0000-0000-00003C630000}"/>
    <cellStyle name="Normal 3 38 19" xfId="14605" xr:uid="{00000000-0005-0000-0000-00003D630000}"/>
    <cellStyle name="Normal 3 38 19 2" xfId="32103" xr:uid="{00000000-0005-0000-0000-00003E630000}"/>
    <cellStyle name="Normal 3 38 2" xfId="14606" xr:uid="{00000000-0005-0000-0000-00003F630000}"/>
    <cellStyle name="Normal 3 38 2 10" xfId="14607" xr:uid="{00000000-0005-0000-0000-000040630000}"/>
    <cellStyle name="Normal 3 38 2 10 2" xfId="32105" xr:uid="{00000000-0005-0000-0000-000041630000}"/>
    <cellStyle name="Normal 3 38 2 11" xfId="14608" xr:uid="{00000000-0005-0000-0000-000042630000}"/>
    <cellStyle name="Normal 3 38 2 11 2" xfId="32106" xr:uid="{00000000-0005-0000-0000-000043630000}"/>
    <cellStyle name="Normal 3 38 2 12" xfId="14609" xr:uid="{00000000-0005-0000-0000-000044630000}"/>
    <cellStyle name="Normal 3 38 2 12 2" xfId="32107" xr:uid="{00000000-0005-0000-0000-000045630000}"/>
    <cellStyle name="Normal 3 38 2 13" xfId="14610" xr:uid="{00000000-0005-0000-0000-000046630000}"/>
    <cellStyle name="Normal 3 38 2 13 2" xfId="32108" xr:uid="{00000000-0005-0000-0000-000047630000}"/>
    <cellStyle name="Normal 3 38 2 14" xfId="14611" xr:uid="{00000000-0005-0000-0000-000048630000}"/>
    <cellStyle name="Normal 3 38 2 14 2" xfId="32109" xr:uid="{00000000-0005-0000-0000-000049630000}"/>
    <cellStyle name="Normal 3 38 2 15" xfId="14612" xr:uid="{00000000-0005-0000-0000-00004A630000}"/>
    <cellStyle name="Normal 3 38 2 15 2" xfId="32110" xr:uid="{00000000-0005-0000-0000-00004B630000}"/>
    <cellStyle name="Normal 3 38 2 16" xfId="32104" xr:uid="{00000000-0005-0000-0000-00004C630000}"/>
    <cellStyle name="Normal 3 38 2 2" xfId="14613" xr:uid="{00000000-0005-0000-0000-00004D630000}"/>
    <cellStyle name="Normal 3 38 2 2 10" xfId="14614" xr:uid="{00000000-0005-0000-0000-00004E630000}"/>
    <cellStyle name="Normal 3 38 2 2 10 2" xfId="32112" xr:uid="{00000000-0005-0000-0000-00004F630000}"/>
    <cellStyle name="Normal 3 38 2 2 11" xfId="14615" xr:uid="{00000000-0005-0000-0000-000050630000}"/>
    <cellStyle name="Normal 3 38 2 2 11 2" xfId="32113" xr:uid="{00000000-0005-0000-0000-000051630000}"/>
    <cellStyle name="Normal 3 38 2 2 12" xfId="14616" xr:uid="{00000000-0005-0000-0000-000052630000}"/>
    <cellStyle name="Normal 3 38 2 2 12 2" xfId="32114" xr:uid="{00000000-0005-0000-0000-000053630000}"/>
    <cellStyle name="Normal 3 38 2 2 13" xfId="14617" xr:uid="{00000000-0005-0000-0000-000054630000}"/>
    <cellStyle name="Normal 3 38 2 2 13 2" xfId="32115" xr:uid="{00000000-0005-0000-0000-000055630000}"/>
    <cellStyle name="Normal 3 38 2 2 14" xfId="14618" xr:uid="{00000000-0005-0000-0000-000056630000}"/>
    <cellStyle name="Normal 3 38 2 2 14 2" xfId="32116" xr:uid="{00000000-0005-0000-0000-000057630000}"/>
    <cellStyle name="Normal 3 38 2 2 15" xfId="32111" xr:uid="{00000000-0005-0000-0000-000058630000}"/>
    <cellStyle name="Normal 3 38 2 2 2" xfId="14619" xr:uid="{00000000-0005-0000-0000-000059630000}"/>
    <cellStyle name="Normal 3 38 2 2 2 2" xfId="32117" xr:uid="{00000000-0005-0000-0000-00005A630000}"/>
    <cellStyle name="Normal 3 38 2 2 3" xfId="14620" xr:uid="{00000000-0005-0000-0000-00005B630000}"/>
    <cellStyle name="Normal 3 38 2 2 3 2" xfId="32118" xr:uid="{00000000-0005-0000-0000-00005C630000}"/>
    <cellStyle name="Normal 3 38 2 2 4" xfId="14621" xr:uid="{00000000-0005-0000-0000-00005D630000}"/>
    <cellStyle name="Normal 3 38 2 2 4 2" xfId="32119" xr:uid="{00000000-0005-0000-0000-00005E630000}"/>
    <cellStyle name="Normal 3 38 2 2 5" xfId="14622" xr:uid="{00000000-0005-0000-0000-00005F630000}"/>
    <cellStyle name="Normal 3 38 2 2 5 2" xfId="32120" xr:uid="{00000000-0005-0000-0000-000060630000}"/>
    <cellStyle name="Normal 3 38 2 2 6" xfId="14623" xr:uid="{00000000-0005-0000-0000-000061630000}"/>
    <cellStyle name="Normal 3 38 2 2 6 2" xfId="32121" xr:uid="{00000000-0005-0000-0000-000062630000}"/>
    <cellStyle name="Normal 3 38 2 2 7" xfId="14624" xr:uid="{00000000-0005-0000-0000-000063630000}"/>
    <cellStyle name="Normal 3 38 2 2 7 2" xfId="32122" xr:uid="{00000000-0005-0000-0000-000064630000}"/>
    <cellStyle name="Normal 3 38 2 2 8" xfId="14625" xr:uid="{00000000-0005-0000-0000-000065630000}"/>
    <cellStyle name="Normal 3 38 2 2 8 2" xfId="32123" xr:uid="{00000000-0005-0000-0000-000066630000}"/>
    <cellStyle name="Normal 3 38 2 2 9" xfId="14626" xr:uid="{00000000-0005-0000-0000-000067630000}"/>
    <cellStyle name="Normal 3 38 2 2 9 2" xfId="32124" xr:uid="{00000000-0005-0000-0000-000068630000}"/>
    <cellStyle name="Normal 3 38 2 3" xfId="14627" xr:uid="{00000000-0005-0000-0000-000069630000}"/>
    <cellStyle name="Normal 3 38 2 3 2" xfId="32125" xr:uid="{00000000-0005-0000-0000-00006A630000}"/>
    <cellStyle name="Normal 3 38 2 4" xfId="14628" xr:uid="{00000000-0005-0000-0000-00006B630000}"/>
    <cellStyle name="Normal 3 38 2 4 2" xfId="32126" xr:uid="{00000000-0005-0000-0000-00006C630000}"/>
    <cellStyle name="Normal 3 38 2 5" xfId="14629" xr:uid="{00000000-0005-0000-0000-00006D630000}"/>
    <cellStyle name="Normal 3 38 2 5 2" xfId="32127" xr:uid="{00000000-0005-0000-0000-00006E630000}"/>
    <cellStyle name="Normal 3 38 2 6" xfId="14630" xr:uid="{00000000-0005-0000-0000-00006F630000}"/>
    <cellStyle name="Normal 3 38 2 6 2" xfId="32128" xr:uid="{00000000-0005-0000-0000-000070630000}"/>
    <cellStyle name="Normal 3 38 2 7" xfId="14631" xr:uid="{00000000-0005-0000-0000-000071630000}"/>
    <cellStyle name="Normal 3 38 2 7 2" xfId="32129" xr:uid="{00000000-0005-0000-0000-000072630000}"/>
    <cellStyle name="Normal 3 38 2 8" xfId="14632" xr:uid="{00000000-0005-0000-0000-000073630000}"/>
    <cellStyle name="Normal 3 38 2 8 2" xfId="32130" xr:uid="{00000000-0005-0000-0000-000074630000}"/>
    <cellStyle name="Normal 3 38 2 9" xfId="14633" xr:uid="{00000000-0005-0000-0000-000075630000}"/>
    <cellStyle name="Normal 3 38 2 9 2" xfId="32131" xr:uid="{00000000-0005-0000-0000-000076630000}"/>
    <cellStyle name="Normal 3 38 20" xfId="14634" xr:uid="{00000000-0005-0000-0000-000077630000}"/>
    <cellStyle name="Normal 3 38 20 2" xfId="32132" xr:uid="{00000000-0005-0000-0000-000078630000}"/>
    <cellStyle name="Normal 3 38 21" xfId="14635" xr:uid="{00000000-0005-0000-0000-000079630000}"/>
    <cellStyle name="Normal 3 38 21 2" xfId="32133" xr:uid="{00000000-0005-0000-0000-00007A630000}"/>
    <cellStyle name="Normal 3 38 22" xfId="14636" xr:uid="{00000000-0005-0000-0000-00007B630000}"/>
    <cellStyle name="Normal 3 38 22 2" xfId="32134" xr:uid="{00000000-0005-0000-0000-00007C630000}"/>
    <cellStyle name="Normal 3 38 23" xfId="14637" xr:uid="{00000000-0005-0000-0000-00007D630000}"/>
    <cellStyle name="Normal 3 38 23 2" xfId="32135" xr:uid="{00000000-0005-0000-0000-00007E630000}"/>
    <cellStyle name="Normal 3 38 24" xfId="32080" xr:uid="{00000000-0005-0000-0000-00007F630000}"/>
    <cellStyle name="Normal 3 38 3" xfId="14638" xr:uid="{00000000-0005-0000-0000-000080630000}"/>
    <cellStyle name="Normal 3 38 3 10" xfId="14639" xr:uid="{00000000-0005-0000-0000-000081630000}"/>
    <cellStyle name="Normal 3 38 3 10 2" xfId="32137" xr:uid="{00000000-0005-0000-0000-000082630000}"/>
    <cellStyle name="Normal 3 38 3 11" xfId="14640" xr:uid="{00000000-0005-0000-0000-000083630000}"/>
    <cellStyle name="Normal 3 38 3 11 2" xfId="32138" xr:uid="{00000000-0005-0000-0000-000084630000}"/>
    <cellStyle name="Normal 3 38 3 12" xfId="14641" xr:uid="{00000000-0005-0000-0000-000085630000}"/>
    <cellStyle name="Normal 3 38 3 12 2" xfId="32139" xr:uid="{00000000-0005-0000-0000-000086630000}"/>
    <cellStyle name="Normal 3 38 3 13" xfId="14642" xr:uid="{00000000-0005-0000-0000-000087630000}"/>
    <cellStyle name="Normal 3 38 3 13 2" xfId="32140" xr:uid="{00000000-0005-0000-0000-000088630000}"/>
    <cellStyle name="Normal 3 38 3 14" xfId="14643" xr:uid="{00000000-0005-0000-0000-000089630000}"/>
    <cellStyle name="Normal 3 38 3 14 2" xfId="32141" xr:uid="{00000000-0005-0000-0000-00008A630000}"/>
    <cellStyle name="Normal 3 38 3 15" xfId="14644" xr:uid="{00000000-0005-0000-0000-00008B630000}"/>
    <cellStyle name="Normal 3 38 3 15 2" xfId="32142" xr:uid="{00000000-0005-0000-0000-00008C630000}"/>
    <cellStyle name="Normal 3 38 3 16" xfId="32136" xr:uid="{00000000-0005-0000-0000-00008D630000}"/>
    <cellStyle name="Normal 3 38 3 2" xfId="14645" xr:uid="{00000000-0005-0000-0000-00008E630000}"/>
    <cellStyle name="Normal 3 38 3 2 10" xfId="14646" xr:uid="{00000000-0005-0000-0000-00008F630000}"/>
    <cellStyle name="Normal 3 38 3 2 10 2" xfId="32144" xr:uid="{00000000-0005-0000-0000-000090630000}"/>
    <cellStyle name="Normal 3 38 3 2 11" xfId="14647" xr:uid="{00000000-0005-0000-0000-000091630000}"/>
    <cellStyle name="Normal 3 38 3 2 11 2" xfId="32145" xr:uid="{00000000-0005-0000-0000-000092630000}"/>
    <cellStyle name="Normal 3 38 3 2 12" xfId="14648" xr:uid="{00000000-0005-0000-0000-000093630000}"/>
    <cellStyle name="Normal 3 38 3 2 12 2" xfId="32146" xr:uid="{00000000-0005-0000-0000-000094630000}"/>
    <cellStyle name="Normal 3 38 3 2 13" xfId="14649" xr:uid="{00000000-0005-0000-0000-000095630000}"/>
    <cellStyle name="Normal 3 38 3 2 13 2" xfId="32147" xr:uid="{00000000-0005-0000-0000-000096630000}"/>
    <cellStyle name="Normal 3 38 3 2 14" xfId="14650" xr:uid="{00000000-0005-0000-0000-000097630000}"/>
    <cellStyle name="Normal 3 38 3 2 14 2" xfId="32148" xr:uid="{00000000-0005-0000-0000-000098630000}"/>
    <cellStyle name="Normal 3 38 3 2 15" xfId="32143" xr:uid="{00000000-0005-0000-0000-000099630000}"/>
    <cellStyle name="Normal 3 38 3 2 2" xfId="14651" xr:uid="{00000000-0005-0000-0000-00009A630000}"/>
    <cellStyle name="Normal 3 38 3 2 2 2" xfId="32149" xr:uid="{00000000-0005-0000-0000-00009B630000}"/>
    <cellStyle name="Normal 3 38 3 2 3" xfId="14652" xr:uid="{00000000-0005-0000-0000-00009C630000}"/>
    <cellStyle name="Normal 3 38 3 2 3 2" xfId="32150" xr:uid="{00000000-0005-0000-0000-00009D630000}"/>
    <cellStyle name="Normal 3 38 3 2 4" xfId="14653" xr:uid="{00000000-0005-0000-0000-00009E630000}"/>
    <cellStyle name="Normal 3 38 3 2 4 2" xfId="32151" xr:uid="{00000000-0005-0000-0000-00009F630000}"/>
    <cellStyle name="Normal 3 38 3 2 5" xfId="14654" xr:uid="{00000000-0005-0000-0000-0000A0630000}"/>
    <cellStyle name="Normal 3 38 3 2 5 2" xfId="32152" xr:uid="{00000000-0005-0000-0000-0000A1630000}"/>
    <cellStyle name="Normal 3 38 3 2 6" xfId="14655" xr:uid="{00000000-0005-0000-0000-0000A2630000}"/>
    <cellStyle name="Normal 3 38 3 2 6 2" xfId="32153" xr:uid="{00000000-0005-0000-0000-0000A3630000}"/>
    <cellStyle name="Normal 3 38 3 2 7" xfId="14656" xr:uid="{00000000-0005-0000-0000-0000A4630000}"/>
    <cellStyle name="Normal 3 38 3 2 7 2" xfId="32154" xr:uid="{00000000-0005-0000-0000-0000A5630000}"/>
    <cellStyle name="Normal 3 38 3 2 8" xfId="14657" xr:uid="{00000000-0005-0000-0000-0000A6630000}"/>
    <cellStyle name="Normal 3 38 3 2 8 2" xfId="32155" xr:uid="{00000000-0005-0000-0000-0000A7630000}"/>
    <cellStyle name="Normal 3 38 3 2 9" xfId="14658" xr:uid="{00000000-0005-0000-0000-0000A8630000}"/>
    <cellStyle name="Normal 3 38 3 2 9 2" xfId="32156" xr:uid="{00000000-0005-0000-0000-0000A9630000}"/>
    <cellStyle name="Normal 3 38 3 3" xfId="14659" xr:uid="{00000000-0005-0000-0000-0000AA630000}"/>
    <cellStyle name="Normal 3 38 3 3 2" xfId="32157" xr:uid="{00000000-0005-0000-0000-0000AB630000}"/>
    <cellStyle name="Normal 3 38 3 4" xfId="14660" xr:uid="{00000000-0005-0000-0000-0000AC630000}"/>
    <cellStyle name="Normal 3 38 3 4 2" xfId="32158" xr:uid="{00000000-0005-0000-0000-0000AD630000}"/>
    <cellStyle name="Normal 3 38 3 5" xfId="14661" xr:uid="{00000000-0005-0000-0000-0000AE630000}"/>
    <cellStyle name="Normal 3 38 3 5 2" xfId="32159" xr:uid="{00000000-0005-0000-0000-0000AF630000}"/>
    <cellStyle name="Normal 3 38 3 6" xfId="14662" xr:uid="{00000000-0005-0000-0000-0000B0630000}"/>
    <cellStyle name="Normal 3 38 3 6 2" xfId="32160" xr:uid="{00000000-0005-0000-0000-0000B1630000}"/>
    <cellStyle name="Normal 3 38 3 7" xfId="14663" xr:uid="{00000000-0005-0000-0000-0000B2630000}"/>
    <cellStyle name="Normal 3 38 3 7 2" xfId="32161" xr:uid="{00000000-0005-0000-0000-0000B3630000}"/>
    <cellStyle name="Normal 3 38 3 8" xfId="14664" xr:uid="{00000000-0005-0000-0000-0000B4630000}"/>
    <cellStyle name="Normal 3 38 3 8 2" xfId="32162" xr:uid="{00000000-0005-0000-0000-0000B5630000}"/>
    <cellStyle name="Normal 3 38 3 9" xfId="14665" xr:uid="{00000000-0005-0000-0000-0000B6630000}"/>
    <cellStyle name="Normal 3 38 3 9 2" xfId="32163" xr:uid="{00000000-0005-0000-0000-0000B7630000}"/>
    <cellStyle name="Normal 3 38 4" xfId="14666" xr:uid="{00000000-0005-0000-0000-0000B8630000}"/>
    <cellStyle name="Normal 3 38 4 10" xfId="14667" xr:uid="{00000000-0005-0000-0000-0000B9630000}"/>
    <cellStyle name="Normal 3 38 4 10 2" xfId="32165" xr:uid="{00000000-0005-0000-0000-0000BA630000}"/>
    <cellStyle name="Normal 3 38 4 11" xfId="14668" xr:uid="{00000000-0005-0000-0000-0000BB630000}"/>
    <cellStyle name="Normal 3 38 4 11 2" xfId="32166" xr:uid="{00000000-0005-0000-0000-0000BC630000}"/>
    <cellStyle name="Normal 3 38 4 12" xfId="14669" xr:uid="{00000000-0005-0000-0000-0000BD630000}"/>
    <cellStyle name="Normal 3 38 4 12 2" xfId="32167" xr:uid="{00000000-0005-0000-0000-0000BE630000}"/>
    <cellStyle name="Normal 3 38 4 13" xfId="14670" xr:uid="{00000000-0005-0000-0000-0000BF630000}"/>
    <cellStyle name="Normal 3 38 4 13 2" xfId="32168" xr:uid="{00000000-0005-0000-0000-0000C0630000}"/>
    <cellStyle name="Normal 3 38 4 14" xfId="14671" xr:uid="{00000000-0005-0000-0000-0000C1630000}"/>
    <cellStyle name="Normal 3 38 4 14 2" xfId="32169" xr:uid="{00000000-0005-0000-0000-0000C2630000}"/>
    <cellStyle name="Normal 3 38 4 15" xfId="14672" xr:uid="{00000000-0005-0000-0000-0000C3630000}"/>
    <cellStyle name="Normal 3 38 4 15 2" xfId="32170" xr:uid="{00000000-0005-0000-0000-0000C4630000}"/>
    <cellStyle name="Normal 3 38 4 16" xfId="32164" xr:uid="{00000000-0005-0000-0000-0000C5630000}"/>
    <cellStyle name="Normal 3 38 4 2" xfId="14673" xr:uid="{00000000-0005-0000-0000-0000C6630000}"/>
    <cellStyle name="Normal 3 38 4 2 10" xfId="14674" xr:uid="{00000000-0005-0000-0000-0000C7630000}"/>
    <cellStyle name="Normal 3 38 4 2 10 2" xfId="32172" xr:uid="{00000000-0005-0000-0000-0000C8630000}"/>
    <cellStyle name="Normal 3 38 4 2 11" xfId="14675" xr:uid="{00000000-0005-0000-0000-0000C9630000}"/>
    <cellStyle name="Normal 3 38 4 2 11 2" xfId="32173" xr:uid="{00000000-0005-0000-0000-0000CA630000}"/>
    <cellStyle name="Normal 3 38 4 2 12" xfId="14676" xr:uid="{00000000-0005-0000-0000-0000CB630000}"/>
    <cellStyle name="Normal 3 38 4 2 12 2" xfId="32174" xr:uid="{00000000-0005-0000-0000-0000CC630000}"/>
    <cellStyle name="Normal 3 38 4 2 13" xfId="14677" xr:uid="{00000000-0005-0000-0000-0000CD630000}"/>
    <cellStyle name="Normal 3 38 4 2 13 2" xfId="32175" xr:uid="{00000000-0005-0000-0000-0000CE630000}"/>
    <cellStyle name="Normal 3 38 4 2 14" xfId="14678" xr:uid="{00000000-0005-0000-0000-0000CF630000}"/>
    <cellStyle name="Normal 3 38 4 2 14 2" xfId="32176" xr:uid="{00000000-0005-0000-0000-0000D0630000}"/>
    <cellStyle name="Normal 3 38 4 2 15" xfId="32171" xr:uid="{00000000-0005-0000-0000-0000D1630000}"/>
    <cellStyle name="Normal 3 38 4 2 2" xfId="14679" xr:uid="{00000000-0005-0000-0000-0000D2630000}"/>
    <cellStyle name="Normal 3 38 4 2 2 2" xfId="32177" xr:uid="{00000000-0005-0000-0000-0000D3630000}"/>
    <cellStyle name="Normal 3 38 4 2 3" xfId="14680" xr:uid="{00000000-0005-0000-0000-0000D4630000}"/>
    <cellStyle name="Normal 3 38 4 2 3 2" xfId="32178" xr:uid="{00000000-0005-0000-0000-0000D5630000}"/>
    <cellStyle name="Normal 3 38 4 2 4" xfId="14681" xr:uid="{00000000-0005-0000-0000-0000D6630000}"/>
    <cellStyle name="Normal 3 38 4 2 4 2" xfId="32179" xr:uid="{00000000-0005-0000-0000-0000D7630000}"/>
    <cellStyle name="Normal 3 38 4 2 5" xfId="14682" xr:uid="{00000000-0005-0000-0000-0000D8630000}"/>
    <cellStyle name="Normal 3 38 4 2 5 2" xfId="32180" xr:uid="{00000000-0005-0000-0000-0000D9630000}"/>
    <cellStyle name="Normal 3 38 4 2 6" xfId="14683" xr:uid="{00000000-0005-0000-0000-0000DA630000}"/>
    <cellStyle name="Normal 3 38 4 2 6 2" xfId="32181" xr:uid="{00000000-0005-0000-0000-0000DB630000}"/>
    <cellStyle name="Normal 3 38 4 2 7" xfId="14684" xr:uid="{00000000-0005-0000-0000-0000DC630000}"/>
    <cellStyle name="Normal 3 38 4 2 7 2" xfId="32182" xr:uid="{00000000-0005-0000-0000-0000DD630000}"/>
    <cellStyle name="Normal 3 38 4 2 8" xfId="14685" xr:uid="{00000000-0005-0000-0000-0000DE630000}"/>
    <cellStyle name="Normal 3 38 4 2 8 2" xfId="32183" xr:uid="{00000000-0005-0000-0000-0000DF630000}"/>
    <cellStyle name="Normal 3 38 4 2 9" xfId="14686" xr:uid="{00000000-0005-0000-0000-0000E0630000}"/>
    <cellStyle name="Normal 3 38 4 2 9 2" xfId="32184" xr:uid="{00000000-0005-0000-0000-0000E1630000}"/>
    <cellStyle name="Normal 3 38 4 3" xfId="14687" xr:uid="{00000000-0005-0000-0000-0000E2630000}"/>
    <cellStyle name="Normal 3 38 4 3 2" xfId="32185" xr:uid="{00000000-0005-0000-0000-0000E3630000}"/>
    <cellStyle name="Normal 3 38 4 4" xfId="14688" xr:uid="{00000000-0005-0000-0000-0000E4630000}"/>
    <cellStyle name="Normal 3 38 4 4 2" xfId="32186" xr:uid="{00000000-0005-0000-0000-0000E5630000}"/>
    <cellStyle name="Normal 3 38 4 5" xfId="14689" xr:uid="{00000000-0005-0000-0000-0000E6630000}"/>
    <cellStyle name="Normal 3 38 4 5 2" xfId="32187" xr:uid="{00000000-0005-0000-0000-0000E7630000}"/>
    <cellStyle name="Normal 3 38 4 6" xfId="14690" xr:uid="{00000000-0005-0000-0000-0000E8630000}"/>
    <cellStyle name="Normal 3 38 4 6 2" xfId="32188" xr:uid="{00000000-0005-0000-0000-0000E9630000}"/>
    <cellStyle name="Normal 3 38 4 7" xfId="14691" xr:uid="{00000000-0005-0000-0000-0000EA630000}"/>
    <cellStyle name="Normal 3 38 4 7 2" xfId="32189" xr:uid="{00000000-0005-0000-0000-0000EB630000}"/>
    <cellStyle name="Normal 3 38 4 8" xfId="14692" xr:uid="{00000000-0005-0000-0000-0000EC630000}"/>
    <cellStyle name="Normal 3 38 4 8 2" xfId="32190" xr:uid="{00000000-0005-0000-0000-0000ED630000}"/>
    <cellStyle name="Normal 3 38 4 9" xfId="14693" xr:uid="{00000000-0005-0000-0000-0000EE630000}"/>
    <cellStyle name="Normal 3 38 4 9 2" xfId="32191" xr:uid="{00000000-0005-0000-0000-0000EF630000}"/>
    <cellStyle name="Normal 3 38 5" xfId="14694" xr:uid="{00000000-0005-0000-0000-0000F0630000}"/>
    <cellStyle name="Normal 3 38 5 10" xfId="14695" xr:uid="{00000000-0005-0000-0000-0000F1630000}"/>
    <cellStyle name="Normal 3 38 5 10 2" xfId="32193" xr:uid="{00000000-0005-0000-0000-0000F2630000}"/>
    <cellStyle name="Normal 3 38 5 11" xfId="14696" xr:uid="{00000000-0005-0000-0000-0000F3630000}"/>
    <cellStyle name="Normal 3 38 5 11 2" xfId="32194" xr:uid="{00000000-0005-0000-0000-0000F4630000}"/>
    <cellStyle name="Normal 3 38 5 12" xfId="14697" xr:uid="{00000000-0005-0000-0000-0000F5630000}"/>
    <cellStyle name="Normal 3 38 5 12 2" xfId="32195" xr:uid="{00000000-0005-0000-0000-0000F6630000}"/>
    <cellStyle name="Normal 3 38 5 13" xfId="14698" xr:uid="{00000000-0005-0000-0000-0000F7630000}"/>
    <cellStyle name="Normal 3 38 5 13 2" xfId="32196" xr:uid="{00000000-0005-0000-0000-0000F8630000}"/>
    <cellStyle name="Normal 3 38 5 14" xfId="14699" xr:uid="{00000000-0005-0000-0000-0000F9630000}"/>
    <cellStyle name="Normal 3 38 5 14 2" xfId="32197" xr:uid="{00000000-0005-0000-0000-0000FA630000}"/>
    <cellStyle name="Normal 3 38 5 15" xfId="32192" xr:uid="{00000000-0005-0000-0000-0000FB630000}"/>
    <cellStyle name="Normal 3 38 5 2" xfId="14700" xr:uid="{00000000-0005-0000-0000-0000FC630000}"/>
    <cellStyle name="Normal 3 38 5 2 2" xfId="32198" xr:uid="{00000000-0005-0000-0000-0000FD630000}"/>
    <cellStyle name="Normal 3 38 5 3" xfId="14701" xr:uid="{00000000-0005-0000-0000-0000FE630000}"/>
    <cellStyle name="Normal 3 38 5 3 2" xfId="32199" xr:uid="{00000000-0005-0000-0000-0000FF630000}"/>
    <cellStyle name="Normal 3 38 5 4" xfId="14702" xr:uid="{00000000-0005-0000-0000-000000640000}"/>
    <cellStyle name="Normal 3 38 5 4 2" xfId="32200" xr:uid="{00000000-0005-0000-0000-000001640000}"/>
    <cellStyle name="Normal 3 38 5 5" xfId="14703" xr:uid="{00000000-0005-0000-0000-000002640000}"/>
    <cellStyle name="Normal 3 38 5 5 2" xfId="32201" xr:uid="{00000000-0005-0000-0000-000003640000}"/>
    <cellStyle name="Normal 3 38 5 6" xfId="14704" xr:uid="{00000000-0005-0000-0000-000004640000}"/>
    <cellStyle name="Normal 3 38 5 6 2" xfId="32202" xr:uid="{00000000-0005-0000-0000-000005640000}"/>
    <cellStyle name="Normal 3 38 5 7" xfId="14705" xr:uid="{00000000-0005-0000-0000-000006640000}"/>
    <cellStyle name="Normal 3 38 5 7 2" xfId="32203" xr:uid="{00000000-0005-0000-0000-000007640000}"/>
    <cellStyle name="Normal 3 38 5 8" xfId="14706" xr:uid="{00000000-0005-0000-0000-000008640000}"/>
    <cellStyle name="Normal 3 38 5 8 2" xfId="32204" xr:uid="{00000000-0005-0000-0000-000009640000}"/>
    <cellStyle name="Normal 3 38 5 9" xfId="14707" xr:uid="{00000000-0005-0000-0000-00000A640000}"/>
    <cellStyle name="Normal 3 38 5 9 2" xfId="32205" xr:uid="{00000000-0005-0000-0000-00000B640000}"/>
    <cellStyle name="Normal 3 38 6" xfId="14708" xr:uid="{00000000-0005-0000-0000-00000C640000}"/>
    <cellStyle name="Normal 3 38 6 10" xfId="14709" xr:uid="{00000000-0005-0000-0000-00000D640000}"/>
    <cellStyle name="Normal 3 38 6 10 2" xfId="32207" xr:uid="{00000000-0005-0000-0000-00000E640000}"/>
    <cellStyle name="Normal 3 38 6 11" xfId="14710" xr:uid="{00000000-0005-0000-0000-00000F640000}"/>
    <cellStyle name="Normal 3 38 6 11 2" xfId="32208" xr:uid="{00000000-0005-0000-0000-000010640000}"/>
    <cellStyle name="Normal 3 38 6 12" xfId="14711" xr:uid="{00000000-0005-0000-0000-000011640000}"/>
    <cellStyle name="Normal 3 38 6 12 2" xfId="32209" xr:uid="{00000000-0005-0000-0000-000012640000}"/>
    <cellStyle name="Normal 3 38 6 13" xfId="14712" xr:uid="{00000000-0005-0000-0000-000013640000}"/>
    <cellStyle name="Normal 3 38 6 13 2" xfId="32210" xr:uid="{00000000-0005-0000-0000-000014640000}"/>
    <cellStyle name="Normal 3 38 6 14" xfId="14713" xr:uid="{00000000-0005-0000-0000-000015640000}"/>
    <cellStyle name="Normal 3 38 6 14 2" xfId="32211" xr:uid="{00000000-0005-0000-0000-000016640000}"/>
    <cellStyle name="Normal 3 38 6 15" xfId="32206" xr:uid="{00000000-0005-0000-0000-000017640000}"/>
    <cellStyle name="Normal 3 38 6 2" xfId="14714" xr:uid="{00000000-0005-0000-0000-000018640000}"/>
    <cellStyle name="Normal 3 38 6 2 2" xfId="32212" xr:uid="{00000000-0005-0000-0000-000019640000}"/>
    <cellStyle name="Normal 3 38 6 3" xfId="14715" xr:uid="{00000000-0005-0000-0000-00001A640000}"/>
    <cellStyle name="Normal 3 38 6 3 2" xfId="32213" xr:uid="{00000000-0005-0000-0000-00001B640000}"/>
    <cellStyle name="Normal 3 38 6 4" xfId="14716" xr:uid="{00000000-0005-0000-0000-00001C640000}"/>
    <cellStyle name="Normal 3 38 6 4 2" xfId="32214" xr:uid="{00000000-0005-0000-0000-00001D640000}"/>
    <cellStyle name="Normal 3 38 6 5" xfId="14717" xr:uid="{00000000-0005-0000-0000-00001E640000}"/>
    <cellStyle name="Normal 3 38 6 5 2" xfId="32215" xr:uid="{00000000-0005-0000-0000-00001F640000}"/>
    <cellStyle name="Normal 3 38 6 6" xfId="14718" xr:uid="{00000000-0005-0000-0000-000020640000}"/>
    <cellStyle name="Normal 3 38 6 6 2" xfId="32216" xr:uid="{00000000-0005-0000-0000-000021640000}"/>
    <cellStyle name="Normal 3 38 6 7" xfId="14719" xr:uid="{00000000-0005-0000-0000-000022640000}"/>
    <cellStyle name="Normal 3 38 6 7 2" xfId="32217" xr:uid="{00000000-0005-0000-0000-000023640000}"/>
    <cellStyle name="Normal 3 38 6 8" xfId="14720" xr:uid="{00000000-0005-0000-0000-000024640000}"/>
    <cellStyle name="Normal 3 38 6 8 2" xfId="32218" xr:uid="{00000000-0005-0000-0000-000025640000}"/>
    <cellStyle name="Normal 3 38 6 9" xfId="14721" xr:uid="{00000000-0005-0000-0000-000026640000}"/>
    <cellStyle name="Normal 3 38 6 9 2" xfId="32219" xr:uid="{00000000-0005-0000-0000-000027640000}"/>
    <cellStyle name="Normal 3 38 7" xfId="14722" xr:uid="{00000000-0005-0000-0000-000028640000}"/>
    <cellStyle name="Normal 3 38 7 10" xfId="14723" xr:uid="{00000000-0005-0000-0000-000029640000}"/>
    <cellStyle name="Normal 3 38 7 10 2" xfId="32221" xr:uid="{00000000-0005-0000-0000-00002A640000}"/>
    <cellStyle name="Normal 3 38 7 11" xfId="14724" xr:uid="{00000000-0005-0000-0000-00002B640000}"/>
    <cellStyle name="Normal 3 38 7 11 2" xfId="32222" xr:uid="{00000000-0005-0000-0000-00002C640000}"/>
    <cellStyle name="Normal 3 38 7 12" xfId="14725" xr:uid="{00000000-0005-0000-0000-00002D640000}"/>
    <cellStyle name="Normal 3 38 7 12 2" xfId="32223" xr:uid="{00000000-0005-0000-0000-00002E640000}"/>
    <cellStyle name="Normal 3 38 7 13" xfId="14726" xr:uid="{00000000-0005-0000-0000-00002F640000}"/>
    <cellStyle name="Normal 3 38 7 13 2" xfId="32224" xr:uid="{00000000-0005-0000-0000-000030640000}"/>
    <cellStyle name="Normal 3 38 7 14" xfId="14727" xr:uid="{00000000-0005-0000-0000-000031640000}"/>
    <cellStyle name="Normal 3 38 7 14 2" xfId="32225" xr:uid="{00000000-0005-0000-0000-000032640000}"/>
    <cellStyle name="Normal 3 38 7 15" xfId="32220" xr:uid="{00000000-0005-0000-0000-000033640000}"/>
    <cellStyle name="Normal 3 38 7 2" xfId="14728" xr:uid="{00000000-0005-0000-0000-000034640000}"/>
    <cellStyle name="Normal 3 38 7 2 2" xfId="32226" xr:uid="{00000000-0005-0000-0000-000035640000}"/>
    <cellStyle name="Normal 3 38 7 3" xfId="14729" xr:uid="{00000000-0005-0000-0000-000036640000}"/>
    <cellStyle name="Normal 3 38 7 3 2" xfId="32227" xr:uid="{00000000-0005-0000-0000-000037640000}"/>
    <cellStyle name="Normal 3 38 7 4" xfId="14730" xr:uid="{00000000-0005-0000-0000-000038640000}"/>
    <cellStyle name="Normal 3 38 7 4 2" xfId="32228" xr:uid="{00000000-0005-0000-0000-000039640000}"/>
    <cellStyle name="Normal 3 38 7 5" xfId="14731" xr:uid="{00000000-0005-0000-0000-00003A640000}"/>
    <cellStyle name="Normal 3 38 7 5 2" xfId="32229" xr:uid="{00000000-0005-0000-0000-00003B640000}"/>
    <cellStyle name="Normal 3 38 7 6" xfId="14732" xr:uid="{00000000-0005-0000-0000-00003C640000}"/>
    <cellStyle name="Normal 3 38 7 6 2" xfId="32230" xr:uid="{00000000-0005-0000-0000-00003D640000}"/>
    <cellStyle name="Normal 3 38 7 7" xfId="14733" xr:uid="{00000000-0005-0000-0000-00003E640000}"/>
    <cellStyle name="Normal 3 38 7 7 2" xfId="32231" xr:uid="{00000000-0005-0000-0000-00003F640000}"/>
    <cellStyle name="Normal 3 38 7 8" xfId="14734" xr:uid="{00000000-0005-0000-0000-000040640000}"/>
    <cellStyle name="Normal 3 38 7 8 2" xfId="32232" xr:uid="{00000000-0005-0000-0000-000041640000}"/>
    <cellStyle name="Normal 3 38 7 9" xfId="14735" xr:uid="{00000000-0005-0000-0000-000042640000}"/>
    <cellStyle name="Normal 3 38 7 9 2" xfId="32233" xr:uid="{00000000-0005-0000-0000-000043640000}"/>
    <cellStyle name="Normal 3 38 8" xfId="14736" xr:uid="{00000000-0005-0000-0000-000044640000}"/>
    <cellStyle name="Normal 3 38 8 10" xfId="14737" xr:uid="{00000000-0005-0000-0000-000045640000}"/>
    <cellStyle name="Normal 3 38 8 10 2" xfId="32235" xr:uid="{00000000-0005-0000-0000-000046640000}"/>
    <cellStyle name="Normal 3 38 8 11" xfId="14738" xr:uid="{00000000-0005-0000-0000-000047640000}"/>
    <cellStyle name="Normal 3 38 8 11 2" xfId="32236" xr:uid="{00000000-0005-0000-0000-000048640000}"/>
    <cellStyle name="Normal 3 38 8 12" xfId="14739" xr:uid="{00000000-0005-0000-0000-000049640000}"/>
    <cellStyle name="Normal 3 38 8 12 2" xfId="32237" xr:uid="{00000000-0005-0000-0000-00004A640000}"/>
    <cellStyle name="Normal 3 38 8 13" xfId="14740" xr:uid="{00000000-0005-0000-0000-00004B640000}"/>
    <cellStyle name="Normal 3 38 8 13 2" xfId="32238" xr:uid="{00000000-0005-0000-0000-00004C640000}"/>
    <cellStyle name="Normal 3 38 8 14" xfId="14741" xr:uid="{00000000-0005-0000-0000-00004D640000}"/>
    <cellStyle name="Normal 3 38 8 14 2" xfId="32239" xr:uid="{00000000-0005-0000-0000-00004E640000}"/>
    <cellStyle name="Normal 3 38 8 15" xfId="32234" xr:uid="{00000000-0005-0000-0000-00004F640000}"/>
    <cellStyle name="Normal 3 38 8 2" xfId="14742" xr:uid="{00000000-0005-0000-0000-000050640000}"/>
    <cellStyle name="Normal 3 38 8 2 2" xfId="32240" xr:uid="{00000000-0005-0000-0000-000051640000}"/>
    <cellStyle name="Normal 3 38 8 3" xfId="14743" xr:uid="{00000000-0005-0000-0000-000052640000}"/>
    <cellStyle name="Normal 3 38 8 3 2" xfId="32241" xr:uid="{00000000-0005-0000-0000-000053640000}"/>
    <cellStyle name="Normal 3 38 8 4" xfId="14744" xr:uid="{00000000-0005-0000-0000-000054640000}"/>
    <cellStyle name="Normal 3 38 8 4 2" xfId="32242" xr:uid="{00000000-0005-0000-0000-000055640000}"/>
    <cellStyle name="Normal 3 38 8 5" xfId="14745" xr:uid="{00000000-0005-0000-0000-000056640000}"/>
    <cellStyle name="Normal 3 38 8 5 2" xfId="32243" xr:uid="{00000000-0005-0000-0000-000057640000}"/>
    <cellStyle name="Normal 3 38 8 6" xfId="14746" xr:uid="{00000000-0005-0000-0000-000058640000}"/>
    <cellStyle name="Normal 3 38 8 6 2" xfId="32244" xr:uid="{00000000-0005-0000-0000-000059640000}"/>
    <cellStyle name="Normal 3 38 8 7" xfId="14747" xr:uid="{00000000-0005-0000-0000-00005A640000}"/>
    <cellStyle name="Normal 3 38 8 7 2" xfId="32245" xr:uid="{00000000-0005-0000-0000-00005B640000}"/>
    <cellStyle name="Normal 3 38 8 8" xfId="14748" xr:uid="{00000000-0005-0000-0000-00005C640000}"/>
    <cellStyle name="Normal 3 38 8 8 2" xfId="32246" xr:uid="{00000000-0005-0000-0000-00005D640000}"/>
    <cellStyle name="Normal 3 38 8 9" xfId="14749" xr:uid="{00000000-0005-0000-0000-00005E640000}"/>
    <cellStyle name="Normal 3 38 8 9 2" xfId="32247" xr:uid="{00000000-0005-0000-0000-00005F640000}"/>
    <cellStyle name="Normal 3 38 9" xfId="14750" xr:uid="{00000000-0005-0000-0000-000060640000}"/>
    <cellStyle name="Normal 3 38 9 10" xfId="14751" xr:uid="{00000000-0005-0000-0000-000061640000}"/>
    <cellStyle name="Normal 3 38 9 10 2" xfId="32249" xr:uid="{00000000-0005-0000-0000-000062640000}"/>
    <cellStyle name="Normal 3 38 9 11" xfId="14752" xr:uid="{00000000-0005-0000-0000-000063640000}"/>
    <cellStyle name="Normal 3 38 9 11 2" xfId="32250" xr:uid="{00000000-0005-0000-0000-000064640000}"/>
    <cellStyle name="Normal 3 38 9 12" xfId="14753" xr:uid="{00000000-0005-0000-0000-000065640000}"/>
    <cellStyle name="Normal 3 38 9 12 2" xfId="32251" xr:uid="{00000000-0005-0000-0000-000066640000}"/>
    <cellStyle name="Normal 3 38 9 13" xfId="14754" xr:uid="{00000000-0005-0000-0000-000067640000}"/>
    <cellStyle name="Normal 3 38 9 13 2" xfId="32252" xr:uid="{00000000-0005-0000-0000-000068640000}"/>
    <cellStyle name="Normal 3 38 9 14" xfId="14755" xr:uid="{00000000-0005-0000-0000-000069640000}"/>
    <cellStyle name="Normal 3 38 9 14 2" xfId="32253" xr:uid="{00000000-0005-0000-0000-00006A640000}"/>
    <cellStyle name="Normal 3 38 9 15" xfId="32248" xr:uid="{00000000-0005-0000-0000-00006B640000}"/>
    <cellStyle name="Normal 3 38 9 2" xfId="14756" xr:uid="{00000000-0005-0000-0000-00006C640000}"/>
    <cellStyle name="Normal 3 38 9 2 2" xfId="32254" xr:uid="{00000000-0005-0000-0000-00006D640000}"/>
    <cellStyle name="Normal 3 38 9 3" xfId="14757" xr:uid="{00000000-0005-0000-0000-00006E640000}"/>
    <cellStyle name="Normal 3 38 9 3 2" xfId="32255" xr:uid="{00000000-0005-0000-0000-00006F640000}"/>
    <cellStyle name="Normal 3 38 9 4" xfId="14758" xr:uid="{00000000-0005-0000-0000-000070640000}"/>
    <cellStyle name="Normal 3 38 9 4 2" xfId="32256" xr:uid="{00000000-0005-0000-0000-000071640000}"/>
    <cellStyle name="Normal 3 38 9 5" xfId="14759" xr:uid="{00000000-0005-0000-0000-000072640000}"/>
    <cellStyle name="Normal 3 38 9 5 2" xfId="32257" xr:uid="{00000000-0005-0000-0000-000073640000}"/>
    <cellStyle name="Normal 3 38 9 6" xfId="14760" xr:uid="{00000000-0005-0000-0000-000074640000}"/>
    <cellStyle name="Normal 3 38 9 6 2" xfId="32258" xr:uid="{00000000-0005-0000-0000-000075640000}"/>
    <cellStyle name="Normal 3 38 9 7" xfId="14761" xr:uid="{00000000-0005-0000-0000-000076640000}"/>
    <cellStyle name="Normal 3 38 9 7 2" xfId="32259" xr:uid="{00000000-0005-0000-0000-000077640000}"/>
    <cellStyle name="Normal 3 38 9 8" xfId="14762" xr:uid="{00000000-0005-0000-0000-000078640000}"/>
    <cellStyle name="Normal 3 38 9 8 2" xfId="32260" xr:uid="{00000000-0005-0000-0000-000079640000}"/>
    <cellStyle name="Normal 3 38 9 9" xfId="14763" xr:uid="{00000000-0005-0000-0000-00007A640000}"/>
    <cellStyle name="Normal 3 38 9 9 2" xfId="32261" xr:uid="{00000000-0005-0000-0000-00007B640000}"/>
    <cellStyle name="Normal 3 39" xfId="14764" xr:uid="{00000000-0005-0000-0000-00007C640000}"/>
    <cellStyle name="Normal 3 4" xfId="324" xr:uid="{00000000-0005-0000-0000-00007D640000}"/>
    <cellStyle name="Normal 3 4 10" xfId="14765" xr:uid="{00000000-0005-0000-0000-00007E640000}"/>
    <cellStyle name="Normal 3 4 10 10" xfId="14766" xr:uid="{00000000-0005-0000-0000-00007F640000}"/>
    <cellStyle name="Normal 3 4 10 10 10" xfId="14767" xr:uid="{00000000-0005-0000-0000-000080640000}"/>
    <cellStyle name="Normal 3 4 10 10 10 2" xfId="32264" xr:uid="{00000000-0005-0000-0000-000081640000}"/>
    <cellStyle name="Normal 3 4 10 10 11" xfId="14768" xr:uid="{00000000-0005-0000-0000-000082640000}"/>
    <cellStyle name="Normal 3 4 10 10 11 2" xfId="32265" xr:uid="{00000000-0005-0000-0000-000083640000}"/>
    <cellStyle name="Normal 3 4 10 10 12" xfId="14769" xr:uid="{00000000-0005-0000-0000-000084640000}"/>
    <cellStyle name="Normal 3 4 10 10 12 2" xfId="32266" xr:uid="{00000000-0005-0000-0000-000085640000}"/>
    <cellStyle name="Normal 3 4 10 10 13" xfId="14770" xr:uid="{00000000-0005-0000-0000-000086640000}"/>
    <cellStyle name="Normal 3 4 10 10 13 2" xfId="32267" xr:uid="{00000000-0005-0000-0000-000087640000}"/>
    <cellStyle name="Normal 3 4 10 10 14" xfId="14771" xr:uid="{00000000-0005-0000-0000-000088640000}"/>
    <cellStyle name="Normal 3 4 10 10 14 2" xfId="32268" xr:uid="{00000000-0005-0000-0000-000089640000}"/>
    <cellStyle name="Normal 3 4 10 10 15" xfId="32263" xr:uid="{00000000-0005-0000-0000-00008A640000}"/>
    <cellStyle name="Normal 3 4 10 10 2" xfId="14772" xr:uid="{00000000-0005-0000-0000-00008B640000}"/>
    <cellStyle name="Normal 3 4 10 10 2 2" xfId="32269" xr:uid="{00000000-0005-0000-0000-00008C640000}"/>
    <cellStyle name="Normal 3 4 10 10 3" xfId="14773" xr:uid="{00000000-0005-0000-0000-00008D640000}"/>
    <cellStyle name="Normal 3 4 10 10 3 2" xfId="32270" xr:uid="{00000000-0005-0000-0000-00008E640000}"/>
    <cellStyle name="Normal 3 4 10 10 4" xfId="14774" xr:uid="{00000000-0005-0000-0000-00008F640000}"/>
    <cellStyle name="Normal 3 4 10 10 4 2" xfId="32271" xr:uid="{00000000-0005-0000-0000-000090640000}"/>
    <cellStyle name="Normal 3 4 10 10 5" xfId="14775" xr:uid="{00000000-0005-0000-0000-000091640000}"/>
    <cellStyle name="Normal 3 4 10 10 5 2" xfId="32272" xr:uid="{00000000-0005-0000-0000-000092640000}"/>
    <cellStyle name="Normal 3 4 10 10 6" xfId="14776" xr:uid="{00000000-0005-0000-0000-000093640000}"/>
    <cellStyle name="Normal 3 4 10 10 6 2" xfId="32273" xr:uid="{00000000-0005-0000-0000-000094640000}"/>
    <cellStyle name="Normal 3 4 10 10 7" xfId="14777" xr:uid="{00000000-0005-0000-0000-000095640000}"/>
    <cellStyle name="Normal 3 4 10 10 7 2" xfId="32274" xr:uid="{00000000-0005-0000-0000-000096640000}"/>
    <cellStyle name="Normal 3 4 10 10 8" xfId="14778" xr:uid="{00000000-0005-0000-0000-000097640000}"/>
    <cellStyle name="Normal 3 4 10 10 8 2" xfId="32275" xr:uid="{00000000-0005-0000-0000-000098640000}"/>
    <cellStyle name="Normal 3 4 10 10 9" xfId="14779" xr:uid="{00000000-0005-0000-0000-000099640000}"/>
    <cellStyle name="Normal 3 4 10 10 9 2" xfId="32276" xr:uid="{00000000-0005-0000-0000-00009A640000}"/>
    <cellStyle name="Normal 3 4 10 11" xfId="14780" xr:uid="{00000000-0005-0000-0000-00009B640000}"/>
    <cellStyle name="Normal 3 4 10 11 2" xfId="32277" xr:uid="{00000000-0005-0000-0000-00009C640000}"/>
    <cellStyle name="Normal 3 4 10 12" xfId="14781" xr:uid="{00000000-0005-0000-0000-00009D640000}"/>
    <cellStyle name="Normal 3 4 10 12 2" xfId="32278" xr:uid="{00000000-0005-0000-0000-00009E640000}"/>
    <cellStyle name="Normal 3 4 10 13" xfId="14782" xr:uid="{00000000-0005-0000-0000-00009F640000}"/>
    <cellStyle name="Normal 3 4 10 13 2" xfId="32279" xr:uid="{00000000-0005-0000-0000-0000A0640000}"/>
    <cellStyle name="Normal 3 4 10 14" xfId="14783" xr:uid="{00000000-0005-0000-0000-0000A1640000}"/>
    <cellStyle name="Normal 3 4 10 14 2" xfId="32280" xr:uid="{00000000-0005-0000-0000-0000A2640000}"/>
    <cellStyle name="Normal 3 4 10 15" xfId="14784" xr:uid="{00000000-0005-0000-0000-0000A3640000}"/>
    <cellStyle name="Normal 3 4 10 15 2" xfId="32281" xr:uid="{00000000-0005-0000-0000-0000A4640000}"/>
    <cellStyle name="Normal 3 4 10 16" xfId="14785" xr:uid="{00000000-0005-0000-0000-0000A5640000}"/>
    <cellStyle name="Normal 3 4 10 16 2" xfId="32282" xr:uid="{00000000-0005-0000-0000-0000A6640000}"/>
    <cellStyle name="Normal 3 4 10 17" xfId="14786" xr:uid="{00000000-0005-0000-0000-0000A7640000}"/>
    <cellStyle name="Normal 3 4 10 17 2" xfId="32283" xr:uid="{00000000-0005-0000-0000-0000A8640000}"/>
    <cellStyle name="Normal 3 4 10 18" xfId="14787" xr:uid="{00000000-0005-0000-0000-0000A9640000}"/>
    <cellStyle name="Normal 3 4 10 18 2" xfId="32284" xr:uid="{00000000-0005-0000-0000-0000AA640000}"/>
    <cellStyle name="Normal 3 4 10 19" xfId="14788" xr:uid="{00000000-0005-0000-0000-0000AB640000}"/>
    <cellStyle name="Normal 3 4 10 19 2" xfId="32285" xr:uid="{00000000-0005-0000-0000-0000AC640000}"/>
    <cellStyle name="Normal 3 4 10 2" xfId="14789" xr:uid="{00000000-0005-0000-0000-0000AD640000}"/>
    <cellStyle name="Normal 3 4 10 2 10" xfId="14790" xr:uid="{00000000-0005-0000-0000-0000AE640000}"/>
    <cellStyle name="Normal 3 4 10 2 10 2" xfId="32287" xr:uid="{00000000-0005-0000-0000-0000AF640000}"/>
    <cellStyle name="Normal 3 4 10 2 11" xfId="14791" xr:uid="{00000000-0005-0000-0000-0000B0640000}"/>
    <cellStyle name="Normal 3 4 10 2 11 2" xfId="32288" xr:uid="{00000000-0005-0000-0000-0000B1640000}"/>
    <cellStyle name="Normal 3 4 10 2 12" xfId="14792" xr:uid="{00000000-0005-0000-0000-0000B2640000}"/>
    <cellStyle name="Normal 3 4 10 2 12 2" xfId="32289" xr:uid="{00000000-0005-0000-0000-0000B3640000}"/>
    <cellStyle name="Normal 3 4 10 2 13" xfId="14793" xr:uid="{00000000-0005-0000-0000-0000B4640000}"/>
    <cellStyle name="Normal 3 4 10 2 13 2" xfId="32290" xr:uid="{00000000-0005-0000-0000-0000B5640000}"/>
    <cellStyle name="Normal 3 4 10 2 14" xfId="14794" xr:uid="{00000000-0005-0000-0000-0000B6640000}"/>
    <cellStyle name="Normal 3 4 10 2 14 2" xfId="32291" xr:uid="{00000000-0005-0000-0000-0000B7640000}"/>
    <cellStyle name="Normal 3 4 10 2 15" xfId="14795" xr:uid="{00000000-0005-0000-0000-0000B8640000}"/>
    <cellStyle name="Normal 3 4 10 2 15 2" xfId="32292" xr:uid="{00000000-0005-0000-0000-0000B9640000}"/>
    <cellStyle name="Normal 3 4 10 2 16" xfId="32286" xr:uid="{00000000-0005-0000-0000-0000BA640000}"/>
    <cellStyle name="Normal 3 4 10 2 2" xfId="14796" xr:uid="{00000000-0005-0000-0000-0000BB640000}"/>
    <cellStyle name="Normal 3 4 10 2 2 10" xfId="14797" xr:uid="{00000000-0005-0000-0000-0000BC640000}"/>
    <cellStyle name="Normal 3 4 10 2 2 10 2" xfId="32294" xr:uid="{00000000-0005-0000-0000-0000BD640000}"/>
    <cellStyle name="Normal 3 4 10 2 2 11" xfId="14798" xr:uid="{00000000-0005-0000-0000-0000BE640000}"/>
    <cellStyle name="Normal 3 4 10 2 2 11 2" xfId="32295" xr:uid="{00000000-0005-0000-0000-0000BF640000}"/>
    <cellStyle name="Normal 3 4 10 2 2 12" xfId="14799" xr:uid="{00000000-0005-0000-0000-0000C0640000}"/>
    <cellStyle name="Normal 3 4 10 2 2 12 2" xfId="32296" xr:uid="{00000000-0005-0000-0000-0000C1640000}"/>
    <cellStyle name="Normal 3 4 10 2 2 13" xfId="14800" xr:uid="{00000000-0005-0000-0000-0000C2640000}"/>
    <cellStyle name="Normal 3 4 10 2 2 13 2" xfId="32297" xr:uid="{00000000-0005-0000-0000-0000C3640000}"/>
    <cellStyle name="Normal 3 4 10 2 2 14" xfId="14801" xr:uid="{00000000-0005-0000-0000-0000C4640000}"/>
    <cellStyle name="Normal 3 4 10 2 2 14 2" xfId="32298" xr:uid="{00000000-0005-0000-0000-0000C5640000}"/>
    <cellStyle name="Normal 3 4 10 2 2 15" xfId="32293" xr:uid="{00000000-0005-0000-0000-0000C6640000}"/>
    <cellStyle name="Normal 3 4 10 2 2 2" xfId="14802" xr:uid="{00000000-0005-0000-0000-0000C7640000}"/>
    <cellStyle name="Normal 3 4 10 2 2 2 2" xfId="32299" xr:uid="{00000000-0005-0000-0000-0000C8640000}"/>
    <cellStyle name="Normal 3 4 10 2 2 3" xfId="14803" xr:uid="{00000000-0005-0000-0000-0000C9640000}"/>
    <cellStyle name="Normal 3 4 10 2 2 3 2" xfId="32300" xr:uid="{00000000-0005-0000-0000-0000CA640000}"/>
    <cellStyle name="Normal 3 4 10 2 2 4" xfId="14804" xr:uid="{00000000-0005-0000-0000-0000CB640000}"/>
    <cellStyle name="Normal 3 4 10 2 2 4 2" xfId="32301" xr:uid="{00000000-0005-0000-0000-0000CC640000}"/>
    <cellStyle name="Normal 3 4 10 2 2 5" xfId="14805" xr:uid="{00000000-0005-0000-0000-0000CD640000}"/>
    <cellStyle name="Normal 3 4 10 2 2 5 2" xfId="32302" xr:uid="{00000000-0005-0000-0000-0000CE640000}"/>
    <cellStyle name="Normal 3 4 10 2 2 6" xfId="14806" xr:uid="{00000000-0005-0000-0000-0000CF640000}"/>
    <cellStyle name="Normal 3 4 10 2 2 6 2" xfId="32303" xr:uid="{00000000-0005-0000-0000-0000D0640000}"/>
    <cellStyle name="Normal 3 4 10 2 2 7" xfId="14807" xr:uid="{00000000-0005-0000-0000-0000D1640000}"/>
    <cellStyle name="Normal 3 4 10 2 2 7 2" xfId="32304" xr:uid="{00000000-0005-0000-0000-0000D2640000}"/>
    <cellStyle name="Normal 3 4 10 2 2 8" xfId="14808" xr:uid="{00000000-0005-0000-0000-0000D3640000}"/>
    <cellStyle name="Normal 3 4 10 2 2 8 2" xfId="32305" xr:uid="{00000000-0005-0000-0000-0000D4640000}"/>
    <cellStyle name="Normal 3 4 10 2 2 9" xfId="14809" xr:uid="{00000000-0005-0000-0000-0000D5640000}"/>
    <cellStyle name="Normal 3 4 10 2 2 9 2" xfId="32306" xr:uid="{00000000-0005-0000-0000-0000D6640000}"/>
    <cellStyle name="Normal 3 4 10 2 3" xfId="14810" xr:uid="{00000000-0005-0000-0000-0000D7640000}"/>
    <cellStyle name="Normal 3 4 10 2 3 2" xfId="32307" xr:uid="{00000000-0005-0000-0000-0000D8640000}"/>
    <cellStyle name="Normal 3 4 10 2 4" xfId="14811" xr:uid="{00000000-0005-0000-0000-0000D9640000}"/>
    <cellStyle name="Normal 3 4 10 2 4 2" xfId="32308" xr:uid="{00000000-0005-0000-0000-0000DA640000}"/>
    <cellStyle name="Normal 3 4 10 2 5" xfId="14812" xr:uid="{00000000-0005-0000-0000-0000DB640000}"/>
    <cellStyle name="Normal 3 4 10 2 5 2" xfId="32309" xr:uid="{00000000-0005-0000-0000-0000DC640000}"/>
    <cellStyle name="Normal 3 4 10 2 6" xfId="14813" xr:uid="{00000000-0005-0000-0000-0000DD640000}"/>
    <cellStyle name="Normal 3 4 10 2 6 2" xfId="32310" xr:uid="{00000000-0005-0000-0000-0000DE640000}"/>
    <cellStyle name="Normal 3 4 10 2 7" xfId="14814" xr:uid="{00000000-0005-0000-0000-0000DF640000}"/>
    <cellStyle name="Normal 3 4 10 2 7 2" xfId="32311" xr:uid="{00000000-0005-0000-0000-0000E0640000}"/>
    <cellStyle name="Normal 3 4 10 2 8" xfId="14815" xr:uid="{00000000-0005-0000-0000-0000E1640000}"/>
    <cellStyle name="Normal 3 4 10 2 8 2" xfId="32312" xr:uid="{00000000-0005-0000-0000-0000E2640000}"/>
    <cellStyle name="Normal 3 4 10 2 9" xfId="14816" xr:uid="{00000000-0005-0000-0000-0000E3640000}"/>
    <cellStyle name="Normal 3 4 10 2 9 2" xfId="32313" xr:uid="{00000000-0005-0000-0000-0000E4640000}"/>
    <cellStyle name="Normal 3 4 10 20" xfId="14817" xr:uid="{00000000-0005-0000-0000-0000E5640000}"/>
    <cellStyle name="Normal 3 4 10 20 2" xfId="32314" xr:uid="{00000000-0005-0000-0000-0000E6640000}"/>
    <cellStyle name="Normal 3 4 10 21" xfId="14818" xr:uid="{00000000-0005-0000-0000-0000E7640000}"/>
    <cellStyle name="Normal 3 4 10 21 2" xfId="32315" xr:uid="{00000000-0005-0000-0000-0000E8640000}"/>
    <cellStyle name="Normal 3 4 10 22" xfId="14819" xr:uid="{00000000-0005-0000-0000-0000E9640000}"/>
    <cellStyle name="Normal 3 4 10 22 2" xfId="32316" xr:uid="{00000000-0005-0000-0000-0000EA640000}"/>
    <cellStyle name="Normal 3 4 10 23" xfId="14820" xr:uid="{00000000-0005-0000-0000-0000EB640000}"/>
    <cellStyle name="Normal 3 4 10 23 2" xfId="32317" xr:uid="{00000000-0005-0000-0000-0000EC640000}"/>
    <cellStyle name="Normal 3 4 10 24" xfId="32262" xr:uid="{00000000-0005-0000-0000-0000ED640000}"/>
    <cellStyle name="Normal 3 4 10 3" xfId="14821" xr:uid="{00000000-0005-0000-0000-0000EE640000}"/>
    <cellStyle name="Normal 3 4 10 3 10" xfId="14822" xr:uid="{00000000-0005-0000-0000-0000EF640000}"/>
    <cellStyle name="Normal 3 4 10 3 10 2" xfId="32319" xr:uid="{00000000-0005-0000-0000-0000F0640000}"/>
    <cellStyle name="Normal 3 4 10 3 11" xfId="14823" xr:uid="{00000000-0005-0000-0000-0000F1640000}"/>
    <cellStyle name="Normal 3 4 10 3 11 2" xfId="32320" xr:uid="{00000000-0005-0000-0000-0000F2640000}"/>
    <cellStyle name="Normal 3 4 10 3 12" xfId="14824" xr:uid="{00000000-0005-0000-0000-0000F3640000}"/>
    <cellStyle name="Normal 3 4 10 3 12 2" xfId="32321" xr:uid="{00000000-0005-0000-0000-0000F4640000}"/>
    <cellStyle name="Normal 3 4 10 3 13" xfId="14825" xr:uid="{00000000-0005-0000-0000-0000F5640000}"/>
    <cellStyle name="Normal 3 4 10 3 13 2" xfId="32322" xr:uid="{00000000-0005-0000-0000-0000F6640000}"/>
    <cellStyle name="Normal 3 4 10 3 14" xfId="14826" xr:uid="{00000000-0005-0000-0000-0000F7640000}"/>
    <cellStyle name="Normal 3 4 10 3 14 2" xfId="32323" xr:uid="{00000000-0005-0000-0000-0000F8640000}"/>
    <cellStyle name="Normal 3 4 10 3 15" xfId="14827" xr:uid="{00000000-0005-0000-0000-0000F9640000}"/>
    <cellStyle name="Normal 3 4 10 3 15 2" xfId="32324" xr:uid="{00000000-0005-0000-0000-0000FA640000}"/>
    <cellStyle name="Normal 3 4 10 3 16" xfId="32318" xr:uid="{00000000-0005-0000-0000-0000FB640000}"/>
    <cellStyle name="Normal 3 4 10 3 2" xfId="14828" xr:uid="{00000000-0005-0000-0000-0000FC640000}"/>
    <cellStyle name="Normal 3 4 10 3 2 10" xfId="14829" xr:uid="{00000000-0005-0000-0000-0000FD640000}"/>
    <cellStyle name="Normal 3 4 10 3 2 10 2" xfId="32326" xr:uid="{00000000-0005-0000-0000-0000FE640000}"/>
    <cellStyle name="Normal 3 4 10 3 2 11" xfId="14830" xr:uid="{00000000-0005-0000-0000-0000FF640000}"/>
    <cellStyle name="Normal 3 4 10 3 2 11 2" xfId="32327" xr:uid="{00000000-0005-0000-0000-000000650000}"/>
    <cellStyle name="Normal 3 4 10 3 2 12" xfId="14831" xr:uid="{00000000-0005-0000-0000-000001650000}"/>
    <cellStyle name="Normal 3 4 10 3 2 12 2" xfId="32328" xr:uid="{00000000-0005-0000-0000-000002650000}"/>
    <cellStyle name="Normal 3 4 10 3 2 13" xfId="14832" xr:uid="{00000000-0005-0000-0000-000003650000}"/>
    <cellStyle name="Normal 3 4 10 3 2 13 2" xfId="32329" xr:uid="{00000000-0005-0000-0000-000004650000}"/>
    <cellStyle name="Normal 3 4 10 3 2 14" xfId="14833" xr:uid="{00000000-0005-0000-0000-000005650000}"/>
    <cellStyle name="Normal 3 4 10 3 2 14 2" xfId="32330" xr:uid="{00000000-0005-0000-0000-000006650000}"/>
    <cellStyle name="Normal 3 4 10 3 2 15" xfId="32325" xr:uid="{00000000-0005-0000-0000-000007650000}"/>
    <cellStyle name="Normal 3 4 10 3 2 2" xfId="14834" xr:uid="{00000000-0005-0000-0000-000008650000}"/>
    <cellStyle name="Normal 3 4 10 3 2 2 2" xfId="32331" xr:uid="{00000000-0005-0000-0000-000009650000}"/>
    <cellStyle name="Normal 3 4 10 3 2 3" xfId="14835" xr:uid="{00000000-0005-0000-0000-00000A650000}"/>
    <cellStyle name="Normal 3 4 10 3 2 3 2" xfId="32332" xr:uid="{00000000-0005-0000-0000-00000B650000}"/>
    <cellStyle name="Normal 3 4 10 3 2 4" xfId="14836" xr:uid="{00000000-0005-0000-0000-00000C650000}"/>
    <cellStyle name="Normal 3 4 10 3 2 4 2" xfId="32333" xr:uid="{00000000-0005-0000-0000-00000D650000}"/>
    <cellStyle name="Normal 3 4 10 3 2 5" xfId="14837" xr:uid="{00000000-0005-0000-0000-00000E650000}"/>
    <cellStyle name="Normal 3 4 10 3 2 5 2" xfId="32334" xr:uid="{00000000-0005-0000-0000-00000F650000}"/>
    <cellStyle name="Normal 3 4 10 3 2 6" xfId="14838" xr:uid="{00000000-0005-0000-0000-000010650000}"/>
    <cellStyle name="Normal 3 4 10 3 2 6 2" xfId="32335" xr:uid="{00000000-0005-0000-0000-000011650000}"/>
    <cellStyle name="Normal 3 4 10 3 2 7" xfId="14839" xr:uid="{00000000-0005-0000-0000-000012650000}"/>
    <cellStyle name="Normal 3 4 10 3 2 7 2" xfId="32336" xr:uid="{00000000-0005-0000-0000-000013650000}"/>
    <cellStyle name="Normal 3 4 10 3 2 8" xfId="14840" xr:uid="{00000000-0005-0000-0000-000014650000}"/>
    <cellStyle name="Normal 3 4 10 3 2 8 2" xfId="32337" xr:uid="{00000000-0005-0000-0000-000015650000}"/>
    <cellStyle name="Normal 3 4 10 3 2 9" xfId="14841" xr:uid="{00000000-0005-0000-0000-000016650000}"/>
    <cellStyle name="Normal 3 4 10 3 2 9 2" xfId="32338" xr:uid="{00000000-0005-0000-0000-000017650000}"/>
    <cellStyle name="Normal 3 4 10 3 3" xfId="14842" xr:uid="{00000000-0005-0000-0000-000018650000}"/>
    <cellStyle name="Normal 3 4 10 3 3 2" xfId="32339" xr:uid="{00000000-0005-0000-0000-000019650000}"/>
    <cellStyle name="Normal 3 4 10 3 4" xfId="14843" xr:uid="{00000000-0005-0000-0000-00001A650000}"/>
    <cellStyle name="Normal 3 4 10 3 4 2" xfId="32340" xr:uid="{00000000-0005-0000-0000-00001B650000}"/>
    <cellStyle name="Normal 3 4 10 3 5" xfId="14844" xr:uid="{00000000-0005-0000-0000-00001C650000}"/>
    <cellStyle name="Normal 3 4 10 3 5 2" xfId="32341" xr:uid="{00000000-0005-0000-0000-00001D650000}"/>
    <cellStyle name="Normal 3 4 10 3 6" xfId="14845" xr:uid="{00000000-0005-0000-0000-00001E650000}"/>
    <cellStyle name="Normal 3 4 10 3 6 2" xfId="32342" xr:uid="{00000000-0005-0000-0000-00001F650000}"/>
    <cellStyle name="Normal 3 4 10 3 7" xfId="14846" xr:uid="{00000000-0005-0000-0000-000020650000}"/>
    <cellStyle name="Normal 3 4 10 3 7 2" xfId="32343" xr:uid="{00000000-0005-0000-0000-000021650000}"/>
    <cellStyle name="Normal 3 4 10 3 8" xfId="14847" xr:uid="{00000000-0005-0000-0000-000022650000}"/>
    <cellStyle name="Normal 3 4 10 3 8 2" xfId="32344" xr:uid="{00000000-0005-0000-0000-000023650000}"/>
    <cellStyle name="Normal 3 4 10 3 9" xfId="14848" xr:uid="{00000000-0005-0000-0000-000024650000}"/>
    <cellStyle name="Normal 3 4 10 3 9 2" xfId="32345" xr:uid="{00000000-0005-0000-0000-000025650000}"/>
    <cellStyle name="Normal 3 4 10 4" xfId="14849" xr:uid="{00000000-0005-0000-0000-000026650000}"/>
    <cellStyle name="Normal 3 4 10 4 10" xfId="14850" xr:uid="{00000000-0005-0000-0000-000027650000}"/>
    <cellStyle name="Normal 3 4 10 4 10 2" xfId="32347" xr:uid="{00000000-0005-0000-0000-000028650000}"/>
    <cellStyle name="Normal 3 4 10 4 11" xfId="14851" xr:uid="{00000000-0005-0000-0000-000029650000}"/>
    <cellStyle name="Normal 3 4 10 4 11 2" xfId="32348" xr:uid="{00000000-0005-0000-0000-00002A650000}"/>
    <cellStyle name="Normal 3 4 10 4 12" xfId="14852" xr:uid="{00000000-0005-0000-0000-00002B650000}"/>
    <cellStyle name="Normal 3 4 10 4 12 2" xfId="32349" xr:uid="{00000000-0005-0000-0000-00002C650000}"/>
    <cellStyle name="Normal 3 4 10 4 13" xfId="14853" xr:uid="{00000000-0005-0000-0000-00002D650000}"/>
    <cellStyle name="Normal 3 4 10 4 13 2" xfId="32350" xr:uid="{00000000-0005-0000-0000-00002E650000}"/>
    <cellStyle name="Normal 3 4 10 4 14" xfId="14854" xr:uid="{00000000-0005-0000-0000-00002F650000}"/>
    <cellStyle name="Normal 3 4 10 4 14 2" xfId="32351" xr:uid="{00000000-0005-0000-0000-000030650000}"/>
    <cellStyle name="Normal 3 4 10 4 15" xfId="14855" xr:uid="{00000000-0005-0000-0000-000031650000}"/>
    <cellStyle name="Normal 3 4 10 4 15 2" xfId="32352" xr:uid="{00000000-0005-0000-0000-000032650000}"/>
    <cellStyle name="Normal 3 4 10 4 16" xfId="32346" xr:uid="{00000000-0005-0000-0000-000033650000}"/>
    <cellStyle name="Normal 3 4 10 4 2" xfId="14856" xr:uid="{00000000-0005-0000-0000-000034650000}"/>
    <cellStyle name="Normal 3 4 10 4 2 10" xfId="14857" xr:uid="{00000000-0005-0000-0000-000035650000}"/>
    <cellStyle name="Normal 3 4 10 4 2 10 2" xfId="32354" xr:uid="{00000000-0005-0000-0000-000036650000}"/>
    <cellStyle name="Normal 3 4 10 4 2 11" xfId="14858" xr:uid="{00000000-0005-0000-0000-000037650000}"/>
    <cellStyle name="Normal 3 4 10 4 2 11 2" xfId="32355" xr:uid="{00000000-0005-0000-0000-000038650000}"/>
    <cellStyle name="Normal 3 4 10 4 2 12" xfId="14859" xr:uid="{00000000-0005-0000-0000-000039650000}"/>
    <cellStyle name="Normal 3 4 10 4 2 12 2" xfId="32356" xr:uid="{00000000-0005-0000-0000-00003A650000}"/>
    <cellStyle name="Normal 3 4 10 4 2 13" xfId="14860" xr:uid="{00000000-0005-0000-0000-00003B650000}"/>
    <cellStyle name="Normal 3 4 10 4 2 13 2" xfId="32357" xr:uid="{00000000-0005-0000-0000-00003C650000}"/>
    <cellStyle name="Normal 3 4 10 4 2 14" xfId="14861" xr:uid="{00000000-0005-0000-0000-00003D650000}"/>
    <cellStyle name="Normal 3 4 10 4 2 14 2" xfId="32358" xr:uid="{00000000-0005-0000-0000-00003E650000}"/>
    <cellStyle name="Normal 3 4 10 4 2 15" xfId="32353" xr:uid="{00000000-0005-0000-0000-00003F650000}"/>
    <cellStyle name="Normal 3 4 10 4 2 2" xfId="14862" xr:uid="{00000000-0005-0000-0000-000040650000}"/>
    <cellStyle name="Normal 3 4 10 4 2 2 2" xfId="32359" xr:uid="{00000000-0005-0000-0000-000041650000}"/>
    <cellStyle name="Normal 3 4 10 4 2 3" xfId="14863" xr:uid="{00000000-0005-0000-0000-000042650000}"/>
    <cellStyle name="Normal 3 4 10 4 2 3 2" xfId="32360" xr:uid="{00000000-0005-0000-0000-000043650000}"/>
    <cellStyle name="Normal 3 4 10 4 2 4" xfId="14864" xr:uid="{00000000-0005-0000-0000-000044650000}"/>
    <cellStyle name="Normal 3 4 10 4 2 4 2" xfId="32361" xr:uid="{00000000-0005-0000-0000-000045650000}"/>
    <cellStyle name="Normal 3 4 10 4 2 5" xfId="14865" xr:uid="{00000000-0005-0000-0000-000046650000}"/>
    <cellStyle name="Normal 3 4 10 4 2 5 2" xfId="32362" xr:uid="{00000000-0005-0000-0000-000047650000}"/>
    <cellStyle name="Normal 3 4 10 4 2 6" xfId="14866" xr:uid="{00000000-0005-0000-0000-000048650000}"/>
    <cellStyle name="Normal 3 4 10 4 2 6 2" xfId="32363" xr:uid="{00000000-0005-0000-0000-000049650000}"/>
    <cellStyle name="Normal 3 4 10 4 2 7" xfId="14867" xr:uid="{00000000-0005-0000-0000-00004A650000}"/>
    <cellStyle name="Normal 3 4 10 4 2 7 2" xfId="32364" xr:uid="{00000000-0005-0000-0000-00004B650000}"/>
    <cellStyle name="Normal 3 4 10 4 2 8" xfId="14868" xr:uid="{00000000-0005-0000-0000-00004C650000}"/>
    <cellStyle name="Normal 3 4 10 4 2 8 2" xfId="32365" xr:uid="{00000000-0005-0000-0000-00004D650000}"/>
    <cellStyle name="Normal 3 4 10 4 2 9" xfId="14869" xr:uid="{00000000-0005-0000-0000-00004E650000}"/>
    <cellStyle name="Normal 3 4 10 4 2 9 2" xfId="32366" xr:uid="{00000000-0005-0000-0000-00004F650000}"/>
    <cellStyle name="Normal 3 4 10 4 3" xfId="14870" xr:uid="{00000000-0005-0000-0000-000050650000}"/>
    <cellStyle name="Normal 3 4 10 4 3 2" xfId="32367" xr:uid="{00000000-0005-0000-0000-000051650000}"/>
    <cellStyle name="Normal 3 4 10 4 4" xfId="14871" xr:uid="{00000000-0005-0000-0000-000052650000}"/>
    <cellStyle name="Normal 3 4 10 4 4 2" xfId="32368" xr:uid="{00000000-0005-0000-0000-000053650000}"/>
    <cellStyle name="Normal 3 4 10 4 5" xfId="14872" xr:uid="{00000000-0005-0000-0000-000054650000}"/>
    <cellStyle name="Normal 3 4 10 4 5 2" xfId="32369" xr:uid="{00000000-0005-0000-0000-000055650000}"/>
    <cellStyle name="Normal 3 4 10 4 6" xfId="14873" xr:uid="{00000000-0005-0000-0000-000056650000}"/>
    <cellStyle name="Normal 3 4 10 4 6 2" xfId="32370" xr:uid="{00000000-0005-0000-0000-000057650000}"/>
    <cellStyle name="Normal 3 4 10 4 7" xfId="14874" xr:uid="{00000000-0005-0000-0000-000058650000}"/>
    <cellStyle name="Normal 3 4 10 4 7 2" xfId="32371" xr:uid="{00000000-0005-0000-0000-000059650000}"/>
    <cellStyle name="Normal 3 4 10 4 8" xfId="14875" xr:uid="{00000000-0005-0000-0000-00005A650000}"/>
    <cellStyle name="Normal 3 4 10 4 8 2" xfId="32372" xr:uid="{00000000-0005-0000-0000-00005B650000}"/>
    <cellStyle name="Normal 3 4 10 4 9" xfId="14876" xr:uid="{00000000-0005-0000-0000-00005C650000}"/>
    <cellStyle name="Normal 3 4 10 4 9 2" xfId="32373" xr:uid="{00000000-0005-0000-0000-00005D650000}"/>
    <cellStyle name="Normal 3 4 10 5" xfId="14877" xr:uid="{00000000-0005-0000-0000-00005E650000}"/>
    <cellStyle name="Normal 3 4 10 5 10" xfId="14878" xr:uid="{00000000-0005-0000-0000-00005F650000}"/>
    <cellStyle name="Normal 3 4 10 5 10 2" xfId="32375" xr:uid="{00000000-0005-0000-0000-000060650000}"/>
    <cellStyle name="Normal 3 4 10 5 11" xfId="14879" xr:uid="{00000000-0005-0000-0000-000061650000}"/>
    <cellStyle name="Normal 3 4 10 5 11 2" xfId="32376" xr:uid="{00000000-0005-0000-0000-000062650000}"/>
    <cellStyle name="Normal 3 4 10 5 12" xfId="14880" xr:uid="{00000000-0005-0000-0000-000063650000}"/>
    <cellStyle name="Normal 3 4 10 5 12 2" xfId="32377" xr:uid="{00000000-0005-0000-0000-000064650000}"/>
    <cellStyle name="Normal 3 4 10 5 13" xfId="14881" xr:uid="{00000000-0005-0000-0000-000065650000}"/>
    <cellStyle name="Normal 3 4 10 5 13 2" xfId="32378" xr:uid="{00000000-0005-0000-0000-000066650000}"/>
    <cellStyle name="Normal 3 4 10 5 14" xfId="14882" xr:uid="{00000000-0005-0000-0000-000067650000}"/>
    <cellStyle name="Normal 3 4 10 5 14 2" xfId="32379" xr:uid="{00000000-0005-0000-0000-000068650000}"/>
    <cellStyle name="Normal 3 4 10 5 15" xfId="32374" xr:uid="{00000000-0005-0000-0000-000069650000}"/>
    <cellStyle name="Normal 3 4 10 5 2" xfId="14883" xr:uid="{00000000-0005-0000-0000-00006A650000}"/>
    <cellStyle name="Normal 3 4 10 5 2 2" xfId="32380" xr:uid="{00000000-0005-0000-0000-00006B650000}"/>
    <cellStyle name="Normal 3 4 10 5 3" xfId="14884" xr:uid="{00000000-0005-0000-0000-00006C650000}"/>
    <cellStyle name="Normal 3 4 10 5 3 2" xfId="32381" xr:uid="{00000000-0005-0000-0000-00006D650000}"/>
    <cellStyle name="Normal 3 4 10 5 4" xfId="14885" xr:uid="{00000000-0005-0000-0000-00006E650000}"/>
    <cellStyle name="Normal 3 4 10 5 4 2" xfId="32382" xr:uid="{00000000-0005-0000-0000-00006F650000}"/>
    <cellStyle name="Normal 3 4 10 5 5" xfId="14886" xr:uid="{00000000-0005-0000-0000-000070650000}"/>
    <cellStyle name="Normal 3 4 10 5 5 2" xfId="32383" xr:uid="{00000000-0005-0000-0000-000071650000}"/>
    <cellStyle name="Normal 3 4 10 5 6" xfId="14887" xr:uid="{00000000-0005-0000-0000-000072650000}"/>
    <cellStyle name="Normal 3 4 10 5 6 2" xfId="32384" xr:uid="{00000000-0005-0000-0000-000073650000}"/>
    <cellStyle name="Normal 3 4 10 5 7" xfId="14888" xr:uid="{00000000-0005-0000-0000-000074650000}"/>
    <cellStyle name="Normal 3 4 10 5 7 2" xfId="32385" xr:uid="{00000000-0005-0000-0000-000075650000}"/>
    <cellStyle name="Normal 3 4 10 5 8" xfId="14889" xr:uid="{00000000-0005-0000-0000-000076650000}"/>
    <cellStyle name="Normal 3 4 10 5 8 2" xfId="32386" xr:uid="{00000000-0005-0000-0000-000077650000}"/>
    <cellStyle name="Normal 3 4 10 5 9" xfId="14890" xr:uid="{00000000-0005-0000-0000-000078650000}"/>
    <cellStyle name="Normal 3 4 10 5 9 2" xfId="32387" xr:uid="{00000000-0005-0000-0000-000079650000}"/>
    <cellStyle name="Normal 3 4 10 6" xfId="14891" xr:uid="{00000000-0005-0000-0000-00007A650000}"/>
    <cellStyle name="Normal 3 4 10 6 10" xfId="14892" xr:uid="{00000000-0005-0000-0000-00007B650000}"/>
    <cellStyle name="Normal 3 4 10 6 10 2" xfId="32389" xr:uid="{00000000-0005-0000-0000-00007C650000}"/>
    <cellStyle name="Normal 3 4 10 6 11" xfId="14893" xr:uid="{00000000-0005-0000-0000-00007D650000}"/>
    <cellStyle name="Normal 3 4 10 6 11 2" xfId="32390" xr:uid="{00000000-0005-0000-0000-00007E650000}"/>
    <cellStyle name="Normal 3 4 10 6 12" xfId="14894" xr:uid="{00000000-0005-0000-0000-00007F650000}"/>
    <cellStyle name="Normal 3 4 10 6 12 2" xfId="32391" xr:uid="{00000000-0005-0000-0000-000080650000}"/>
    <cellStyle name="Normal 3 4 10 6 13" xfId="14895" xr:uid="{00000000-0005-0000-0000-000081650000}"/>
    <cellStyle name="Normal 3 4 10 6 13 2" xfId="32392" xr:uid="{00000000-0005-0000-0000-000082650000}"/>
    <cellStyle name="Normal 3 4 10 6 14" xfId="14896" xr:uid="{00000000-0005-0000-0000-000083650000}"/>
    <cellStyle name="Normal 3 4 10 6 14 2" xfId="32393" xr:uid="{00000000-0005-0000-0000-000084650000}"/>
    <cellStyle name="Normal 3 4 10 6 15" xfId="32388" xr:uid="{00000000-0005-0000-0000-000085650000}"/>
    <cellStyle name="Normal 3 4 10 6 2" xfId="14897" xr:uid="{00000000-0005-0000-0000-000086650000}"/>
    <cellStyle name="Normal 3 4 10 6 2 2" xfId="32394" xr:uid="{00000000-0005-0000-0000-000087650000}"/>
    <cellStyle name="Normal 3 4 10 6 3" xfId="14898" xr:uid="{00000000-0005-0000-0000-000088650000}"/>
    <cellStyle name="Normal 3 4 10 6 3 2" xfId="32395" xr:uid="{00000000-0005-0000-0000-000089650000}"/>
    <cellStyle name="Normal 3 4 10 6 4" xfId="14899" xr:uid="{00000000-0005-0000-0000-00008A650000}"/>
    <cellStyle name="Normal 3 4 10 6 4 2" xfId="32396" xr:uid="{00000000-0005-0000-0000-00008B650000}"/>
    <cellStyle name="Normal 3 4 10 6 5" xfId="14900" xr:uid="{00000000-0005-0000-0000-00008C650000}"/>
    <cellStyle name="Normal 3 4 10 6 5 2" xfId="32397" xr:uid="{00000000-0005-0000-0000-00008D650000}"/>
    <cellStyle name="Normal 3 4 10 6 6" xfId="14901" xr:uid="{00000000-0005-0000-0000-00008E650000}"/>
    <cellStyle name="Normal 3 4 10 6 6 2" xfId="32398" xr:uid="{00000000-0005-0000-0000-00008F650000}"/>
    <cellStyle name="Normal 3 4 10 6 7" xfId="14902" xr:uid="{00000000-0005-0000-0000-000090650000}"/>
    <cellStyle name="Normal 3 4 10 6 7 2" xfId="32399" xr:uid="{00000000-0005-0000-0000-000091650000}"/>
    <cellStyle name="Normal 3 4 10 6 8" xfId="14903" xr:uid="{00000000-0005-0000-0000-000092650000}"/>
    <cellStyle name="Normal 3 4 10 6 8 2" xfId="32400" xr:uid="{00000000-0005-0000-0000-000093650000}"/>
    <cellStyle name="Normal 3 4 10 6 9" xfId="14904" xr:uid="{00000000-0005-0000-0000-000094650000}"/>
    <cellStyle name="Normal 3 4 10 6 9 2" xfId="32401" xr:uid="{00000000-0005-0000-0000-000095650000}"/>
    <cellStyle name="Normal 3 4 10 7" xfId="14905" xr:uid="{00000000-0005-0000-0000-000096650000}"/>
    <cellStyle name="Normal 3 4 10 7 10" xfId="14906" xr:uid="{00000000-0005-0000-0000-000097650000}"/>
    <cellStyle name="Normal 3 4 10 7 10 2" xfId="32403" xr:uid="{00000000-0005-0000-0000-000098650000}"/>
    <cellStyle name="Normal 3 4 10 7 11" xfId="14907" xr:uid="{00000000-0005-0000-0000-000099650000}"/>
    <cellStyle name="Normal 3 4 10 7 11 2" xfId="32404" xr:uid="{00000000-0005-0000-0000-00009A650000}"/>
    <cellStyle name="Normal 3 4 10 7 12" xfId="14908" xr:uid="{00000000-0005-0000-0000-00009B650000}"/>
    <cellStyle name="Normal 3 4 10 7 12 2" xfId="32405" xr:uid="{00000000-0005-0000-0000-00009C650000}"/>
    <cellStyle name="Normal 3 4 10 7 13" xfId="14909" xr:uid="{00000000-0005-0000-0000-00009D650000}"/>
    <cellStyle name="Normal 3 4 10 7 13 2" xfId="32406" xr:uid="{00000000-0005-0000-0000-00009E650000}"/>
    <cellStyle name="Normal 3 4 10 7 14" xfId="14910" xr:uid="{00000000-0005-0000-0000-00009F650000}"/>
    <cellStyle name="Normal 3 4 10 7 14 2" xfId="32407" xr:uid="{00000000-0005-0000-0000-0000A0650000}"/>
    <cellStyle name="Normal 3 4 10 7 15" xfId="32402" xr:uid="{00000000-0005-0000-0000-0000A1650000}"/>
    <cellStyle name="Normal 3 4 10 7 2" xfId="14911" xr:uid="{00000000-0005-0000-0000-0000A2650000}"/>
    <cellStyle name="Normal 3 4 10 7 2 2" xfId="32408" xr:uid="{00000000-0005-0000-0000-0000A3650000}"/>
    <cellStyle name="Normal 3 4 10 7 3" xfId="14912" xr:uid="{00000000-0005-0000-0000-0000A4650000}"/>
    <cellStyle name="Normal 3 4 10 7 3 2" xfId="32409" xr:uid="{00000000-0005-0000-0000-0000A5650000}"/>
    <cellStyle name="Normal 3 4 10 7 4" xfId="14913" xr:uid="{00000000-0005-0000-0000-0000A6650000}"/>
    <cellStyle name="Normal 3 4 10 7 4 2" xfId="32410" xr:uid="{00000000-0005-0000-0000-0000A7650000}"/>
    <cellStyle name="Normal 3 4 10 7 5" xfId="14914" xr:uid="{00000000-0005-0000-0000-0000A8650000}"/>
    <cellStyle name="Normal 3 4 10 7 5 2" xfId="32411" xr:uid="{00000000-0005-0000-0000-0000A9650000}"/>
    <cellStyle name="Normal 3 4 10 7 6" xfId="14915" xr:uid="{00000000-0005-0000-0000-0000AA650000}"/>
    <cellStyle name="Normal 3 4 10 7 6 2" xfId="32412" xr:uid="{00000000-0005-0000-0000-0000AB650000}"/>
    <cellStyle name="Normal 3 4 10 7 7" xfId="14916" xr:uid="{00000000-0005-0000-0000-0000AC650000}"/>
    <cellStyle name="Normal 3 4 10 7 7 2" xfId="32413" xr:uid="{00000000-0005-0000-0000-0000AD650000}"/>
    <cellStyle name="Normal 3 4 10 7 8" xfId="14917" xr:uid="{00000000-0005-0000-0000-0000AE650000}"/>
    <cellStyle name="Normal 3 4 10 7 8 2" xfId="32414" xr:uid="{00000000-0005-0000-0000-0000AF650000}"/>
    <cellStyle name="Normal 3 4 10 7 9" xfId="14918" xr:uid="{00000000-0005-0000-0000-0000B0650000}"/>
    <cellStyle name="Normal 3 4 10 7 9 2" xfId="32415" xr:uid="{00000000-0005-0000-0000-0000B1650000}"/>
    <cellStyle name="Normal 3 4 10 8" xfId="14919" xr:uid="{00000000-0005-0000-0000-0000B2650000}"/>
    <cellStyle name="Normal 3 4 10 8 10" xfId="14920" xr:uid="{00000000-0005-0000-0000-0000B3650000}"/>
    <cellStyle name="Normal 3 4 10 8 10 2" xfId="32417" xr:uid="{00000000-0005-0000-0000-0000B4650000}"/>
    <cellStyle name="Normal 3 4 10 8 11" xfId="14921" xr:uid="{00000000-0005-0000-0000-0000B5650000}"/>
    <cellStyle name="Normal 3 4 10 8 11 2" xfId="32418" xr:uid="{00000000-0005-0000-0000-0000B6650000}"/>
    <cellStyle name="Normal 3 4 10 8 12" xfId="14922" xr:uid="{00000000-0005-0000-0000-0000B7650000}"/>
    <cellStyle name="Normal 3 4 10 8 12 2" xfId="32419" xr:uid="{00000000-0005-0000-0000-0000B8650000}"/>
    <cellStyle name="Normal 3 4 10 8 13" xfId="14923" xr:uid="{00000000-0005-0000-0000-0000B9650000}"/>
    <cellStyle name="Normal 3 4 10 8 13 2" xfId="32420" xr:uid="{00000000-0005-0000-0000-0000BA650000}"/>
    <cellStyle name="Normal 3 4 10 8 14" xfId="14924" xr:uid="{00000000-0005-0000-0000-0000BB650000}"/>
    <cellStyle name="Normal 3 4 10 8 14 2" xfId="32421" xr:uid="{00000000-0005-0000-0000-0000BC650000}"/>
    <cellStyle name="Normal 3 4 10 8 15" xfId="32416" xr:uid="{00000000-0005-0000-0000-0000BD650000}"/>
    <cellStyle name="Normal 3 4 10 8 2" xfId="14925" xr:uid="{00000000-0005-0000-0000-0000BE650000}"/>
    <cellStyle name="Normal 3 4 10 8 2 2" xfId="32422" xr:uid="{00000000-0005-0000-0000-0000BF650000}"/>
    <cellStyle name="Normal 3 4 10 8 3" xfId="14926" xr:uid="{00000000-0005-0000-0000-0000C0650000}"/>
    <cellStyle name="Normal 3 4 10 8 3 2" xfId="32423" xr:uid="{00000000-0005-0000-0000-0000C1650000}"/>
    <cellStyle name="Normal 3 4 10 8 4" xfId="14927" xr:uid="{00000000-0005-0000-0000-0000C2650000}"/>
    <cellStyle name="Normal 3 4 10 8 4 2" xfId="32424" xr:uid="{00000000-0005-0000-0000-0000C3650000}"/>
    <cellStyle name="Normal 3 4 10 8 5" xfId="14928" xr:uid="{00000000-0005-0000-0000-0000C4650000}"/>
    <cellStyle name="Normal 3 4 10 8 5 2" xfId="32425" xr:uid="{00000000-0005-0000-0000-0000C5650000}"/>
    <cellStyle name="Normal 3 4 10 8 6" xfId="14929" xr:uid="{00000000-0005-0000-0000-0000C6650000}"/>
    <cellStyle name="Normal 3 4 10 8 6 2" xfId="32426" xr:uid="{00000000-0005-0000-0000-0000C7650000}"/>
    <cellStyle name="Normal 3 4 10 8 7" xfId="14930" xr:uid="{00000000-0005-0000-0000-0000C8650000}"/>
    <cellStyle name="Normal 3 4 10 8 7 2" xfId="32427" xr:uid="{00000000-0005-0000-0000-0000C9650000}"/>
    <cellStyle name="Normal 3 4 10 8 8" xfId="14931" xr:uid="{00000000-0005-0000-0000-0000CA650000}"/>
    <cellStyle name="Normal 3 4 10 8 8 2" xfId="32428" xr:uid="{00000000-0005-0000-0000-0000CB650000}"/>
    <cellStyle name="Normal 3 4 10 8 9" xfId="14932" xr:uid="{00000000-0005-0000-0000-0000CC650000}"/>
    <cellStyle name="Normal 3 4 10 8 9 2" xfId="32429" xr:uid="{00000000-0005-0000-0000-0000CD650000}"/>
    <cellStyle name="Normal 3 4 10 9" xfId="14933" xr:uid="{00000000-0005-0000-0000-0000CE650000}"/>
    <cellStyle name="Normal 3 4 10 9 10" xfId="14934" xr:uid="{00000000-0005-0000-0000-0000CF650000}"/>
    <cellStyle name="Normal 3 4 10 9 10 2" xfId="32431" xr:uid="{00000000-0005-0000-0000-0000D0650000}"/>
    <cellStyle name="Normal 3 4 10 9 11" xfId="14935" xr:uid="{00000000-0005-0000-0000-0000D1650000}"/>
    <cellStyle name="Normal 3 4 10 9 11 2" xfId="32432" xr:uid="{00000000-0005-0000-0000-0000D2650000}"/>
    <cellStyle name="Normal 3 4 10 9 12" xfId="14936" xr:uid="{00000000-0005-0000-0000-0000D3650000}"/>
    <cellStyle name="Normal 3 4 10 9 12 2" xfId="32433" xr:uid="{00000000-0005-0000-0000-0000D4650000}"/>
    <cellStyle name="Normal 3 4 10 9 13" xfId="14937" xr:uid="{00000000-0005-0000-0000-0000D5650000}"/>
    <cellStyle name="Normal 3 4 10 9 13 2" xfId="32434" xr:uid="{00000000-0005-0000-0000-0000D6650000}"/>
    <cellStyle name="Normal 3 4 10 9 14" xfId="14938" xr:uid="{00000000-0005-0000-0000-0000D7650000}"/>
    <cellStyle name="Normal 3 4 10 9 14 2" xfId="32435" xr:uid="{00000000-0005-0000-0000-0000D8650000}"/>
    <cellStyle name="Normal 3 4 10 9 15" xfId="32430" xr:uid="{00000000-0005-0000-0000-0000D9650000}"/>
    <cellStyle name="Normal 3 4 10 9 2" xfId="14939" xr:uid="{00000000-0005-0000-0000-0000DA650000}"/>
    <cellStyle name="Normal 3 4 10 9 2 2" xfId="32436" xr:uid="{00000000-0005-0000-0000-0000DB650000}"/>
    <cellStyle name="Normal 3 4 10 9 3" xfId="14940" xr:uid="{00000000-0005-0000-0000-0000DC650000}"/>
    <cellStyle name="Normal 3 4 10 9 3 2" xfId="32437" xr:uid="{00000000-0005-0000-0000-0000DD650000}"/>
    <cellStyle name="Normal 3 4 10 9 4" xfId="14941" xr:uid="{00000000-0005-0000-0000-0000DE650000}"/>
    <cellStyle name="Normal 3 4 10 9 4 2" xfId="32438" xr:uid="{00000000-0005-0000-0000-0000DF650000}"/>
    <cellStyle name="Normal 3 4 10 9 5" xfId="14942" xr:uid="{00000000-0005-0000-0000-0000E0650000}"/>
    <cellStyle name="Normal 3 4 10 9 5 2" xfId="32439" xr:uid="{00000000-0005-0000-0000-0000E1650000}"/>
    <cellStyle name="Normal 3 4 10 9 6" xfId="14943" xr:uid="{00000000-0005-0000-0000-0000E2650000}"/>
    <cellStyle name="Normal 3 4 10 9 6 2" xfId="32440" xr:uid="{00000000-0005-0000-0000-0000E3650000}"/>
    <cellStyle name="Normal 3 4 10 9 7" xfId="14944" xr:uid="{00000000-0005-0000-0000-0000E4650000}"/>
    <cellStyle name="Normal 3 4 10 9 7 2" xfId="32441" xr:uid="{00000000-0005-0000-0000-0000E5650000}"/>
    <cellStyle name="Normal 3 4 10 9 8" xfId="14945" xr:uid="{00000000-0005-0000-0000-0000E6650000}"/>
    <cellStyle name="Normal 3 4 10 9 8 2" xfId="32442" xr:uid="{00000000-0005-0000-0000-0000E7650000}"/>
    <cellStyle name="Normal 3 4 10 9 9" xfId="14946" xr:uid="{00000000-0005-0000-0000-0000E8650000}"/>
    <cellStyle name="Normal 3 4 10 9 9 2" xfId="32443" xr:uid="{00000000-0005-0000-0000-0000E9650000}"/>
    <cellStyle name="Normal 3 4 11" xfId="14947" xr:uid="{00000000-0005-0000-0000-0000EA650000}"/>
    <cellStyle name="Normal 3 4 11 10" xfId="14948" xr:uid="{00000000-0005-0000-0000-0000EB650000}"/>
    <cellStyle name="Normal 3 4 11 10 10" xfId="14949" xr:uid="{00000000-0005-0000-0000-0000EC650000}"/>
    <cellStyle name="Normal 3 4 11 10 10 2" xfId="32446" xr:uid="{00000000-0005-0000-0000-0000ED650000}"/>
    <cellStyle name="Normal 3 4 11 10 11" xfId="14950" xr:uid="{00000000-0005-0000-0000-0000EE650000}"/>
    <cellStyle name="Normal 3 4 11 10 11 2" xfId="32447" xr:uid="{00000000-0005-0000-0000-0000EF650000}"/>
    <cellStyle name="Normal 3 4 11 10 12" xfId="14951" xr:uid="{00000000-0005-0000-0000-0000F0650000}"/>
    <cellStyle name="Normal 3 4 11 10 12 2" xfId="32448" xr:uid="{00000000-0005-0000-0000-0000F1650000}"/>
    <cellStyle name="Normal 3 4 11 10 13" xfId="14952" xr:uid="{00000000-0005-0000-0000-0000F2650000}"/>
    <cellStyle name="Normal 3 4 11 10 13 2" xfId="32449" xr:uid="{00000000-0005-0000-0000-0000F3650000}"/>
    <cellStyle name="Normal 3 4 11 10 14" xfId="14953" xr:uid="{00000000-0005-0000-0000-0000F4650000}"/>
    <cellStyle name="Normal 3 4 11 10 14 2" xfId="32450" xr:uid="{00000000-0005-0000-0000-0000F5650000}"/>
    <cellStyle name="Normal 3 4 11 10 15" xfId="32445" xr:uid="{00000000-0005-0000-0000-0000F6650000}"/>
    <cellStyle name="Normal 3 4 11 10 2" xfId="14954" xr:uid="{00000000-0005-0000-0000-0000F7650000}"/>
    <cellStyle name="Normal 3 4 11 10 2 2" xfId="32451" xr:uid="{00000000-0005-0000-0000-0000F8650000}"/>
    <cellStyle name="Normal 3 4 11 10 3" xfId="14955" xr:uid="{00000000-0005-0000-0000-0000F9650000}"/>
    <cellStyle name="Normal 3 4 11 10 3 2" xfId="32452" xr:uid="{00000000-0005-0000-0000-0000FA650000}"/>
    <cellStyle name="Normal 3 4 11 10 4" xfId="14956" xr:uid="{00000000-0005-0000-0000-0000FB650000}"/>
    <cellStyle name="Normal 3 4 11 10 4 2" xfId="32453" xr:uid="{00000000-0005-0000-0000-0000FC650000}"/>
    <cellStyle name="Normal 3 4 11 10 5" xfId="14957" xr:uid="{00000000-0005-0000-0000-0000FD650000}"/>
    <cellStyle name="Normal 3 4 11 10 5 2" xfId="32454" xr:uid="{00000000-0005-0000-0000-0000FE650000}"/>
    <cellStyle name="Normal 3 4 11 10 6" xfId="14958" xr:uid="{00000000-0005-0000-0000-0000FF650000}"/>
    <cellStyle name="Normal 3 4 11 10 6 2" xfId="32455" xr:uid="{00000000-0005-0000-0000-000000660000}"/>
    <cellStyle name="Normal 3 4 11 10 7" xfId="14959" xr:uid="{00000000-0005-0000-0000-000001660000}"/>
    <cellStyle name="Normal 3 4 11 10 7 2" xfId="32456" xr:uid="{00000000-0005-0000-0000-000002660000}"/>
    <cellStyle name="Normal 3 4 11 10 8" xfId="14960" xr:uid="{00000000-0005-0000-0000-000003660000}"/>
    <cellStyle name="Normal 3 4 11 10 8 2" xfId="32457" xr:uid="{00000000-0005-0000-0000-000004660000}"/>
    <cellStyle name="Normal 3 4 11 10 9" xfId="14961" xr:uid="{00000000-0005-0000-0000-000005660000}"/>
    <cellStyle name="Normal 3 4 11 10 9 2" xfId="32458" xr:uid="{00000000-0005-0000-0000-000006660000}"/>
    <cellStyle name="Normal 3 4 11 11" xfId="14962" xr:uid="{00000000-0005-0000-0000-000007660000}"/>
    <cellStyle name="Normal 3 4 11 11 2" xfId="32459" xr:uid="{00000000-0005-0000-0000-000008660000}"/>
    <cellStyle name="Normal 3 4 11 12" xfId="14963" xr:uid="{00000000-0005-0000-0000-000009660000}"/>
    <cellStyle name="Normal 3 4 11 12 2" xfId="32460" xr:uid="{00000000-0005-0000-0000-00000A660000}"/>
    <cellStyle name="Normal 3 4 11 13" xfId="14964" xr:uid="{00000000-0005-0000-0000-00000B660000}"/>
    <cellStyle name="Normal 3 4 11 13 2" xfId="32461" xr:uid="{00000000-0005-0000-0000-00000C660000}"/>
    <cellStyle name="Normal 3 4 11 14" xfId="14965" xr:uid="{00000000-0005-0000-0000-00000D660000}"/>
    <cellStyle name="Normal 3 4 11 14 2" xfId="32462" xr:uid="{00000000-0005-0000-0000-00000E660000}"/>
    <cellStyle name="Normal 3 4 11 15" xfId="14966" xr:uid="{00000000-0005-0000-0000-00000F660000}"/>
    <cellStyle name="Normal 3 4 11 15 2" xfId="32463" xr:uid="{00000000-0005-0000-0000-000010660000}"/>
    <cellStyle name="Normal 3 4 11 16" xfId="14967" xr:uid="{00000000-0005-0000-0000-000011660000}"/>
    <cellStyle name="Normal 3 4 11 16 2" xfId="32464" xr:uid="{00000000-0005-0000-0000-000012660000}"/>
    <cellStyle name="Normal 3 4 11 17" xfId="14968" xr:uid="{00000000-0005-0000-0000-000013660000}"/>
    <cellStyle name="Normal 3 4 11 17 2" xfId="32465" xr:uid="{00000000-0005-0000-0000-000014660000}"/>
    <cellStyle name="Normal 3 4 11 18" xfId="14969" xr:uid="{00000000-0005-0000-0000-000015660000}"/>
    <cellStyle name="Normal 3 4 11 18 2" xfId="32466" xr:uid="{00000000-0005-0000-0000-000016660000}"/>
    <cellStyle name="Normal 3 4 11 19" xfId="14970" xr:uid="{00000000-0005-0000-0000-000017660000}"/>
    <cellStyle name="Normal 3 4 11 19 2" xfId="32467" xr:uid="{00000000-0005-0000-0000-000018660000}"/>
    <cellStyle name="Normal 3 4 11 2" xfId="14971" xr:uid="{00000000-0005-0000-0000-000019660000}"/>
    <cellStyle name="Normal 3 4 11 2 10" xfId="14972" xr:uid="{00000000-0005-0000-0000-00001A660000}"/>
    <cellStyle name="Normal 3 4 11 2 10 2" xfId="32469" xr:uid="{00000000-0005-0000-0000-00001B660000}"/>
    <cellStyle name="Normal 3 4 11 2 11" xfId="14973" xr:uid="{00000000-0005-0000-0000-00001C660000}"/>
    <cellStyle name="Normal 3 4 11 2 11 2" xfId="32470" xr:uid="{00000000-0005-0000-0000-00001D660000}"/>
    <cellStyle name="Normal 3 4 11 2 12" xfId="14974" xr:uid="{00000000-0005-0000-0000-00001E660000}"/>
    <cellStyle name="Normal 3 4 11 2 12 2" xfId="32471" xr:uid="{00000000-0005-0000-0000-00001F660000}"/>
    <cellStyle name="Normal 3 4 11 2 13" xfId="14975" xr:uid="{00000000-0005-0000-0000-000020660000}"/>
    <cellStyle name="Normal 3 4 11 2 13 2" xfId="32472" xr:uid="{00000000-0005-0000-0000-000021660000}"/>
    <cellStyle name="Normal 3 4 11 2 14" xfId="14976" xr:uid="{00000000-0005-0000-0000-000022660000}"/>
    <cellStyle name="Normal 3 4 11 2 14 2" xfId="32473" xr:uid="{00000000-0005-0000-0000-000023660000}"/>
    <cellStyle name="Normal 3 4 11 2 15" xfId="14977" xr:uid="{00000000-0005-0000-0000-000024660000}"/>
    <cellStyle name="Normal 3 4 11 2 15 2" xfId="32474" xr:uid="{00000000-0005-0000-0000-000025660000}"/>
    <cellStyle name="Normal 3 4 11 2 16" xfId="32468" xr:uid="{00000000-0005-0000-0000-000026660000}"/>
    <cellStyle name="Normal 3 4 11 2 2" xfId="14978" xr:uid="{00000000-0005-0000-0000-000027660000}"/>
    <cellStyle name="Normal 3 4 11 2 2 10" xfId="14979" xr:uid="{00000000-0005-0000-0000-000028660000}"/>
    <cellStyle name="Normal 3 4 11 2 2 10 2" xfId="32476" xr:uid="{00000000-0005-0000-0000-000029660000}"/>
    <cellStyle name="Normal 3 4 11 2 2 11" xfId="14980" xr:uid="{00000000-0005-0000-0000-00002A660000}"/>
    <cellStyle name="Normal 3 4 11 2 2 11 2" xfId="32477" xr:uid="{00000000-0005-0000-0000-00002B660000}"/>
    <cellStyle name="Normal 3 4 11 2 2 12" xfId="14981" xr:uid="{00000000-0005-0000-0000-00002C660000}"/>
    <cellStyle name="Normal 3 4 11 2 2 12 2" xfId="32478" xr:uid="{00000000-0005-0000-0000-00002D660000}"/>
    <cellStyle name="Normal 3 4 11 2 2 13" xfId="14982" xr:uid="{00000000-0005-0000-0000-00002E660000}"/>
    <cellStyle name="Normal 3 4 11 2 2 13 2" xfId="32479" xr:uid="{00000000-0005-0000-0000-00002F660000}"/>
    <cellStyle name="Normal 3 4 11 2 2 14" xfId="14983" xr:uid="{00000000-0005-0000-0000-000030660000}"/>
    <cellStyle name="Normal 3 4 11 2 2 14 2" xfId="32480" xr:uid="{00000000-0005-0000-0000-000031660000}"/>
    <cellStyle name="Normal 3 4 11 2 2 15" xfId="32475" xr:uid="{00000000-0005-0000-0000-000032660000}"/>
    <cellStyle name="Normal 3 4 11 2 2 2" xfId="14984" xr:uid="{00000000-0005-0000-0000-000033660000}"/>
    <cellStyle name="Normal 3 4 11 2 2 2 2" xfId="32481" xr:uid="{00000000-0005-0000-0000-000034660000}"/>
    <cellStyle name="Normal 3 4 11 2 2 3" xfId="14985" xr:uid="{00000000-0005-0000-0000-000035660000}"/>
    <cellStyle name="Normal 3 4 11 2 2 3 2" xfId="32482" xr:uid="{00000000-0005-0000-0000-000036660000}"/>
    <cellStyle name="Normal 3 4 11 2 2 4" xfId="14986" xr:uid="{00000000-0005-0000-0000-000037660000}"/>
    <cellStyle name="Normal 3 4 11 2 2 4 2" xfId="32483" xr:uid="{00000000-0005-0000-0000-000038660000}"/>
    <cellStyle name="Normal 3 4 11 2 2 5" xfId="14987" xr:uid="{00000000-0005-0000-0000-000039660000}"/>
    <cellStyle name="Normal 3 4 11 2 2 5 2" xfId="32484" xr:uid="{00000000-0005-0000-0000-00003A660000}"/>
    <cellStyle name="Normal 3 4 11 2 2 6" xfId="14988" xr:uid="{00000000-0005-0000-0000-00003B660000}"/>
    <cellStyle name="Normal 3 4 11 2 2 6 2" xfId="32485" xr:uid="{00000000-0005-0000-0000-00003C660000}"/>
    <cellStyle name="Normal 3 4 11 2 2 7" xfId="14989" xr:uid="{00000000-0005-0000-0000-00003D660000}"/>
    <cellStyle name="Normal 3 4 11 2 2 7 2" xfId="32486" xr:uid="{00000000-0005-0000-0000-00003E660000}"/>
    <cellStyle name="Normal 3 4 11 2 2 8" xfId="14990" xr:uid="{00000000-0005-0000-0000-00003F660000}"/>
    <cellStyle name="Normal 3 4 11 2 2 8 2" xfId="32487" xr:uid="{00000000-0005-0000-0000-000040660000}"/>
    <cellStyle name="Normal 3 4 11 2 2 9" xfId="14991" xr:uid="{00000000-0005-0000-0000-000041660000}"/>
    <cellStyle name="Normal 3 4 11 2 2 9 2" xfId="32488" xr:uid="{00000000-0005-0000-0000-000042660000}"/>
    <cellStyle name="Normal 3 4 11 2 3" xfId="14992" xr:uid="{00000000-0005-0000-0000-000043660000}"/>
    <cellStyle name="Normal 3 4 11 2 3 2" xfId="32489" xr:uid="{00000000-0005-0000-0000-000044660000}"/>
    <cellStyle name="Normal 3 4 11 2 4" xfId="14993" xr:uid="{00000000-0005-0000-0000-000045660000}"/>
    <cellStyle name="Normal 3 4 11 2 4 2" xfId="32490" xr:uid="{00000000-0005-0000-0000-000046660000}"/>
    <cellStyle name="Normal 3 4 11 2 5" xfId="14994" xr:uid="{00000000-0005-0000-0000-000047660000}"/>
    <cellStyle name="Normal 3 4 11 2 5 2" xfId="32491" xr:uid="{00000000-0005-0000-0000-000048660000}"/>
    <cellStyle name="Normal 3 4 11 2 6" xfId="14995" xr:uid="{00000000-0005-0000-0000-000049660000}"/>
    <cellStyle name="Normal 3 4 11 2 6 2" xfId="32492" xr:uid="{00000000-0005-0000-0000-00004A660000}"/>
    <cellStyle name="Normal 3 4 11 2 7" xfId="14996" xr:uid="{00000000-0005-0000-0000-00004B660000}"/>
    <cellStyle name="Normal 3 4 11 2 7 2" xfId="32493" xr:uid="{00000000-0005-0000-0000-00004C660000}"/>
    <cellStyle name="Normal 3 4 11 2 8" xfId="14997" xr:uid="{00000000-0005-0000-0000-00004D660000}"/>
    <cellStyle name="Normal 3 4 11 2 8 2" xfId="32494" xr:uid="{00000000-0005-0000-0000-00004E660000}"/>
    <cellStyle name="Normal 3 4 11 2 9" xfId="14998" xr:uid="{00000000-0005-0000-0000-00004F660000}"/>
    <cellStyle name="Normal 3 4 11 2 9 2" xfId="32495" xr:uid="{00000000-0005-0000-0000-000050660000}"/>
    <cellStyle name="Normal 3 4 11 20" xfId="14999" xr:uid="{00000000-0005-0000-0000-000051660000}"/>
    <cellStyle name="Normal 3 4 11 20 2" xfId="32496" xr:uid="{00000000-0005-0000-0000-000052660000}"/>
    <cellStyle name="Normal 3 4 11 21" xfId="15000" xr:uid="{00000000-0005-0000-0000-000053660000}"/>
    <cellStyle name="Normal 3 4 11 21 2" xfId="32497" xr:uid="{00000000-0005-0000-0000-000054660000}"/>
    <cellStyle name="Normal 3 4 11 22" xfId="15001" xr:uid="{00000000-0005-0000-0000-000055660000}"/>
    <cellStyle name="Normal 3 4 11 22 2" xfId="32498" xr:uid="{00000000-0005-0000-0000-000056660000}"/>
    <cellStyle name="Normal 3 4 11 23" xfId="15002" xr:uid="{00000000-0005-0000-0000-000057660000}"/>
    <cellStyle name="Normal 3 4 11 23 2" xfId="32499" xr:uid="{00000000-0005-0000-0000-000058660000}"/>
    <cellStyle name="Normal 3 4 11 24" xfId="32444" xr:uid="{00000000-0005-0000-0000-000059660000}"/>
    <cellStyle name="Normal 3 4 11 3" xfId="15003" xr:uid="{00000000-0005-0000-0000-00005A660000}"/>
    <cellStyle name="Normal 3 4 11 3 10" xfId="15004" xr:uid="{00000000-0005-0000-0000-00005B660000}"/>
    <cellStyle name="Normal 3 4 11 3 10 2" xfId="32501" xr:uid="{00000000-0005-0000-0000-00005C660000}"/>
    <cellStyle name="Normal 3 4 11 3 11" xfId="15005" xr:uid="{00000000-0005-0000-0000-00005D660000}"/>
    <cellStyle name="Normal 3 4 11 3 11 2" xfId="32502" xr:uid="{00000000-0005-0000-0000-00005E660000}"/>
    <cellStyle name="Normal 3 4 11 3 12" xfId="15006" xr:uid="{00000000-0005-0000-0000-00005F660000}"/>
    <cellStyle name="Normal 3 4 11 3 12 2" xfId="32503" xr:uid="{00000000-0005-0000-0000-000060660000}"/>
    <cellStyle name="Normal 3 4 11 3 13" xfId="15007" xr:uid="{00000000-0005-0000-0000-000061660000}"/>
    <cellStyle name="Normal 3 4 11 3 13 2" xfId="32504" xr:uid="{00000000-0005-0000-0000-000062660000}"/>
    <cellStyle name="Normal 3 4 11 3 14" xfId="15008" xr:uid="{00000000-0005-0000-0000-000063660000}"/>
    <cellStyle name="Normal 3 4 11 3 14 2" xfId="32505" xr:uid="{00000000-0005-0000-0000-000064660000}"/>
    <cellStyle name="Normal 3 4 11 3 15" xfId="15009" xr:uid="{00000000-0005-0000-0000-000065660000}"/>
    <cellStyle name="Normal 3 4 11 3 15 2" xfId="32506" xr:uid="{00000000-0005-0000-0000-000066660000}"/>
    <cellStyle name="Normal 3 4 11 3 16" xfId="32500" xr:uid="{00000000-0005-0000-0000-000067660000}"/>
    <cellStyle name="Normal 3 4 11 3 2" xfId="15010" xr:uid="{00000000-0005-0000-0000-000068660000}"/>
    <cellStyle name="Normal 3 4 11 3 2 10" xfId="15011" xr:uid="{00000000-0005-0000-0000-000069660000}"/>
    <cellStyle name="Normal 3 4 11 3 2 10 2" xfId="32508" xr:uid="{00000000-0005-0000-0000-00006A660000}"/>
    <cellStyle name="Normal 3 4 11 3 2 11" xfId="15012" xr:uid="{00000000-0005-0000-0000-00006B660000}"/>
    <cellStyle name="Normal 3 4 11 3 2 11 2" xfId="32509" xr:uid="{00000000-0005-0000-0000-00006C660000}"/>
    <cellStyle name="Normal 3 4 11 3 2 12" xfId="15013" xr:uid="{00000000-0005-0000-0000-00006D660000}"/>
    <cellStyle name="Normal 3 4 11 3 2 12 2" xfId="32510" xr:uid="{00000000-0005-0000-0000-00006E660000}"/>
    <cellStyle name="Normal 3 4 11 3 2 13" xfId="15014" xr:uid="{00000000-0005-0000-0000-00006F660000}"/>
    <cellStyle name="Normal 3 4 11 3 2 13 2" xfId="32511" xr:uid="{00000000-0005-0000-0000-000070660000}"/>
    <cellStyle name="Normal 3 4 11 3 2 14" xfId="15015" xr:uid="{00000000-0005-0000-0000-000071660000}"/>
    <cellStyle name="Normal 3 4 11 3 2 14 2" xfId="32512" xr:uid="{00000000-0005-0000-0000-000072660000}"/>
    <cellStyle name="Normal 3 4 11 3 2 15" xfId="32507" xr:uid="{00000000-0005-0000-0000-000073660000}"/>
    <cellStyle name="Normal 3 4 11 3 2 2" xfId="15016" xr:uid="{00000000-0005-0000-0000-000074660000}"/>
    <cellStyle name="Normal 3 4 11 3 2 2 2" xfId="32513" xr:uid="{00000000-0005-0000-0000-000075660000}"/>
    <cellStyle name="Normal 3 4 11 3 2 3" xfId="15017" xr:uid="{00000000-0005-0000-0000-000076660000}"/>
    <cellStyle name="Normal 3 4 11 3 2 3 2" xfId="32514" xr:uid="{00000000-0005-0000-0000-000077660000}"/>
    <cellStyle name="Normal 3 4 11 3 2 4" xfId="15018" xr:uid="{00000000-0005-0000-0000-000078660000}"/>
    <cellStyle name="Normal 3 4 11 3 2 4 2" xfId="32515" xr:uid="{00000000-0005-0000-0000-000079660000}"/>
    <cellStyle name="Normal 3 4 11 3 2 5" xfId="15019" xr:uid="{00000000-0005-0000-0000-00007A660000}"/>
    <cellStyle name="Normal 3 4 11 3 2 5 2" xfId="32516" xr:uid="{00000000-0005-0000-0000-00007B660000}"/>
    <cellStyle name="Normal 3 4 11 3 2 6" xfId="15020" xr:uid="{00000000-0005-0000-0000-00007C660000}"/>
    <cellStyle name="Normal 3 4 11 3 2 6 2" xfId="32517" xr:uid="{00000000-0005-0000-0000-00007D660000}"/>
    <cellStyle name="Normal 3 4 11 3 2 7" xfId="15021" xr:uid="{00000000-0005-0000-0000-00007E660000}"/>
    <cellStyle name="Normal 3 4 11 3 2 7 2" xfId="32518" xr:uid="{00000000-0005-0000-0000-00007F660000}"/>
    <cellStyle name="Normal 3 4 11 3 2 8" xfId="15022" xr:uid="{00000000-0005-0000-0000-000080660000}"/>
    <cellStyle name="Normal 3 4 11 3 2 8 2" xfId="32519" xr:uid="{00000000-0005-0000-0000-000081660000}"/>
    <cellStyle name="Normal 3 4 11 3 2 9" xfId="15023" xr:uid="{00000000-0005-0000-0000-000082660000}"/>
    <cellStyle name="Normal 3 4 11 3 2 9 2" xfId="32520" xr:uid="{00000000-0005-0000-0000-000083660000}"/>
    <cellStyle name="Normal 3 4 11 3 3" xfId="15024" xr:uid="{00000000-0005-0000-0000-000084660000}"/>
    <cellStyle name="Normal 3 4 11 3 3 2" xfId="32521" xr:uid="{00000000-0005-0000-0000-000085660000}"/>
    <cellStyle name="Normal 3 4 11 3 4" xfId="15025" xr:uid="{00000000-0005-0000-0000-000086660000}"/>
    <cellStyle name="Normal 3 4 11 3 4 2" xfId="32522" xr:uid="{00000000-0005-0000-0000-000087660000}"/>
    <cellStyle name="Normal 3 4 11 3 5" xfId="15026" xr:uid="{00000000-0005-0000-0000-000088660000}"/>
    <cellStyle name="Normal 3 4 11 3 5 2" xfId="32523" xr:uid="{00000000-0005-0000-0000-000089660000}"/>
    <cellStyle name="Normal 3 4 11 3 6" xfId="15027" xr:uid="{00000000-0005-0000-0000-00008A660000}"/>
    <cellStyle name="Normal 3 4 11 3 6 2" xfId="32524" xr:uid="{00000000-0005-0000-0000-00008B660000}"/>
    <cellStyle name="Normal 3 4 11 3 7" xfId="15028" xr:uid="{00000000-0005-0000-0000-00008C660000}"/>
    <cellStyle name="Normal 3 4 11 3 7 2" xfId="32525" xr:uid="{00000000-0005-0000-0000-00008D660000}"/>
    <cellStyle name="Normal 3 4 11 3 8" xfId="15029" xr:uid="{00000000-0005-0000-0000-00008E660000}"/>
    <cellStyle name="Normal 3 4 11 3 8 2" xfId="32526" xr:uid="{00000000-0005-0000-0000-00008F660000}"/>
    <cellStyle name="Normal 3 4 11 3 9" xfId="15030" xr:uid="{00000000-0005-0000-0000-000090660000}"/>
    <cellStyle name="Normal 3 4 11 3 9 2" xfId="32527" xr:uid="{00000000-0005-0000-0000-000091660000}"/>
    <cellStyle name="Normal 3 4 11 4" xfId="15031" xr:uid="{00000000-0005-0000-0000-000092660000}"/>
    <cellStyle name="Normal 3 4 11 4 10" xfId="15032" xr:uid="{00000000-0005-0000-0000-000093660000}"/>
    <cellStyle name="Normal 3 4 11 4 10 2" xfId="32529" xr:uid="{00000000-0005-0000-0000-000094660000}"/>
    <cellStyle name="Normal 3 4 11 4 11" xfId="15033" xr:uid="{00000000-0005-0000-0000-000095660000}"/>
    <cellStyle name="Normal 3 4 11 4 11 2" xfId="32530" xr:uid="{00000000-0005-0000-0000-000096660000}"/>
    <cellStyle name="Normal 3 4 11 4 12" xfId="15034" xr:uid="{00000000-0005-0000-0000-000097660000}"/>
    <cellStyle name="Normal 3 4 11 4 12 2" xfId="32531" xr:uid="{00000000-0005-0000-0000-000098660000}"/>
    <cellStyle name="Normal 3 4 11 4 13" xfId="15035" xr:uid="{00000000-0005-0000-0000-000099660000}"/>
    <cellStyle name="Normal 3 4 11 4 13 2" xfId="32532" xr:uid="{00000000-0005-0000-0000-00009A660000}"/>
    <cellStyle name="Normal 3 4 11 4 14" xfId="15036" xr:uid="{00000000-0005-0000-0000-00009B660000}"/>
    <cellStyle name="Normal 3 4 11 4 14 2" xfId="32533" xr:uid="{00000000-0005-0000-0000-00009C660000}"/>
    <cellStyle name="Normal 3 4 11 4 15" xfId="15037" xr:uid="{00000000-0005-0000-0000-00009D660000}"/>
    <cellStyle name="Normal 3 4 11 4 15 2" xfId="32534" xr:uid="{00000000-0005-0000-0000-00009E660000}"/>
    <cellStyle name="Normal 3 4 11 4 16" xfId="32528" xr:uid="{00000000-0005-0000-0000-00009F660000}"/>
    <cellStyle name="Normal 3 4 11 4 2" xfId="15038" xr:uid="{00000000-0005-0000-0000-0000A0660000}"/>
    <cellStyle name="Normal 3 4 11 4 2 10" xfId="15039" xr:uid="{00000000-0005-0000-0000-0000A1660000}"/>
    <cellStyle name="Normal 3 4 11 4 2 10 2" xfId="32536" xr:uid="{00000000-0005-0000-0000-0000A2660000}"/>
    <cellStyle name="Normal 3 4 11 4 2 11" xfId="15040" xr:uid="{00000000-0005-0000-0000-0000A3660000}"/>
    <cellStyle name="Normal 3 4 11 4 2 11 2" xfId="32537" xr:uid="{00000000-0005-0000-0000-0000A4660000}"/>
    <cellStyle name="Normal 3 4 11 4 2 12" xfId="15041" xr:uid="{00000000-0005-0000-0000-0000A5660000}"/>
    <cellStyle name="Normal 3 4 11 4 2 12 2" xfId="32538" xr:uid="{00000000-0005-0000-0000-0000A6660000}"/>
    <cellStyle name="Normal 3 4 11 4 2 13" xfId="15042" xr:uid="{00000000-0005-0000-0000-0000A7660000}"/>
    <cellStyle name="Normal 3 4 11 4 2 13 2" xfId="32539" xr:uid="{00000000-0005-0000-0000-0000A8660000}"/>
    <cellStyle name="Normal 3 4 11 4 2 14" xfId="15043" xr:uid="{00000000-0005-0000-0000-0000A9660000}"/>
    <cellStyle name="Normal 3 4 11 4 2 14 2" xfId="32540" xr:uid="{00000000-0005-0000-0000-0000AA660000}"/>
    <cellStyle name="Normal 3 4 11 4 2 15" xfId="32535" xr:uid="{00000000-0005-0000-0000-0000AB660000}"/>
    <cellStyle name="Normal 3 4 11 4 2 2" xfId="15044" xr:uid="{00000000-0005-0000-0000-0000AC660000}"/>
    <cellStyle name="Normal 3 4 11 4 2 2 2" xfId="32541" xr:uid="{00000000-0005-0000-0000-0000AD660000}"/>
    <cellStyle name="Normal 3 4 11 4 2 3" xfId="15045" xr:uid="{00000000-0005-0000-0000-0000AE660000}"/>
    <cellStyle name="Normal 3 4 11 4 2 3 2" xfId="32542" xr:uid="{00000000-0005-0000-0000-0000AF660000}"/>
    <cellStyle name="Normal 3 4 11 4 2 4" xfId="15046" xr:uid="{00000000-0005-0000-0000-0000B0660000}"/>
    <cellStyle name="Normal 3 4 11 4 2 4 2" xfId="32543" xr:uid="{00000000-0005-0000-0000-0000B1660000}"/>
    <cellStyle name="Normal 3 4 11 4 2 5" xfId="15047" xr:uid="{00000000-0005-0000-0000-0000B2660000}"/>
    <cellStyle name="Normal 3 4 11 4 2 5 2" xfId="32544" xr:uid="{00000000-0005-0000-0000-0000B3660000}"/>
    <cellStyle name="Normal 3 4 11 4 2 6" xfId="15048" xr:uid="{00000000-0005-0000-0000-0000B4660000}"/>
    <cellStyle name="Normal 3 4 11 4 2 6 2" xfId="32545" xr:uid="{00000000-0005-0000-0000-0000B5660000}"/>
    <cellStyle name="Normal 3 4 11 4 2 7" xfId="15049" xr:uid="{00000000-0005-0000-0000-0000B6660000}"/>
    <cellStyle name="Normal 3 4 11 4 2 7 2" xfId="32546" xr:uid="{00000000-0005-0000-0000-0000B7660000}"/>
    <cellStyle name="Normal 3 4 11 4 2 8" xfId="15050" xr:uid="{00000000-0005-0000-0000-0000B8660000}"/>
    <cellStyle name="Normal 3 4 11 4 2 8 2" xfId="32547" xr:uid="{00000000-0005-0000-0000-0000B9660000}"/>
    <cellStyle name="Normal 3 4 11 4 2 9" xfId="15051" xr:uid="{00000000-0005-0000-0000-0000BA660000}"/>
    <cellStyle name="Normal 3 4 11 4 2 9 2" xfId="32548" xr:uid="{00000000-0005-0000-0000-0000BB660000}"/>
    <cellStyle name="Normal 3 4 11 4 3" xfId="15052" xr:uid="{00000000-0005-0000-0000-0000BC660000}"/>
    <cellStyle name="Normal 3 4 11 4 3 2" xfId="32549" xr:uid="{00000000-0005-0000-0000-0000BD660000}"/>
    <cellStyle name="Normal 3 4 11 4 4" xfId="15053" xr:uid="{00000000-0005-0000-0000-0000BE660000}"/>
    <cellStyle name="Normal 3 4 11 4 4 2" xfId="32550" xr:uid="{00000000-0005-0000-0000-0000BF660000}"/>
    <cellStyle name="Normal 3 4 11 4 5" xfId="15054" xr:uid="{00000000-0005-0000-0000-0000C0660000}"/>
    <cellStyle name="Normal 3 4 11 4 5 2" xfId="32551" xr:uid="{00000000-0005-0000-0000-0000C1660000}"/>
    <cellStyle name="Normal 3 4 11 4 6" xfId="15055" xr:uid="{00000000-0005-0000-0000-0000C2660000}"/>
    <cellStyle name="Normal 3 4 11 4 6 2" xfId="32552" xr:uid="{00000000-0005-0000-0000-0000C3660000}"/>
    <cellStyle name="Normal 3 4 11 4 7" xfId="15056" xr:uid="{00000000-0005-0000-0000-0000C4660000}"/>
    <cellStyle name="Normal 3 4 11 4 7 2" xfId="32553" xr:uid="{00000000-0005-0000-0000-0000C5660000}"/>
    <cellStyle name="Normal 3 4 11 4 8" xfId="15057" xr:uid="{00000000-0005-0000-0000-0000C6660000}"/>
    <cellStyle name="Normal 3 4 11 4 8 2" xfId="32554" xr:uid="{00000000-0005-0000-0000-0000C7660000}"/>
    <cellStyle name="Normal 3 4 11 4 9" xfId="15058" xr:uid="{00000000-0005-0000-0000-0000C8660000}"/>
    <cellStyle name="Normal 3 4 11 4 9 2" xfId="32555" xr:uid="{00000000-0005-0000-0000-0000C9660000}"/>
    <cellStyle name="Normal 3 4 11 5" xfId="15059" xr:uid="{00000000-0005-0000-0000-0000CA660000}"/>
    <cellStyle name="Normal 3 4 11 5 10" xfId="15060" xr:uid="{00000000-0005-0000-0000-0000CB660000}"/>
    <cellStyle name="Normal 3 4 11 5 10 2" xfId="32557" xr:uid="{00000000-0005-0000-0000-0000CC660000}"/>
    <cellStyle name="Normal 3 4 11 5 11" xfId="15061" xr:uid="{00000000-0005-0000-0000-0000CD660000}"/>
    <cellStyle name="Normal 3 4 11 5 11 2" xfId="32558" xr:uid="{00000000-0005-0000-0000-0000CE660000}"/>
    <cellStyle name="Normal 3 4 11 5 12" xfId="15062" xr:uid="{00000000-0005-0000-0000-0000CF660000}"/>
    <cellStyle name="Normal 3 4 11 5 12 2" xfId="32559" xr:uid="{00000000-0005-0000-0000-0000D0660000}"/>
    <cellStyle name="Normal 3 4 11 5 13" xfId="15063" xr:uid="{00000000-0005-0000-0000-0000D1660000}"/>
    <cellStyle name="Normal 3 4 11 5 13 2" xfId="32560" xr:uid="{00000000-0005-0000-0000-0000D2660000}"/>
    <cellStyle name="Normal 3 4 11 5 14" xfId="15064" xr:uid="{00000000-0005-0000-0000-0000D3660000}"/>
    <cellStyle name="Normal 3 4 11 5 14 2" xfId="32561" xr:uid="{00000000-0005-0000-0000-0000D4660000}"/>
    <cellStyle name="Normal 3 4 11 5 15" xfId="32556" xr:uid="{00000000-0005-0000-0000-0000D5660000}"/>
    <cellStyle name="Normal 3 4 11 5 2" xfId="15065" xr:uid="{00000000-0005-0000-0000-0000D6660000}"/>
    <cellStyle name="Normal 3 4 11 5 2 2" xfId="32562" xr:uid="{00000000-0005-0000-0000-0000D7660000}"/>
    <cellStyle name="Normal 3 4 11 5 3" xfId="15066" xr:uid="{00000000-0005-0000-0000-0000D8660000}"/>
    <cellStyle name="Normal 3 4 11 5 3 2" xfId="32563" xr:uid="{00000000-0005-0000-0000-0000D9660000}"/>
    <cellStyle name="Normal 3 4 11 5 4" xfId="15067" xr:uid="{00000000-0005-0000-0000-0000DA660000}"/>
    <cellStyle name="Normal 3 4 11 5 4 2" xfId="32564" xr:uid="{00000000-0005-0000-0000-0000DB660000}"/>
    <cellStyle name="Normal 3 4 11 5 5" xfId="15068" xr:uid="{00000000-0005-0000-0000-0000DC660000}"/>
    <cellStyle name="Normal 3 4 11 5 5 2" xfId="32565" xr:uid="{00000000-0005-0000-0000-0000DD660000}"/>
    <cellStyle name="Normal 3 4 11 5 6" xfId="15069" xr:uid="{00000000-0005-0000-0000-0000DE660000}"/>
    <cellStyle name="Normal 3 4 11 5 6 2" xfId="32566" xr:uid="{00000000-0005-0000-0000-0000DF660000}"/>
    <cellStyle name="Normal 3 4 11 5 7" xfId="15070" xr:uid="{00000000-0005-0000-0000-0000E0660000}"/>
    <cellStyle name="Normal 3 4 11 5 7 2" xfId="32567" xr:uid="{00000000-0005-0000-0000-0000E1660000}"/>
    <cellStyle name="Normal 3 4 11 5 8" xfId="15071" xr:uid="{00000000-0005-0000-0000-0000E2660000}"/>
    <cellStyle name="Normal 3 4 11 5 8 2" xfId="32568" xr:uid="{00000000-0005-0000-0000-0000E3660000}"/>
    <cellStyle name="Normal 3 4 11 5 9" xfId="15072" xr:uid="{00000000-0005-0000-0000-0000E4660000}"/>
    <cellStyle name="Normal 3 4 11 5 9 2" xfId="32569" xr:uid="{00000000-0005-0000-0000-0000E5660000}"/>
    <cellStyle name="Normal 3 4 11 6" xfId="15073" xr:uid="{00000000-0005-0000-0000-0000E6660000}"/>
    <cellStyle name="Normal 3 4 11 6 10" xfId="15074" xr:uid="{00000000-0005-0000-0000-0000E7660000}"/>
    <cellStyle name="Normal 3 4 11 6 10 2" xfId="32571" xr:uid="{00000000-0005-0000-0000-0000E8660000}"/>
    <cellStyle name="Normal 3 4 11 6 11" xfId="15075" xr:uid="{00000000-0005-0000-0000-0000E9660000}"/>
    <cellStyle name="Normal 3 4 11 6 11 2" xfId="32572" xr:uid="{00000000-0005-0000-0000-0000EA660000}"/>
    <cellStyle name="Normal 3 4 11 6 12" xfId="15076" xr:uid="{00000000-0005-0000-0000-0000EB660000}"/>
    <cellStyle name="Normal 3 4 11 6 12 2" xfId="32573" xr:uid="{00000000-0005-0000-0000-0000EC660000}"/>
    <cellStyle name="Normal 3 4 11 6 13" xfId="15077" xr:uid="{00000000-0005-0000-0000-0000ED660000}"/>
    <cellStyle name="Normal 3 4 11 6 13 2" xfId="32574" xr:uid="{00000000-0005-0000-0000-0000EE660000}"/>
    <cellStyle name="Normal 3 4 11 6 14" xfId="15078" xr:uid="{00000000-0005-0000-0000-0000EF660000}"/>
    <cellStyle name="Normal 3 4 11 6 14 2" xfId="32575" xr:uid="{00000000-0005-0000-0000-0000F0660000}"/>
    <cellStyle name="Normal 3 4 11 6 15" xfId="32570" xr:uid="{00000000-0005-0000-0000-0000F1660000}"/>
    <cellStyle name="Normal 3 4 11 6 2" xfId="15079" xr:uid="{00000000-0005-0000-0000-0000F2660000}"/>
    <cellStyle name="Normal 3 4 11 6 2 2" xfId="32576" xr:uid="{00000000-0005-0000-0000-0000F3660000}"/>
    <cellStyle name="Normal 3 4 11 6 3" xfId="15080" xr:uid="{00000000-0005-0000-0000-0000F4660000}"/>
    <cellStyle name="Normal 3 4 11 6 3 2" xfId="32577" xr:uid="{00000000-0005-0000-0000-0000F5660000}"/>
    <cellStyle name="Normal 3 4 11 6 4" xfId="15081" xr:uid="{00000000-0005-0000-0000-0000F6660000}"/>
    <cellStyle name="Normal 3 4 11 6 4 2" xfId="32578" xr:uid="{00000000-0005-0000-0000-0000F7660000}"/>
    <cellStyle name="Normal 3 4 11 6 5" xfId="15082" xr:uid="{00000000-0005-0000-0000-0000F8660000}"/>
    <cellStyle name="Normal 3 4 11 6 5 2" xfId="32579" xr:uid="{00000000-0005-0000-0000-0000F9660000}"/>
    <cellStyle name="Normal 3 4 11 6 6" xfId="15083" xr:uid="{00000000-0005-0000-0000-0000FA660000}"/>
    <cellStyle name="Normal 3 4 11 6 6 2" xfId="32580" xr:uid="{00000000-0005-0000-0000-0000FB660000}"/>
    <cellStyle name="Normal 3 4 11 6 7" xfId="15084" xr:uid="{00000000-0005-0000-0000-0000FC660000}"/>
    <cellStyle name="Normal 3 4 11 6 7 2" xfId="32581" xr:uid="{00000000-0005-0000-0000-0000FD660000}"/>
    <cellStyle name="Normal 3 4 11 6 8" xfId="15085" xr:uid="{00000000-0005-0000-0000-0000FE660000}"/>
    <cellStyle name="Normal 3 4 11 6 8 2" xfId="32582" xr:uid="{00000000-0005-0000-0000-0000FF660000}"/>
    <cellStyle name="Normal 3 4 11 6 9" xfId="15086" xr:uid="{00000000-0005-0000-0000-000000670000}"/>
    <cellStyle name="Normal 3 4 11 6 9 2" xfId="32583" xr:uid="{00000000-0005-0000-0000-000001670000}"/>
    <cellStyle name="Normal 3 4 11 7" xfId="15087" xr:uid="{00000000-0005-0000-0000-000002670000}"/>
    <cellStyle name="Normal 3 4 11 7 10" xfId="15088" xr:uid="{00000000-0005-0000-0000-000003670000}"/>
    <cellStyle name="Normal 3 4 11 7 10 2" xfId="32585" xr:uid="{00000000-0005-0000-0000-000004670000}"/>
    <cellStyle name="Normal 3 4 11 7 11" xfId="15089" xr:uid="{00000000-0005-0000-0000-000005670000}"/>
    <cellStyle name="Normal 3 4 11 7 11 2" xfId="32586" xr:uid="{00000000-0005-0000-0000-000006670000}"/>
    <cellStyle name="Normal 3 4 11 7 12" xfId="15090" xr:uid="{00000000-0005-0000-0000-000007670000}"/>
    <cellStyle name="Normal 3 4 11 7 12 2" xfId="32587" xr:uid="{00000000-0005-0000-0000-000008670000}"/>
    <cellStyle name="Normal 3 4 11 7 13" xfId="15091" xr:uid="{00000000-0005-0000-0000-000009670000}"/>
    <cellStyle name="Normal 3 4 11 7 13 2" xfId="32588" xr:uid="{00000000-0005-0000-0000-00000A670000}"/>
    <cellStyle name="Normal 3 4 11 7 14" xfId="15092" xr:uid="{00000000-0005-0000-0000-00000B670000}"/>
    <cellStyle name="Normal 3 4 11 7 14 2" xfId="32589" xr:uid="{00000000-0005-0000-0000-00000C670000}"/>
    <cellStyle name="Normal 3 4 11 7 15" xfId="32584" xr:uid="{00000000-0005-0000-0000-00000D670000}"/>
    <cellStyle name="Normal 3 4 11 7 2" xfId="15093" xr:uid="{00000000-0005-0000-0000-00000E670000}"/>
    <cellStyle name="Normal 3 4 11 7 2 2" xfId="32590" xr:uid="{00000000-0005-0000-0000-00000F670000}"/>
    <cellStyle name="Normal 3 4 11 7 3" xfId="15094" xr:uid="{00000000-0005-0000-0000-000010670000}"/>
    <cellStyle name="Normal 3 4 11 7 3 2" xfId="32591" xr:uid="{00000000-0005-0000-0000-000011670000}"/>
    <cellStyle name="Normal 3 4 11 7 4" xfId="15095" xr:uid="{00000000-0005-0000-0000-000012670000}"/>
    <cellStyle name="Normal 3 4 11 7 4 2" xfId="32592" xr:uid="{00000000-0005-0000-0000-000013670000}"/>
    <cellStyle name="Normal 3 4 11 7 5" xfId="15096" xr:uid="{00000000-0005-0000-0000-000014670000}"/>
    <cellStyle name="Normal 3 4 11 7 5 2" xfId="32593" xr:uid="{00000000-0005-0000-0000-000015670000}"/>
    <cellStyle name="Normal 3 4 11 7 6" xfId="15097" xr:uid="{00000000-0005-0000-0000-000016670000}"/>
    <cellStyle name="Normal 3 4 11 7 6 2" xfId="32594" xr:uid="{00000000-0005-0000-0000-000017670000}"/>
    <cellStyle name="Normal 3 4 11 7 7" xfId="15098" xr:uid="{00000000-0005-0000-0000-000018670000}"/>
    <cellStyle name="Normal 3 4 11 7 7 2" xfId="32595" xr:uid="{00000000-0005-0000-0000-000019670000}"/>
    <cellStyle name="Normal 3 4 11 7 8" xfId="15099" xr:uid="{00000000-0005-0000-0000-00001A670000}"/>
    <cellStyle name="Normal 3 4 11 7 8 2" xfId="32596" xr:uid="{00000000-0005-0000-0000-00001B670000}"/>
    <cellStyle name="Normal 3 4 11 7 9" xfId="15100" xr:uid="{00000000-0005-0000-0000-00001C670000}"/>
    <cellStyle name="Normal 3 4 11 7 9 2" xfId="32597" xr:uid="{00000000-0005-0000-0000-00001D670000}"/>
    <cellStyle name="Normal 3 4 11 8" xfId="15101" xr:uid="{00000000-0005-0000-0000-00001E670000}"/>
    <cellStyle name="Normal 3 4 11 8 10" xfId="15102" xr:uid="{00000000-0005-0000-0000-00001F670000}"/>
    <cellStyle name="Normal 3 4 11 8 10 2" xfId="32599" xr:uid="{00000000-0005-0000-0000-000020670000}"/>
    <cellStyle name="Normal 3 4 11 8 11" xfId="15103" xr:uid="{00000000-0005-0000-0000-000021670000}"/>
    <cellStyle name="Normal 3 4 11 8 11 2" xfId="32600" xr:uid="{00000000-0005-0000-0000-000022670000}"/>
    <cellStyle name="Normal 3 4 11 8 12" xfId="15104" xr:uid="{00000000-0005-0000-0000-000023670000}"/>
    <cellStyle name="Normal 3 4 11 8 12 2" xfId="32601" xr:uid="{00000000-0005-0000-0000-000024670000}"/>
    <cellStyle name="Normal 3 4 11 8 13" xfId="15105" xr:uid="{00000000-0005-0000-0000-000025670000}"/>
    <cellStyle name="Normal 3 4 11 8 13 2" xfId="32602" xr:uid="{00000000-0005-0000-0000-000026670000}"/>
    <cellStyle name="Normal 3 4 11 8 14" xfId="15106" xr:uid="{00000000-0005-0000-0000-000027670000}"/>
    <cellStyle name="Normal 3 4 11 8 14 2" xfId="32603" xr:uid="{00000000-0005-0000-0000-000028670000}"/>
    <cellStyle name="Normal 3 4 11 8 15" xfId="32598" xr:uid="{00000000-0005-0000-0000-000029670000}"/>
    <cellStyle name="Normal 3 4 11 8 2" xfId="15107" xr:uid="{00000000-0005-0000-0000-00002A670000}"/>
    <cellStyle name="Normal 3 4 11 8 2 2" xfId="32604" xr:uid="{00000000-0005-0000-0000-00002B670000}"/>
    <cellStyle name="Normal 3 4 11 8 3" xfId="15108" xr:uid="{00000000-0005-0000-0000-00002C670000}"/>
    <cellStyle name="Normal 3 4 11 8 3 2" xfId="32605" xr:uid="{00000000-0005-0000-0000-00002D670000}"/>
    <cellStyle name="Normal 3 4 11 8 4" xfId="15109" xr:uid="{00000000-0005-0000-0000-00002E670000}"/>
    <cellStyle name="Normal 3 4 11 8 4 2" xfId="32606" xr:uid="{00000000-0005-0000-0000-00002F670000}"/>
    <cellStyle name="Normal 3 4 11 8 5" xfId="15110" xr:uid="{00000000-0005-0000-0000-000030670000}"/>
    <cellStyle name="Normal 3 4 11 8 5 2" xfId="32607" xr:uid="{00000000-0005-0000-0000-000031670000}"/>
    <cellStyle name="Normal 3 4 11 8 6" xfId="15111" xr:uid="{00000000-0005-0000-0000-000032670000}"/>
    <cellStyle name="Normal 3 4 11 8 6 2" xfId="32608" xr:uid="{00000000-0005-0000-0000-000033670000}"/>
    <cellStyle name="Normal 3 4 11 8 7" xfId="15112" xr:uid="{00000000-0005-0000-0000-000034670000}"/>
    <cellStyle name="Normal 3 4 11 8 7 2" xfId="32609" xr:uid="{00000000-0005-0000-0000-000035670000}"/>
    <cellStyle name="Normal 3 4 11 8 8" xfId="15113" xr:uid="{00000000-0005-0000-0000-000036670000}"/>
    <cellStyle name="Normal 3 4 11 8 8 2" xfId="32610" xr:uid="{00000000-0005-0000-0000-000037670000}"/>
    <cellStyle name="Normal 3 4 11 8 9" xfId="15114" xr:uid="{00000000-0005-0000-0000-000038670000}"/>
    <cellStyle name="Normal 3 4 11 8 9 2" xfId="32611" xr:uid="{00000000-0005-0000-0000-000039670000}"/>
    <cellStyle name="Normal 3 4 11 9" xfId="15115" xr:uid="{00000000-0005-0000-0000-00003A670000}"/>
    <cellStyle name="Normal 3 4 11 9 10" xfId="15116" xr:uid="{00000000-0005-0000-0000-00003B670000}"/>
    <cellStyle name="Normal 3 4 11 9 10 2" xfId="32613" xr:uid="{00000000-0005-0000-0000-00003C670000}"/>
    <cellStyle name="Normal 3 4 11 9 11" xfId="15117" xr:uid="{00000000-0005-0000-0000-00003D670000}"/>
    <cellStyle name="Normal 3 4 11 9 11 2" xfId="32614" xr:uid="{00000000-0005-0000-0000-00003E670000}"/>
    <cellStyle name="Normal 3 4 11 9 12" xfId="15118" xr:uid="{00000000-0005-0000-0000-00003F670000}"/>
    <cellStyle name="Normal 3 4 11 9 12 2" xfId="32615" xr:uid="{00000000-0005-0000-0000-000040670000}"/>
    <cellStyle name="Normal 3 4 11 9 13" xfId="15119" xr:uid="{00000000-0005-0000-0000-000041670000}"/>
    <cellStyle name="Normal 3 4 11 9 13 2" xfId="32616" xr:uid="{00000000-0005-0000-0000-000042670000}"/>
    <cellStyle name="Normal 3 4 11 9 14" xfId="15120" xr:uid="{00000000-0005-0000-0000-000043670000}"/>
    <cellStyle name="Normal 3 4 11 9 14 2" xfId="32617" xr:uid="{00000000-0005-0000-0000-000044670000}"/>
    <cellStyle name="Normal 3 4 11 9 15" xfId="32612" xr:uid="{00000000-0005-0000-0000-000045670000}"/>
    <cellStyle name="Normal 3 4 11 9 2" xfId="15121" xr:uid="{00000000-0005-0000-0000-000046670000}"/>
    <cellStyle name="Normal 3 4 11 9 2 2" xfId="32618" xr:uid="{00000000-0005-0000-0000-000047670000}"/>
    <cellStyle name="Normal 3 4 11 9 3" xfId="15122" xr:uid="{00000000-0005-0000-0000-000048670000}"/>
    <cellStyle name="Normal 3 4 11 9 3 2" xfId="32619" xr:uid="{00000000-0005-0000-0000-000049670000}"/>
    <cellStyle name="Normal 3 4 11 9 4" xfId="15123" xr:uid="{00000000-0005-0000-0000-00004A670000}"/>
    <cellStyle name="Normal 3 4 11 9 4 2" xfId="32620" xr:uid="{00000000-0005-0000-0000-00004B670000}"/>
    <cellStyle name="Normal 3 4 11 9 5" xfId="15124" xr:uid="{00000000-0005-0000-0000-00004C670000}"/>
    <cellStyle name="Normal 3 4 11 9 5 2" xfId="32621" xr:uid="{00000000-0005-0000-0000-00004D670000}"/>
    <cellStyle name="Normal 3 4 11 9 6" xfId="15125" xr:uid="{00000000-0005-0000-0000-00004E670000}"/>
    <cellStyle name="Normal 3 4 11 9 6 2" xfId="32622" xr:uid="{00000000-0005-0000-0000-00004F670000}"/>
    <cellStyle name="Normal 3 4 11 9 7" xfId="15126" xr:uid="{00000000-0005-0000-0000-000050670000}"/>
    <cellStyle name="Normal 3 4 11 9 7 2" xfId="32623" xr:uid="{00000000-0005-0000-0000-000051670000}"/>
    <cellStyle name="Normal 3 4 11 9 8" xfId="15127" xr:uid="{00000000-0005-0000-0000-000052670000}"/>
    <cellStyle name="Normal 3 4 11 9 8 2" xfId="32624" xr:uid="{00000000-0005-0000-0000-000053670000}"/>
    <cellStyle name="Normal 3 4 11 9 9" xfId="15128" xr:uid="{00000000-0005-0000-0000-000054670000}"/>
    <cellStyle name="Normal 3 4 11 9 9 2" xfId="32625" xr:uid="{00000000-0005-0000-0000-000055670000}"/>
    <cellStyle name="Normal 3 4 12" xfId="15129" xr:uid="{00000000-0005-0000-0000-000056670000}"/>
    <cellStyle name="Normal 3 4 12 10" xfId="15130" xr:uid="{00000000-0005-0000-0000-000057670000}"/>
    <cellStyle name="Normal 3 4 12 10 10" xfId="15131" xr:uid="{00000000-0005-0000-0000-000058670000}"/>
    <cellStyle name="Normal 3 4 12 10 10 2" xfId="32628" xr:uid="{00000000-0005-0000-0000-000059670000}"/>
    <cellStyle name="Normal 3 4 12 10 11" xfId="15132" xr:uid="{00000000-0005-0000-0000-00005A670000}"/>
    <cellStyle name="Normal 3 4 12 10 11 2" xfId="32629" xr:uid="{00000000-0005-0000-0000-00005B670000}"/>
    <cellStyle name="Normal 3 4 12 10 12" xfId="15133" xr:uid="{00000000-0005-0000-0000-00005C670000}"/>
    <cellStyle name="Normal 3 4 12 10 12 2" xfId="32630" xr:uid="{00000000-0005-0000-0000-00005D670000}"/>
    <cellStyle name="Normal 3 4 12 10 13" xfId="15134" xr:uid="{00000000-0005-0000-0000-00005E670000}"/>
    <cellStyle name="Normal 3 4 12 10 13 2" xfId="32631" xr:uid="{00000000-0005-0000-0000-00005F670000}"/>
    <cellStyle name="Normal 3 4 12 10 14" xfId="15135" xr:uid="{00000000-0005-0000-0000-000060670000}"/>
    <cellStyle name="Normal 3 4 12 10 14 2" xfId="32632" xr:uid="{00000000-0005-0000-0000-000061670000}"/>
    <cellStyle name="Normal 3 4 12 10 15" xfId="32627" xr:uid="{00000000-0005-0000-0000-000062670000}"/>
    <cellStyle name="Normal 3 4 12 10 2" xfId="15136" xr:uid="{00000000-0005-0000-0000-000063670000}"/>
    <cellStyle name="Normal 3 4 12 10 2 2" xfId="32633" xr:uid="{00000000-0005-0000-0000-000064670000}"/>
    <cellStyle name="Normal 3 4 12 10 3" xfId="15137" xr:uid="{00000000-0005-0000-0000-000065670000}"/>
    <cellStyle name="Normal 3 4 12 10 3 2" xfId="32634" xr:uid="{00000000-0005-0000-0000-000066670000}"/>
    <cellStyle name="Normal 3 4 12 10 4" xfId="15138" xr:uid="{00000000-0005-0000-0000-000067670000}"/>
    <cellStyle name="Normal 3 4 12 10 4 2" xfId="32635" xr:uid="{00000000-0005-0000-0000-000068670000}"/>
    <cellStyle name="Normal 3 4 12 10 5" xfId="15139" xr:uid="{00000000-0005-0000-0000-000069670000}"/>
    <cellStyle name="Normal 3 4 12 10 5 2" xfId="32636" xr:uid="{00000000-0005-0000-0000-00006A670000}"/>
    <cellStyle name="Normal 3 4 12 10 6" xfId="15140" xr:uid="{00000000-0005-0000-0000-00006B670000}"/>
    <cellStyle name="Normal 3 4 12 10 6 2" xfId="32637" xr:uid="{00000000-0005-0000-0000-00006C670000}"/>
    <cellStyle name="Normal 3 4 12 10 7" xfId="15141" xr:uid="{00000000-0005-0000-0000-00006D670000}"/>
    <cellStyle name="Normal 3 4 12 10 7 2" xfId="32638" xr:uid="{00000000-0005-0000-0000-00006E670000}"/>
    <cellStyle name="Normal 3 4 12 10 8" xfId="15142" xr:uid="{00000000-0005-0000-0000-00006F670000}"/>
    <cellStyle name="Normal 3 4 12 10 8 2" xfId="32639" xr:uid="{00000000-0005-0000-0000-000070670000}"/>
    <cellStyle name="Normal 3 4 12 10 9" xfId="15143" xr:uid="{00000000-0005-0000-0000-000071670000}"/>
    <cellStyle name="Normal 3 4 12 10 9 2" xfId="32640" xr:uid="{00000000-0005-0000-0000-000072670000}"/>
    <cellStyle name="Normal 3 4 12 11" xfId="15144" xr:uid="{00000000-0005-0000-0000-000073670000}"/>
    <cellStyle name="Normal 3 4 12 11 2" xfId="32641" xr:uid="{00000000-0005-0000-0000-000074670000}"/>
    <cellStyle name="Normal 3 4 12 12" xfId="15145" xr:uid="{00000000-0005-0000-0000-000075670000}"/>
    <cellStyle name="Normal 3 4 12 12 2" xfId="32642" xr:uid="{00000000-0005-0000-0000-000076670000}"/>
    <cellStyle name="Normal 3 4 12 13" xfId="15146" xr:uid="{00000000-0005-0000-0000-000077670000}"/>
    <cellStyle name="Normal 3 4 12 13 2" xfId="32643" xr:uid="{00000000-0005-0000-0000-000078670000}"/>
    <cellStyle name="Normal 3 4 12 14" xfId="15147" xr:uid="{00000000-0005-0000-0000-000079670000}"/>
    <cellStyle name="Normal 3 4 12 14 2" xfId="32644" xr:uid="{00000000-0005-0000-0000-00007A670000}"/>
    <cellStyle name="Normal 3 4 12 15" xfId="15148" xr:uid="{00000000-0005-0000-0000-00007B670000}"/>
    <cellStyle name="Normal 3 4 12 15 2" xfId="32645" xr:uid="{00000000-0005-0000-0000-00007C670000}"/>
    <cellStyle name="Normal 3 4 12 16" xfId="15149" xr:uid="{00000000-0005-0000-0000-00007D670000}"/>
    <cellStyle name="Normal 3 4 12 16 2" xfId="32646" xr:uid="{00000000-0005-0000-0000-00007E670000}"/>
    <cellStyle name="Normal 3 4 12 17" xfId="15150" xr:uid="{00000000-0005-0000-0000-00007F670000}"/>
    <cellStyle name="Normal 3 4 12 17 2" xfId="32647" xr:uid="{00000000-0005-0000-0000-000080670000}"/>
    <cellStyle name="Normal 3 4 12 18" xfId="15151" xr:uid="{00000000-0005-0000-0000-000081670000}"/>
    <cellStyle name="Normal 3 4 12 18 2" xfId="32648" xr:uid="{00000000-0005-0000-0000-000082670000}"/>
    <cellStyle name="Normal 3 4 12 19" xfId="15152" xr:uid="{00000000-0005-0000-0000-000083670000}"/>
    <cellStyle name="Normal 3 4 12 19 2" xfId="32649" xr:uid="{00000000-0005-0000-0000-000084670000}"/>
    <cellStyle name="Normal 3 4 12 2" xfId="15153" xr:uid="{00000000-0005-0000-0000-000085670000}"/>
    <cellStyle name="Normal 3 4 12 2 10" xfId="15154" xr:uid="{00000000-0005-0000-0000-000086670000}"/>
    <cellStyle name="Normal 3 4 12 2 10 2" xfId="32651" xr:uid="{00000000-0005-0000-0000-000087670000}"/>
    <cellStyle name="Normal 3 4 12 2 11" xfId="15155" xr:uid="{00000000-0005-0000-0000-000088670000}"/>
    <cellStyle name="Normal 3 4 12 2 11 2" xfId="32652" xr:uid="{00000000-0005-0000-0000-000089670000}"/>
    <cellStyle name="Normal 3 4 12 2 12" xfId="15156" xr:uid="{00000000-0005-0000-0000-00008A670000}"/>
    <cellStyle name="Normal 3 4 12 2 12 2" xfId="32653" xr:uid="{00000000-0005-0000-0000-00008B670000}"/>
    <cellStyle name="Normal 3 4 12 2 13" xfId="15157" xr:uid="{00000000-0005-0000-0000-00008C670000}"/>
    <cellStyle name="Normal 3 4 12 2 13 2" xfId="32654" xr:uid="{00000000-0005-0000-0000-00008D670000}"/>
    <cellStyle name="Normal 3 4 12 2 14" xfId="15158" xr:uid="{00000000-0005-0000-0000-00008E670000}"/>
    <cellStyle name="Normal 3 4 12 2 14 2" xfId="32655" xr:uid="{00000000-0005-0000-0000-00008F670000}"/>
    <cellStyle name="Normal 3 4 12 2 15" xfId="15159" xr:uid="{00000000-0005-0000-0000-000090670000}"/>
    <cellStyle name="Normal 3 4 12 2 15 2" xfId="32656" xr:uid="{00000000-0005-0000-0000-000091670000}"/>
    <cellStyle name="Normal 3 4 12 2 16" xfId="32650" xr:uid="{00000000-0005-0000-0000-000092670000}"/>
    <cellStyle name="Normal 3 4 12 2 2" xfId="15160" xr:uid="{00000000-0005-0000-0000-000093670000}"/>
    <cellStyle name="Normal 3 4 12 2 2 10" xfId="15161" xr:uid="{00000000-0005-0000-0000-000094670000}"/>
    <cellStyle name="Normal 3 4 12 2 2 10 2" xfId="32658" xr:uid="{00000000-0005-0000-0000-000095670000}"/>
    <cellStyle name="Normal 3 4 12 2 2 11" xfId="15162" xr:uid="{00000000-0005-0000-0000-000096670000}"/>
    <cellStyle name="Normal 3 4 12 2 2 11 2" xfId="32659" xr:uid="{00000000-0005-0000-0000-000097670000}"/>
    <cellStyle name="Normal 3 4 12 2 2 12" xfId="15163" xr:uid="{00000000-0005-0000-0000-000098670000}"/>
    <cellStyle name="Normal 3 4 12 2 2 12 2" xfId="32660" xr:uid="{00000000-0005-0000-0000-000099670000}"/>
    <cellStyle name="Normal 3 4 12 2 2 13" xfId="15164" xr:uid="{00000000-0005-0000-0000-00009A670000}"/>
    <cellStyle name="Normal 3 4 12 2 2 13 2" xfId="32661" xr:uid="{00000000-0005-0000-0000-00009B670000}"/>
    <cellStyle name="Normal 3 4 12 2 2 14" xfId="15165" xr:uid="{00000000-0005-0000-0000-00009C670000}"/>
    <cellStyle name="Normal 3 4 12 2 2 14 2" xfId="32662" xr:uid="{00000000-0005-0000-0000-00009D670000}"/>
    <cellStyle name="Normal 3 4 12 2 2 15" xfId="32657" xr:uid="{00000000-0005-0000-0000-00009E670000}"/>
    <cellStyle name="Normal 3 4 12 2 2 2" xfId="15166" xr:uid="{00000000-0005-0000-0000-00009F670000}"/>
    <cellStyle name="Normal 3 4 12 2 2 2 2" xfId="32663" xr:uid="{00000000-0005-0000-0000-0000A0670000}"/>
    <cellStyle name="Normal 3 4 12 2 2 3" xfId="15167" xr:uid="{00000000-0005-0000-0000-0000A1670000}"/>
    <cellStyle name="Normal 3 4 12 2 2 3 2" xfId="32664" xr:uid="{00000000-0005-0000-0000-0000A2670000}"/>
    <cellStyle name="Normal 3 4 12 2 2 4" xfId="15168" xr:uid="{00000000-0005-0000-0000-0000A3670000}"/>
    <cellStyle name="Normal 3 4 12 2 2 4 2" xfId="32665" xr:uid="{00000000-0005-0000-0000-0000A4670000}"/>
    <cellStyle name="Normal 3 4 12 2 2 5" xfId="15169" xr:uid="{00000000-0005-0000-0000-0000A5670000}"/>
    <cellStyle name="Normal 3 4 12 2 2 5 2" xfId="32666" xr:uid="{00000000-0005-0000-0000-0000A6670000}"/>
    <cellStyle name="Normal 3 4 12 2 2 6" xfId="15170" xr:uid="{00000000-0005-0000-0000-0000A7670000}"/>
    <cellStyle name="Normal 3 4 12 2 2 6 2" xfId="32667" xr:uid="{00000000-0005-0000-0000-0000A8670000}"/>
    <cellStyle name="Normal 3 4 12 2 2 7" xfId="15171" xr:uid="{00000000-0005-0000-0000-0000A9670000}"/>
    <cellStyle name="Normal 3 4 12 2 2 7 2" xfId="32668" xr:uid="{00000000-0005-0000-0000-0000AA670000}"/>
    <cellStyle name="Normal 3 4 12 2 2 8" xfId="15172" xr:uid="{00000000-0005-0000-0000-0000AB670000}"/>
    <cellStyle name="Normal 3 4 12 2 2 8 2" xfId="32669" xr:uid="{00000000-0005-0000-0000-0000AC670000}"/>
    <cellStyle name="Normal 3 4 12 2 2 9" xfId="15173" xr:uid="{00000000-0005-0000-0000-0000AD670000}"/>
    <cellStyle name="Normal 3 4 12 2 2 9 2" xfId="32670" xr:uid="{00000000-0005-0000-0000-0000AE670000}"/>
    <cellStyle name="Normal 3 4 12 2 3" xfId="15174" xr:uid="{00000000-0005-0000-0000-0000AF670000}"/>
    <cellStyle name="Normal 3 4 12 2 3 2" xfId="32671" xr:uid="{00000000-0005-0000-0000-0000B0670000}"/>
    <cellStyle name="Normal 3 4 12 2 4" xfId="15175" xr:uid="{00000000-0005-0000-0000-0000B1670000}"/>
    <cellStyle name="Normal 3 4 12 2 4 2" xfId="32672" xr:uid="{00000000-0005-0000-0000-0000B2670000}"/>
    <cellStyle name="Normal 3 4 12 2 5" xfId="15176" xr:uid="{00000000-0005-0000-0000-0000B3670000}"/>
    <cellStyle name="Normal 3 4 12 2 5 2" xfId="32673" xr:uid="{00000000-0005-0000-0000-0000B4670000}"/>
    <cellStyle name="Normal 3 4 12 2 6" xfId="15177" xr:uid="{00000000-0005-0000-0000-0000B5670000}"/>
    <cellStyle name="Normal 3 4 12 2 6 2" xfId="32674" xr:uid="{00000000-0005-0000-0000-0000B6670000}"/>
    <cellStyle name="Normal 3 4 12 2 7" xfId="15178" xr:uid="{00000000-0005-0000-0000-0000B7670000}"/>
    <cellStyle name="Normal 3 4 12 2 7 2" xfId="32675" xr:uid="{00000000-0005-0000-0000-0000B8670000}"/>
    <cellStyle name="Normal 3 4 12 2 8" xfId="15179" xr:uid="{00000000-0005-0000-0000-0000B9670000}"/>
    <cellStyle name="Normal 3 4 12 2 8 2" xfId="32676" xr:uid="{00000000-0005-0000-0000-0000BA670000}"/>
    <cellStyle name="Normal 3 4 12 2 9" xfId="15180" xr:uid="{00000000-0005-0000-0000-0000BB670000}"/>
    <cellStyle name="Normal 3 4 12 2 9 2" xfId="32677" xr:uid="{00000000-0005-0000-0000-0000BC670000}"/>
    <cellStyle name="Normal 3 4 12 20" xfId="15181" xr:uid="{00000000-0005-0000-0000-0000BD670000}"/>
    <cellStyle name="Normal 3 4 12 20 2" xfId="32678" xr:uid="{00000000-0005-0000-0000-0000BE670000}"/>
    <cellStyle name="Normal 3 4 12 21" xfId="15182" xr:uid="{00000000-0005-0000-0000-0000BF670000}"/>
    <cellStyle name="Normal 3 4 12 21 2" xfId="32679" xr:uid="{00000000-0005-0000-0000-0000C0670000}"/>
    <cellStyle name="Normal 3 4 12 22" xfId="15183" xr:uid="{00000000-0005-0000-0000-0000C1670000}"/>
    <cellStyle name="Normal 3 4 12 22 2" xfId="32680" xr:uid="{00000000-0005-0000-0000-0000C2670000}"/>
    <cellStyle name="Normal 3 4 12 23" xfId="15184" xr:uid="{00000000-0005-0000-0000-0000C3670000}"/>
    <cellStyle name="Normal 3 4 12 23 2" xfId="32681" xr:uid="{00000000-0005-0000-0000-0000C4670000}"/>
    <cellStyle name="Normal 3 4 12 24" xfId="32626" xr:uid="{00000000-0005-0000-0000-0000C5670000}"/>
    <cellStyle name="Normal 3 4 12 3" xfId="15185" xr:uid="{00000000-0005-0000-0000-0000C6670000}"/>
    <cellStyle name="Normal 3 4 12 3 10" xfId="15186" xr:uid="{00000000-0005-0000-0000-0000C7670000}"/>
    <cellStyle name="Normal 3 4 12 3 10 2" xfId="32683" xr:uid="{00000000-0005-0000-0000-0000C8670000}"/>
    <cellStyle name="Normal 3 4 12 3 11" xfId="15187" xr:uid="{00000000-0005-0000-0000-0000C9670000}"/>
    <cellStyle name="Normal 3 4 12 3 11 2" xfId="32684" xr:uid="{00000000-0005-0000-0000-0000CA670000}"/>
    <cellStyle name="Normal 3 4 12 3 12" xfId="15188" xr:uid="{00000000-0005-0000-0000-0000CB670000}"/>
    <cellStyle name="Normal 3 4 12 3 12 2" xfId="32685" xr:uid="{00000000-0005-0000-0000-0000CC670000}"/>
    <cellStyle name="Normal 3 4 12 3 13" xfId="15189" xr:uid="{00000000-0005-0000-0000-0000CD670000}"/>
    <cellStyle name="Normal 3 4 12 3 13 2" xfId="32686" xr:uid="{00000000-0005-0000-0000-0000CE670000}"/>
    <cellStyle name="Normal 3 4 12 3 14" xfId="15190" xr:uid="{00000000-0005-0000-0000-0000CF670000}"/>
    <cellStyle name="Normal 3 4 12 3 14 2" xfId="32687" xr:uid="{00000000-0005-0000-0000-0000D0670000}"/>
    <cellStyle name="Normal 3 4 12 3 15" xfId="15191" xr:uid="{00000000-0005-0000-0000-0000D1670000}"/>
    <cellStyle name="Normal 3 4 12 3 15 2" xfId="32688" xr:uid="{00000000-0005-0000-0000-0000D2670000}"/>
    <cellStyle name="Normal 3 4 12 3 16" xfId="32682" xr:uid="{00000000-0005-0000-0000-0000D3670000}"/>
    <cellStyle name="Normal 3 4 12 3 2" xfId="15192" xr:uid="{00000000-0005-0000-0000-0000D4670000}"/>
    <cellStyle name="Normal 3 4 12 3 2 10" xfId="15193" xr:uid="{00000000-0005-0000-0000-0000D5670000}"/>
    <cellStyle name="Normal 3 4 12 3 2 10 2" xfId="32690" xr:uid="{00000000-0005-0000-0000-0000D6670000}"/>
    <cellStyle name="Normal 3 4 12 3 2 11" xfId="15194" xr:uid="{00000000-0005-0000-0000-0000D7670000}"/>
    <cellStyle name="Normal 3 4 12 3 2 11 2" xfId="32691" xr:uid="{00000000-0005-0000-0000-0000D8670000}"/>
    <cellStyle name="Normal 3 4 12 3 2 12" xfId="15195" xr:uid="{00000000-0005-0000-0000-0000D9670000}"/>
    <cellStyle name="Normal 3 4 12 3 2 12 2" xfId="32692" xr:uid="{00000000-0005-0000-0000-0000DA670000}"/>
    <cellStyle name="Normal 3 4 12 3 2 13" xfId="15196" xr:uid="{00000000-0005-0000-0000-0000DB670000}"/>
    <cellStyle name="Normal 3 4 12 3 2 13 2" xfId="32693" xr:uid="{00000000-0005-0000-0000-0000DC670000}"/>
    <cellStyle name="Normal 3 4 12 3 2 14" xfId="15197" xr:uid="{00000000-0005-0000-0000-0000DD670000}"/>
    <cellStyle name="Normal 3 4 12 3 2 14 2" xfId="32694" xr:uid="{00000000-0005-0000-0000-0000DE670000}"/>
    <cellStyle name="Normal 3 4 12 3 2 15" xfId="32689" xr:uid="{00000000-0005-0000-0000-0000DF670000}"/>
    <cellStyle name="Normal 3 4 12 3 2 2" xfId="15198" xr:uid="{00000000-0005-0000-0000-0000E0670000}"/>
    <cellStyle name="Normal 3 4 12 3 2 2 2" xfId="32695" xr:uid="{00000000-0005-0000-0000-0000E1670000}"/>
    <cellStyle name="Normal 3 4 12 3 2 3" xfId="15199" xr:uid="{00000000-0005-0000-0000-0000E2670000}"/>
    <cellStyle name="Normal 3 4 12 3 2 3 2" xfId="32696" xr:uid="{00000000-0005-0000-0000-0000E3670000}"/>
    <cellStyle name="Normal 3 4 12 3 2 4" xfId="15200" xr:uid="{00000000-0005-0000-0000-0000E4670000}"/>
    <cellStyle name="Normal 3 4 12 3 2 4 2" xfId="32697" xr:uid="{00000000-0005-0000-0000-0000E5670000}"/>
    <cellStyle name="Normal 3 4 12 3 2 5" xfId="15201" xr:uid="{00000000-0005-0000-0000-0000E6670000}"/>
    <cellStyle name="Normal 3 4 12 3 2 5 2" xfId="32698" xr:uid="{00000000-0005-0000-0000-0000E7670000}"/>
    <cellStyle name="Normal 3 4 12 3 2 6" xfId="15202" xr:uid="{00000000-0005-0000-0000-0000E8670000}"/>
    <cellStyle name="Normal 3 4 12 3 2 6 2" xfId="32699" xr:uid="{00000000-0005-0000-0000-0000E9670000}"/>
    <cellStyle name="Normal 3 4 12 3 2 7" xfId="15203" xr:uid="{00000000-0005-0000-0000-0000EA670000}"/>
    <cellStyle name="Normal 3 4 12 3 2 7 2" xfId="32700" xr:uid="{00000000-0005-0000-0000-0000EB670000}"/>
    <cellStyle name="Normal 3 4 12 3 2 8" xfId="15204" xr:uid="{00000000-0005-0000-0000-0000EC670000}"/>
    <cellStyle name="Normal 3 4 12 3 2 8 2" xfId="32701" xr:uid="{00000000-0005-0000-0000-0000ED670000}"/>
    <cellStyle name="Normal 3 4 12 3 2 9" xfId="15205" xr:uid="{00000000-0005-0000-0000-0000EE670000}"/>
    <cellStyle name="Normal 3 4 12 3 2 9 2" xfId="32702" xr:uid="{00000000-0005-0000-0000-0000EF670000}"/>
    <cellStyle name="Normal 3 4 12 3 3" xfId="15206" xr:uid="{00000000-0005-0000-0000-0000F0670000}"/>
    <cellStyle name="Normal 3 4 12 3 3 2" xfId="32703" xr:uid="{00000000-0005-0000-0000-0000F1670000}"/>
    <cellStyle name="Normal 3 4 12 3 4" xfId="15207" xr:uid="{00000000-0005-0000-0000-0000F2670000}"/>
    <cellStyle name="Normal 3 4 12 3 4 2" xfId="32704" xr:uid="{00000000-0005-0000-0000-0000F3670000}"/>
    <cellStyle name="Normal 3 4 12 3 5" xfId="15208" xr:uid="{00000000-0005-0000-0000-0000F4670000}"/>
    <cellStyle name="Normal 3 4 12 3 5 2" xfId="32705" xr:uid="{00000000-0005-0000-0000-0000F5670000}"/>
    <cellStyle name="Normal 3 4 12 3 6" xfId="15209" xr:uid="{00000000-0005-0000-0000-0000F6670000}"/>
    <cellStyle name="Normal 3 4 12 3 6 2" xfId="32706" xr:uid="{00000000-0005-0000-0000-0000F7670000}"/>
    <cellStyle name="Normal 3 4 12 3 7" xfId="15210" xr:uid="{00000000-0005-0000-0000-0000F8670000}"/>
    <cellStyle name="Normal 3 4 12 3 7 2" xfId="32707" xr:uid="{00000000-0005-0000-0000-0000F9670000}"/>
    <cellStyle name="Normal 3 4 12 3 8" xfId="15211" xr:uid="{00000000-0005-0000-0000-0000FA670000}"/>
    <cellStyle name="Normal 3 4 12 3 8 2" xfId="32708" xr:uid="{00000000-0005-0000-0000-0000FB670000}"/>
    <cellStyle name="Normal 3 4 12 3 9" xfId="15212" xr:uid="{00000000-0005-0000-0000-0000FC670000}"/>
    <cellStyle name="Normal 3 4 12 3 9 2" xfId="32709" xr:uid="{00000000-0005-0000-0000-0000FD670000}"/>
    <cellStyle name="Normal 3 4 12 4" xfId="15213" xr:uid="{00000000-0005-0000-0000-0000FE670000}"/>
    <cellStyle name="Normal 3 4 12 4 10" xfId="15214" xr:uid="{00000000-0005-0000-0000-0000FF670000}"/>
    <cellStyle name="Normal 3 4 12 4 10 2" xfId="32711" xr:uid="{00000000-0005-0000-0000-000000680000}"/>
    <cellStyle name="Normal 3 4 12 4 11" xfId="15215" xr:uid="{00000000-0005-0000-0000-000001680000}"/>
    <cellStyle name="Normal 3 4 12 4 11 2" xfId="32712" xr:uid="{00000000-0005-0000-0000-000002680000}"/>
    <cellStyle name="Normal 3 4 12 4 12" xfId="15216" xr:uid="{00000000-0005-0000-0000-000003680000}"/>
    <cellStyle name="Normal 3 4 12 4 12 2" xfId="32713" xr:uid="{00000000-0005-0000-0000-000004680000}"/>
    <cellStyle name="Normal 3 4 12 4 13" xfId="15217" xr:uid="{00000000-0005-0000-0000-000005680000}"/>
    <cellStyle name="Normal 3 4 12 4 13 2" xfId="32714" xr:uid="{00000000-0005-0000-0000-000006680000}"/>
    <cellStyle name="Normal 3 4 12 4 14" xfId="15218" xr:uid="{00000000-0005-0000-0000-000007680000}"/>
    <cellStyle name="Normal 3 4 12 4 14 2" xfId="32715" xr:uid="{00000000-0005-0000-0000-000008680000}"/>
    <cellStyle name="Normal 3 4 12 4 15" xfId="15219" xr:uid="{00000000-0005-0000-0000-000009680000}"/>
    <cellStyle name="Normal 3 4 12 4 15 2" xfId="32716" xr:uid="{00000000-0005-0000-0000-00000A680000}"/>
    <cellStyle name="Normal 3 4 12 4 16" xfId="32710" xr:uid="{00000000-0005-0000-0000-00000B680000}"/>
    <cellStyle name="Normal 3 4 12 4 2" xfId="15220" xr:uid="{00000000-0005-0000-0000-00000C680000}"/>
    <cellStyle name="Normal 3 4 12 4 2 10" xfId="15221" xr:uid="{00000000-0005-0000-0000-00000D680000}"/>
    <cellStyle name="Normal 3 4 12 4 2 10 2" xfId="32718" xr:uid="{00000000-0005-0000-0000-00000E680000}"/>
    <cellStyle name="Normal 3 4 12 4 2 11" xfId="15222" xr:uid="{00000000-0005-0000-0000-00000F680000}"/>
    <cellStyle name="Normal 3 4 12 4 2 11 2" xfId="32719" xr:uid="{00000000-0005-0000-0000-000010680000}"/>
    <cellStyle name="Normal 3 4 12 4 2 12" xfId="15223" xr:uid="{00000000-0005-0000-0000-000011680000}"/>
    <cellStyle name="Normal 3 4 12 4 2 12 2" xfId="32720" xr:uid="{00000000-0005-0000-0000-000012680000}"/>
    <cellStyle name="Normal 3 4 12 4 2 13" xfId="15224" xr:uid="{00000000-0005-0000-0000-000013680000}"/>
    <cellStyle name="Normal 3 4 12 4 2 13 2" xfId="32721" xr:uid="{00000000-0005-0000-0000-000014680000}"/>
    <cellStyle name="Normal 3 4 12 4 2 14" xfId="15225" xr:uid="{00000000-0005-0000-0000-000015680000}"/>
    <cellStyle name="Normal 3 4 12 4 2 14 2" xfId="32722" xr:uid="{00000000-0005-0000-0000-000016680000}"/>
    <cellStyle name="Normal 3 4 12 4 2 15" xfId="32717" xr:uid="{00000000-0005-0000-0000-000017680000}"/>
    <cellStyle name="Normal 3 4 12 4 2 2" xfId="15226" xr:uid="{00000000-0005-0000-0000-000018680000}"/>
    <cellStyle name="Normal 3 4 12 4 2 2 2" xfId="32723" xr:uid="{00000000-0005-0000-0000-000019680000}"/>
    <cellStyle name="Normal 3 4 12 4 2 3" xfId="15227" xr:uid="{00000000-0005-0000-0000-00001A680000}"/>
    <cellStyle name="Normal 3 4 12 4 2 3 2" xfId="32724" xr:uid="{00000000-0005-0000-0000-00001B680000}"/>
    <cellStyle name="Normal 3 4 12 4 2 4" xfId="15228" xr:uid="{00000000-0005-0000-0000-00001C680000}"/>
    <cellStyle name="Normal 3 4 12 4 2 4 2" xfId="32725" xr:uid="{00000000-0005-0000-0000-00001D680000}"/>
    <cellStyle name="Normal 3 4 12 4 2 5" xfId="15229" xr:uid="{00000000-0005-0000-0000-00001E680000}"/>
    <cellStyle name="Normal 3 4 12 4 2 5 2" xfId="32726" xr:uid="{00000000-0005-0000-0000-00001F680000}"/>
    <cellStyle name="Normal 3 4 12 4 2 6" xfId="15230" xr:uid="{00000000-0005-0000-0000-000020680000}"/>
    <cellStyle name="Normal 3 4 12 4 2 6 2" xfId="32727" xr:uid="{00000000-0005-0000-0000-000021680000}"/>
    <cellStyle name="Normal 3 4 12 4 2 7" xfId="15231" xr:uid="{00000000-0005-0000-0000-000022680000}"/>
    <cellStyle name="Normal 3 4 12 4 2 7 2" xfId="32728" xr:uid="{00000000-0005-0000-0000-000023680000}"/>
    <cellStyle name="Normal 3 4 12 4 2 8" xfId="15232" xr:uid="{00000000-0005-0000-0000-000024680000}"/>
    <cellStyle name="Normal 3 4 12 4 2 8 2" xfId="32729" xr:uid="{00000000-0005-0000-0000-000025680000}"/>
    <cellStyle name="Normal 3 4 12 4 2 9" xfId="15233" xr:uid="{00000000-0005-0000-0000-000026680000}"/>
    <cellStyle name="Normal 3 4 12 4 2 9 2" xfId="32730" xr:uid="{00000000-0005-0000-0000-000027680000}"/>
    <cellStyle name="Normal 3 4 12 4 3" xfId="15234" xr:uid="{00000000-0005-0000-0000-000028680000}"/>
    <cellStyle name="Normal 3 4 12 4 3 2" xfId="32731" xr:uid="{00000000-0005-0000-0000-000029680000}"/>
    <cellStyle name="Normal 3 4 12 4 4" xfId="15235" xr:uid="{00000000-0005-0000-0000-00002A680000}"/>
    <cellStyle name="Normal 3 4 12 4 4 2" xfId="32732" xr:uid="{00000000-0005-0000-0000-00002B680000}"/>
    <cellStyle name="Normal 3 4 12 4 5" xfId="15236" xr:uid="{00000000-0005-0000-0000-00002C680000}"/>
    <cellStyle name="Normal 3 4 12 4 5 2" xfId="32733" xr:uid="{00000000-0005-0000-0000-00002D680000}"/>
    <cellStyle name="Normal 3 4 12 4 6" xfId="15237" xr:uid="{00000000-0005-0000-0000-00002E680000}"/>
    <cellStyle name="Normal 3 4 12 4 6 2" xfId="32734" xr:uid="{00000000-0005-0000-0000-00002F680000}"/>
    <cellStyle name="Normal 3 4 12 4 7" xfId="15238" xr:uid="{00000000-0005-0000-0000-000030680000}"/>
    <cellStyle name="Normal 3 4 12 4 7 2" xfId="32735" xr:uid="{00000000-0005-0000-0000-000031680000}"/>
    <cellStyle name="Normal 3 4 12 4 8" xfId="15239" xr:uid="{00000000-0005-0000-0000-000032680000}"/>
    <cellStyle name="Normal 3 4 12 4 8 2" xfId="32736" xr:uid="{00000000-0005-0000-0000-000033680000}"/>
    <cellStyle name="Normal 3 4 12 4 9" xfId="15240" xr:uid="{00000000-0005-0000-0000-000034680000}"/>
    <cellStyle name="Normal 3 4 12 4 9 2" xfId="32737" xr:uid="{00000000-0005-0000-0000-000035680000}"/>
    <cellStyle name="Normal 3 4 12 5" xfId="15241" xr:uid="{00000000-0005-0000-0000-000036680000}"/>
    <cellStyle name="Normal 3 4 12 5 10" xfId="15242" xr:uid="{00000000-0005-0000-0000-000037680000}"/>
    <cellStyle name="Normal 3 4 12 5 10 2" xfId="32739" xr:uid="{00000000-0005-0000-0000-000038680000}"/>
    <cellStyle name="Normal 3 4 12 5 11" xfId="15243" xr:uid="{00000000-0005-0000-0000-000039680000}"/>
    <cellStyle name="Normal 3 4 12 5 11 2" xfId="32740" xr:uid="{00000000-0005-0000-0000-00003A680000}"/>
    <cellStyle name="Normal 3 4 12 5 12" xfId="15244" xr:uid="{00000000-0005-0000-0000-00003B680000}"/>
    <cellStyle name="Normal 3 4 12 5 12 2" xfId="32741" xr:uid="{00000000-0005-0000-0000-00003C680000}"/>
    <cellStyle name="Normal 3 4 12 5 13" xfId="15245" xr:uid="{00000000-0005-0000-0000-00003D680000}"/>
    <cellStyle name="Normal 3 4 12 5 13 2" xfId="32742" xr:uid="{00000000-0005-0000-0000-00003E680000}"/>
    <cellStyle name="Normal 3 4 12 5 14" xfId="15246" xr:uid="{00000000-0005-0000-0000-00003F680000}"/>
    <cellStyle name="Normal 3 4 12 5 14 2" xfId="32743" xr:uid="{00000000-0005-0000-0000-000040680000}"/>
    <cellStyle name="Normal 3 4 12 5 15" xfId="32738" xr:uid="{00000000-0005-0000-0000-000041680000}"/>
    <cellStyle name="Normal 3 4 12 5 2" xfId="15247" xr:uid="{00000000-0005-0000-0000-000042680000}"/>
    <cellStyle name="Normal 3 4 12 5 2 2" xfId="32744" xr:uid="{00000000-0005-0000-0000-000043680000}"/>
    <cellStyle name="Normal 3 4 12 5 3" xfId="15248" xr:uid="{00000000-0005-0000-0000-000044680000}"/>
    <cellStyle name="Normal 3 4 12 5 3 2" xfId="32745" xr:uid="{00000000-0005-0000-0000-000045680000}"/>
    <cellStyle name="Normal 3 4 12 5 4" xfId="15249" xr:uid="{00000000-0005-0000-0000-000046680000}"/>
    <cellStyle name="Normal 3 4 12 5 4 2" xfId="32746" xr:uid="{00000000-0005-0000-0000-000047680000}"/>
    <cellStyle name="Normal 3 4 12 5 5" xfId="15250" xr:uid="{00000000-0005-0000-0000-000048680000}"/>
    <cellStyle name="Normal 3 4 12 5 5 2" xfId="32747" xr:uid="{00000000-0005-0000-0000-000049680000}"/>
    <cellStyle name="Normal 3 4 12 5 6" xfId="15251" xr:uid="{00000000-0005-0000-0000-00004A680000}"/>
    <cellStyle name="Normal 3 4 12 5 6 2" xfId="32748" xr:uid="{00000000-0005-0000-0000-00004B680000}"/>
    <cellStyle name="Normal 3 4 12 5 7" xfId="15252" xr:uid="{00000000-0005-0000-0000-00004C680000}"/>
    <cellStyle name="Normal 3 4 12 5 7 2" xfId="32749" xr:uid="{00000000-0005-0000-0000-00004D680000}"/>
    <cellStyle name="Normal 3 4 12 5 8" xfId="15253" xr:uid="{00000000-0005-0000-0000-00004E680000}"/>
    <cellStyle name="Normal 3 4 12 5 8 2" xfId="32750" xr:uid="{00000000-0005-0000-0000-00004F680000}"/>
    <cellStyle name="Normal 3 4 12 5 9" xfId="15254" xr:uid="{00000000-0005-0000-0000-000050680000}"/>
    <cellStyle name="Normal 3 4 12 5 9 2" xfId="32751" xr:uid="{00000000-0005-0000-0000-000051680000}"/>
    <cellStyle name="Normal 3 4 12 6" xfId="15255" xr:uid="{00000000-0005-0000-0000-000052680000}"/>
    <cellStyle name="Normal 3 4 12 6 10" xfId="15256" xr:uid="{00000000-0005-0000-0000-000053680000}"/>
    <cellStyle name="Normal 3 4 12 6 10 2" xfId="32753" xr:uid="{00000000-0005-0000-0000-000054680000}"/>
    <cellStyle name="Normal 3 4 12 6 11" xfId="15257" xr:uid="{00000000-0005-0000-0000-000055680000}"/>
    <cellStyle name="Normal 3 4 12 6 11 2" xfId="32754" xr:uid="{00000000-0005-0000-0000-000056680000}"/>
    <cellStyle name="Normal 3 4 12 6 12" xfId="15258" xr:uid="{00000000-0005-0000-0000-000057680000}"/>
    <cellStyle name="Normal 3 4 12 6 12 2" xfId="32755" xr:uid="{00000000-0005-0000-0000-000058680000}"/>
    <cellStyle name="Normal 3 4 12 6 13" xfId="15259" xr:uid="{00000000-0005-0000-0000-000059680000}"/>
    <cellStyle name="Normal 3 4 12 6 13 2" xfId="32756" xr:uid="{00000000-0005-0000-0000-00005A680000}"/>
    <cellStyle name="Normal 3 4 12 6 14" xfId="15260" xr:uid="{00000000-0005-0000-0000-00005B680000}"/>
    <cellStyle name="Normal 3 4 12 6 14 2" xfId="32757" xr:uid="{00000000-0005-0000-0000-00005C680000}"/>
    <cellStyle name="Normal 3 4 12 6 15" xfId="32752" xr:uid="{00000000-0005-0000-0000-00005D680000}"/>
    <cellStyle name="Normal 3 4 12 6 2" xfId="15261" xr:uid="{00000000-0005-0000-0000-00005E680000}"/>
    <cellStyle name="Normal 3 4 12 6 2 2" xfId="32758" xr:uid="{00000000-0005-0000-0000-00005F680000}"/>
    <cellStyle name="Normal 3 4 12 6 3" xfId="15262" xr:uid="{00000000-0005-0000-0000-000060680000}"/>
    <cellStyle name="Normal 3 4 12 6 3 2" xfId="32759" xr:uid="{00000000-0005-0000-0000-000061680000}"/>
    <cellStyle name="Normal 3 4 12 6 4" xfId="15263" xr:uid="{00000000-0005-0000-0000-000062680000}"/>
    <cellStyle name="Normal 3 4 12 6 4 2" xfId="32760" xr:uid="{00000000-0005-0000-0000-000063680000}"/>
    <cellStyle name="Normal 3 4 12 6 5" xfId="15264" xr:uid="{00000000-0005-0000-0000-000064680000}"/>
    <cellStyle name="Normal 3 4 12 6 5 2" xfId="32761" xr:uid="{00000000-0005-0000-0000-000065680000}"/>
    <cellStyle name="Normal 3 4 12 6 6" xfId="15265" xr:uid="{00000000-0005-0000-0000-000066680000}"/>
    <cellStyle name="Normal 3 4 12 6 6 2" xfId="32762" xr:uid="{00000000-0005-0000-0000-000067680000}"/>
    <cellStyle name="Normal 3 4 12 6 7" xfId="15266" xr:uid="{00000000-0005-0000-0000-000068680000}"/>
    <cellStyle name="Normal 3 4 12 6 7 2" xfId="32763" xr:uid="{00000000-0005-0000-0000-000069680000}"/>
    <cellStyle name="Normal 3 4 12 6 8" xfId="15267" xr:uid="{00000000-0005-0000-0000-00006A680000}"/>
    <cellStyle name="Normal 3 4 12 6 8 2" xfId="32764" xr:uid="{00000000-0005-0000-0000-00006B680000}"/>
    <cellStyle name="Normal 3 4 12 6 9" xfId="15268" xr:uid="{00000000-0005-0000-0000-00006C680000}"/>
    <cellStyle name="Normal 3 4 12 6 9 2" xfId="32765" xr:uid="{00000000-0005-0000-0000-00006D680000}"/>
    <cellStyle name="Normal 3 4 12 7" xfId="15269" xr:uid="{00000000-0005-0000-0000-00006E680000}"/>
    <cellStyle name="Normal 3 4 12 7 10" xfId="15270" xr:uid="{00000000-0005-0000-0000-00006F680000}"/>
    <cellStyle name="Normal 3 4 12 7 10 2" xfId="32767" xr:uid="{00000000-0005-0000-0000-000070680000}"/>
    <cellStyle name="Normal 3 4 12 7 11" xfId="15271" xr:uid="{00000000-0005-0000-0000-000071680000}"/>
    <cellStyle name="Normal 3 4 12 7 11 2" xfId="32768" xr:uid="{00000000-0005-0000-0000-000072680000}"/>
    <cellStyle name="Normal 3 4 12 7 12" xfId="15272" xr:uid="{00000000-0005-0000-0000-000073680000}"/>
    <cellStyle name="Normal 3 4 12 7 12 2" xfId="32769" xr:uid="{00000000-0005-0000-0000-000074680000}"/>
    <cellStyle name="Normal 3 4 12 7 13" xfId="15273" xr:uid="{00000000-0005-0000-0000-000075680000}"/>
    <cellStyle name="Normal 3 4 12 7 13 2" xfId="32770" xr:uid="{00000000-0005-0000-0000-000076680000}"/>
    <cellStyle name="Normal 3 4 12 7 14" xfId="15274" xr:uid="{00000000-0005-0000-0000-000077680000}"/>
    <cellStyle name="Normal 3 4 12 7 14 2" xfId="32771" xr:uid="{00000000-0005-0000-0000-000078680000}"/>
    <cellStyle name="Normal 3 4 12 7 15" xfId="32766" xr:uid="{00000000-0005-0000-0000-000079680000}"/>
    <cellStyle name="Normal 3 4 12 7 2" xfId="15275" xr:uid="{00000000-0005-0000-0000-00007A680000}"/>
    <cellStyle name="Normal 3 4 12 7 2 2" xfId="32772" xr:uid="{00000000-0005-0000-0000-00007B680000}"/>
    <cellStyle name="Normal 3 4 12 7 3" xfId="15276" xr:uid="{00000000-0005-0000-0000-00007C680000}"/>
    <cellStyle name="Normal 3 4 12 7 3 2" xfId="32773" xr:uid="{00000000-0005-0000-0000-00007D680000}"/>
    <cellStyle name="Normal 3 4 12 7 4" xfId="15277" xr:uid="{00000000-0005-0000-0000-00007E680000}"/>
    <cellStyle name="Normal 3 4 12 7 4 2" xfId="32774" xr:uid="{00000000-0005-0000-0000-00007F680000}"/>
    <cellStyle name="Normal 3 4 12 7 5" xfId="15278" xr:uid="{00000000-0005-0000-0000-000080680000}"/>
    <cellStyle name="Normal 3 4 12 7 5 2" xfId="32775" xr:uid="{00000000-0005-0000-0000-000081680000}"/>
    <cellStyle name="Normal 3 4 12 7 6" xfId="15279" xr:uid="{00000000-0005-0000-0000-000082680000}"/>
    <cellStyle name="Normal 3 4 12 7 6 2" xfId="32776" xr:uid="{00000000-0005-0000-0000-000083680000}"/>
    <cellStyle name="Normal 3 4 12 7 7" xfId="15280" xr:uid="{00000000-0005-0000-0000-000084680000}"/>
    <cellStyle name="Normal 3 4 12 7 7 2" xfId="32777" xr:uid="{00000000-0005-0000-0000-000085680000}"/>
    <cellStyle name="Normal 3 4 12 7 8" xfId="15281" xr:uid="{00000000-0005-0000-0000-000086680000}"/>
    <cellStyle name="Normal 3 4 12 7 8 2" xfId="32778" xr:uid="{00000000-0005-0000-0000-000087680000}"/>
    <cellStyle name="Normal 3 4 12 7 9" xfId="15282" xr:uid="{00000000-0005-0000-0000-000088680000}"/>
    <cellStyle name="Normal 3 4 12 7 9 2" xfId="32779" xr:uid="{00000000-0005-0000-0000-000089680000}"/>
    <cellStyle name="Normal 3 4 12 8" xfId="15283" xr:uid="{00000000-0005-0000-0000-00008A680000}"/>
    <cellStyle name="Normal 3 4 12 8 10" xfId="15284" xr:uid="{00000000-0005-0000-0000-00008B680000}"/>
    <cellStyle name="Normal 3 4 12 8 10 2" xfId="32781" xr:uid="{00000000-0005-0000-0000-00008C680000}"/>
    <cellStyle name="Normal 3 4 12 8 11" xfId="15285" xr:uid="{00000000-0005-0000-0000-00008D680000}"/>
    <cellStyle name="Normal 3 4 12 8 11 2" xfId="32782" xr:uid="{00000000-0005-0000-0000-00008E680000}"/>
    <cellStyle name="Normal 3 4 12 8 12" xfId="15286" xr:uid="{00000000-0005-0000-0000-00008F680000}"/>
    <cellStyle name="Normal 3 4 12 8 12 2" xfId="32783" xr:uid="{00000000-0005-0000-0000-000090680000}"/>
    <cellStyle name="Normal 3 4 12 8 13" xfId="15287" xr:uid="{00000000-0005-0000-0000-000091680000}"/>
    <cellStyle name="Normal 3 4 12 8 13 2" xfId="32784" xr:uid="{00000000-0005-0000-0000-000092680000}"/>
    <cellStyle name="Normal 3 4 12 8 14" xfId="15288" xr:uid="{00000000-0005-0000-0000-000093680000}"/>
    <cellStyle name="Normal 3 4 12 8 14 2" xfId="32785" xr:uid="{00000000-0005-0000-0000-000094680000}"/>
    <cellStyle name="Normal 3 4 12 8 15" xfId="32780" xr:uid="{00000000-0005-0000-0000-000095680000}"/>
    <cellStyle name="Normal 3 4 12 8 2" xfId="15289" xr:uid="{00000000-0005-0000-0000-000096680000}"/>
    <cellStyle name="Normal 3 4 12 8 2 2" xfId="32786" xr:uid="{00000000-0005-0000-0000-000097680000}"/>
    <cellStyle name="Normal 3 4 12 8 3" xfId="15290" xr:uid="{00000000-0005-0000-0000-000098680000}"/>
    <cellStyle name="Normal 3 4 12 8 3 2" xfId="32787" xr:uid="{00000000-0005-0000-0000-000099680000}"/>
    <cellStyle name="Normal 3 4 12 8 4" xfId="15291" xr:uid="{00000000-0005-0000-0000-00009A680000}"/>
    <cellStyle name="Normal 3 4 12 8 4 2" xfId="32788" xr:uid="{00000000-0005-0000-0000-00009B680000}"/>
    <cellStyle name="Normal 3 4 12 8 5" xfId="15292" xr:uid="{00000000-0005-0000-0000-00009C680000}"/>
    <cellStyle name="Normal 3 4 12 8 5 2" xfId="32789" xr:uid="{00000000-0005-0000-0000-00009D680000}"/>
    <cellStyle name="Normal 3 4 12 8 6" xfId="15293" xr:uid="{00000000-0005-0000-0000-00009E680000}"/>
    <cellStyle name="Normal 3 4 12 8 6 2" xfId="32790" xr:uid="{00000000-0005-0000-0000-00009F680000}"/>
    <cellStyle name="Normal 3 4 12 8 7" xfId="15294" xr:uid="{00000000-0005-0000-0000-0000A0680000}"/>
    <cellStyle name="Normal 3 4 12 8 7 2" xfId="32791" xr:uid="{00000000-0005-0000-0000-0000A1680000}"/>
    <cellStyle name="Normal 3 4 12 8 8" xfId="15295" xr:uid="{00000000-0005-0000-0000-0000A2680000}"/>
    <cellStyle name="Normal 3 4 12 8 8 2" xfId="32792" xr:uid="{00000000-0005-0000-0000-0000A3680000}"/>
    <cellStyle name="Normal 3 4 12 8 9" xfId="15296" xr:uid="{00000000-0005-0000-0000-0000A4680000}"/>
    <cellStyle name="Normal 3 4 12 8 9 2" xfId="32793" xr:uid="{00000000-0005-0000-0000-0000A5680000}"/>
    <cellStyle name="Normal 3 4 12 9" xfId="15297" xr:uid="{00000000-0005-0000-0000-0000A6680000}"/>
    <cellStyle name="Normal 3 4 12 9 10" xfId="15298" xr:uid="{00000000-0005-0000-0000-0000A7680000}"/>
    <cellStyle name="Normal 3 4 12 9 10 2" xfId="32795" xr:uid="{00000000-0005-0000-0000-0000A8680000}"/>
    <cellStyle name="Normal 3 4 12 9 11" xfId="15299" xr:uid="{00000000-0005-0000-0000-0000A9680000}"/>
    <cellStyle name="Normal 3 4 12 9 11 2" xfId="32796" xr:uid="{00000000-0005-0000-0000-0000AA680000}"/>
    <cellStyle name="Normal 3 4 12 9 12" xfId="15300" xr:uid="{00000000-0005-0000-0000-0000AB680000}"/>
    <cellStyle name="Normal 3 4 12 9 12 2" xfId="32797" xr:uid="{00000000-0005-0000-0000-0000AC680000}"/>
    <cellStyle name="Normal 3 4 12 9 13" xfId="15301" xr:uid="{00000000-0005-0000-0000-0000AD680000}"/>
    <cellStyle name="Normal 3 4 12 9 13 2" xfId="32798" xr:uid="{00000000-0005-0000-0000-0000AE680000}"/>
    <cellStyle name="Normal 3 4 12 9 14" xfId="15302" xr:uid="{00000000-0005-0000-0000-0000AF680000}"/>
    <cellStyle name="Normal 3 4 12 9 14 2" xfId="32799" xr:uid="{00000000-0005-0000-0000-0000B0680000}"/>
    <cellStyle name="Normal 3 4 12 9 15" xfId="32794" xr:uid="{00000000-0005-0000-0000-0000B1680000}"/>
    <cellStyle name="Normal 3 4 12 9 2" xfId="15303" xr:uid="{00000000-0005-0000-0000-0000B2680000}"/>
    <cellStyle name="Normal 3 4 12 9 2 2" xfId="32800" xr:uid="{00000000-0005-0000-0000-0000B3680000}"/>
    <cellStyle name="Normal 3 4 12 9 3" xfId="15304" xr:uid="{00000000-0005-0000-0000-0000B4680000}"/>
    <cellStyle name="Normal 3 4 12 9 3 2" xfId="32801" xr:uid="{00000000-0005-0000-0000-0000B5680000}"/>
    <cellStyle name="Normal 3 4 12 9 4" xfId="15305" xr:uid="{00000000-0005-0000-0000-0000B6680000}"/>
    <cellStyle name="Normal 3 4 12 9 4 2" xfId="32802" xr:uid="{00000000-0005-0000-0000-0000B7680000}"/>
    <cellStyle name="Normal 3 4 12 9 5" xfId="15306" xr:uid="{00000000-0005-0000-0000-0000B8680000}"/>
    <cellStyle name="Normal 3 4 12 9 5 2" xfId="32803" xr:uid="{00000000-0005-0000-0000-0000B9680000}"/>
    <cellStyle name="Normal 3 4 12 9 6" xfId="15307" xr:uid="{00000000-0005-0000-0000-0000BA680000}"/>
    <cellStyle name="Normal 3 4 12 9 6 2" xfId="32804" xr:uid="{00000000-0005-0000-0000-0000BB680000}"/>
    <cellStyle name="Normal 3 4 12 9 7" xfId="15308" xr:uid="{00000000-0005-0000-0000-0000BC680000}"/>
    <cellStyle name="Normal 3 4 12 9 7 2" xfId="32805" xr:uid="{00000000-0005-0000-0000-0000BD680000}"/>
    <cellStyle name="Normal 3 4 12 9 8" xfId="15309" xr:uid="{00000000-0005-0000-0000-0000BE680000}"/>
    <cellStyle name="Normal 3 4 12 9 8 2" xfId="32806" xr:uid="{00000000-0005-0000-0000-0000BF680000}"/>
    <cellStyle name="Normal 3 4 12 9 9" xfId="15310" xr:uid="{00000000-0005-0000-0000-0000C0680000}"/>
    <cellStyle name="Normal 3 4 12 9 9 2" xfId="32807" xr:uid="{00000000-0005-0000-0000-0000C1680000}"/>
    <cellStyle name="Normal 3 4 13" xfId="15311" xr:uid="{00000000-0005-0000-0000-0000C2680000}"/>
    <cellStyle name="Normal 3 4 13 10" xfId="15312" xr:uid="{00000000-0005-0000-0000-0000C3680000}"/>
    <cellStyle name="Normal 3 4 13 10 2" xfId="32809" xr:uid="{00000000-0005-0000-0000-0000C4680000}"/>
    <cellStyle name="Normal 3 4 13 11" xfId="15313" xr:uid="{00000000-0005-0000-0000-0000C5680000}"/>
    <cellStyle name="Normal 3 4 13 11 2" xfId="32810" xr:uid="{00000000-0005-0000-0000-0000C6680000}"/>
    <cellStyle name="Normal 3 4 13 12" xfId="15314" xr:uid="{00000000-0005-0000-0000-0000C7680000}"/>
    <cellStyle name="Normal 3 4 13 12 2" xfId="32811" xr:uid="{00000000-0005-0000-0000-0000C8680000}"/>
    <cellStyle name="Normal 3 4 13 13" xfId="15315" xr:uid="{00000000-0005-0000-0000-0000C9680000}"/>
    <cellStyle name="Normal 3 4 13 13 2" xfId="32812" xr:uid="{00000000-0005-0000-0000-0000CA680000}"/>
    <cellStyle name="Normal 3 4 13 14" xfId="15316" xr:uid="{00000000-0005-0000-0000-0000CB680000}"/>
    <cellStyle name="Normal 3 4 13 14 2" xfId="32813" xr:uid="{00000000-0005-0000-0000-0000CC680000}"/>
    <cellStyle name="Normal 3 4 13 15" xfId="15317" xr:uid="{00000000-0005-0000-0000-0000CD680000}"/>
    <cellStyle name="Normal 3 4 13 15 2" xfId="32814" xr:uid="{00000000-0005-0000-0000-0000CE680000}"/>
    <cellStyle name="Normal 3 4 13 16" xfId="32808" xr:uid="{00000000-0005-0000-0000-0000CF680000}"/>
    <cellStyle name="Normal 3 4 13 2" xfId="15318" xr:uid="{00000000-0005-0000-0000-0000D0680000}"/>
    <cellStyle name="Normal 3 4 13 2 10" xfId="15319" xr:uid="{00000000-0005-0000-0000-0000D1680000}"/>
    <cellStyle name="Normal 3 4 13 2 10 2" xfId="32816" xr:uid="{00000000-0005-0000-0000-0000D2680000}"/>
    <cellStyle name="Normal 3 4 13 2 11" xfId="15320" xr:uid="{00000000-0005-0000-0000-0000D3680000}"/>
    <cellStyle name="Normal 3 4 13 2 11 2" xfId="32817" xr:uid="{00000000-0005-0000-0000-0000D4680000}"/>
    <cellStyle name="Normal 3 4 13 2 12" xfId="15321" xr:uid="{00000000-0005-0000-0000-0000D5680000}"/>
    <cellStyle name="Normal 3 4 13 2 12 2" xfId="32818" xr:uid="{00000000-0005-0000-0000-0000D6680000}"/>
    <cellStyle name="Normal 3 4 13 2 13" xfId="15322" xr:uid="{00000000-0005-0000-0000-0000D7680000}"/>
    <cellStyle name="Normal 3 4 13 2 13 2" xfId="32819" xr:uid="{00000000-0005-0000-0000-0000D8680000}"/>
    <cellStyle name="Normal 3 4 13 2 14" xfId="15323" xr:uid="{00000000-0005-0000-0000-0000D9680000}"/>
    <cellStyle name="Normal 3 4 13 2 14 2" xfId="32820" xr:uid="{00000000-0005-0000-0000-0000DA680000}"/>
    <cellStyle name="Normal 3 4 13 2 15" xfId="32815" xr:uid="{00000000-0005-0000-0000-0000DB680000}"/>
    <cellStyle name="Normal 3 4 13 2 2" xfId="15324" xr:uid="{00000000-0005-0000-0000-0000DC680000}"/>
    <cellStyle name="Normal 3 4 13 2 2 2" xfId="32821" xr:uid="{00000000-0005-0000-0000-0000DD680000}"/>
    <cellStyle name="Normal 3 4 13 2 3" xfId="15325" xr:uid="{00000000-0005-0000-0000-0000DE680000}"/>
    <cellStyle name="Normal 3 4 13 2 3 2" xfId="32822" xr:uid="{00000000-0005-0000-0000-0000DF680000}"/>
    <cellStyle name="Normal 3 4 13 2 4" xfId="15326" xr:uid="{00000000-0005-0000-0000-0000E0680000}"/>
    <cellStyle name="Normal 3 4 13 2 4 2" xfId="32823" xr:uid="{00000000-0005-0000-0000-0000E1680000}"/>
    <cellStyle name="Normal 3 4 13 2 5" xfId="15327" xr:uid="{00000000-0005-0000-0000-0000E2680000}"/>
    <cellStyle name="Normal 3 4 13 2 5 2" xfId="32824" xr:uid="{00000000-0005-0000-0000-0000E3680000}"/>
    <cellStyle name="Normal 3 4 13 2 6" xfId="15328" xr:uid="{00000000-0005-0000-0000-0000E4680000}"/>
    <cellStyle name="Normal 3 4 13 2 6 2" xfId="32825" xr:uid="{00000000-0005-0000-0000-0000E5680000}"/>
    <cellStyle name="Normal 3 4 13 2 7" xfId="15329" xr:uid="{00000000-0005-0000-0000-0000E6680000}"/>
    <cellStyle name="Normal 3 4 13 2 7 2" xfId="32826" xr:uid="{00000000-0005-0000-0000-0000E7680000}"/>
    <cellStyle name="Normal 3 4 13 2 8" xfId="15330" xr:uid="{00000000-0005-0000-0000-0000E8680000}"/>
    <cellStyle name="Normal 3 4 13 2 8 2" xfId="32827" xr:uid="{00000000-0005-0000-0000-0000E9680000}"/>
    <cellStyle name="Normal 3 4 13 2 9" xfId="15331" xr:uid="{00000000-0005-0000-0000-0000EA680000}"/>
    <cellStyle name="Normal 3 4 13 2 9 2" xfId="32828" xr:uid="{00000000-0005-0000-0000-0000EB680000}"/>
    <cellStyle name="Normal 3 4 13 3" xfId="15332" xr:uid="{00000000-0005-0000-0000-0000EC680000}"/>
    <cellStyle name="Normal 3 4 13 3 2" xfId="32829" xr:uid="{00000000-0005-0000-0000-0000ED680000}"/>
    <cellStyle name="Normal 3 4 13 4" xfId="15333" xr:uid="{00000000-0005-0000-0000-0000EE680000}"/>
    <cellStyle name="Normal 3 4 13 4 2" xfId="32830" xr:uid="{00000000-0005-0000-0000-0000EF680000}"/>
    <cellStyle name="Normal 3 4 13 5" xfId="15334" xr:uid="{00000000-0005-0000-0000-0000F0680000}"/>
    <cellStyle name="Normal 3 4 13 5 2" xfId="32831" xr:uid="{00000000-0005-0000-0000-0000F1680000}"/>
    <cellStyle name="Normal 3 4 13 6" xfId="15335" xr:uid="{00000000-0005-0000-0000-0000F2680000}"/>
    <cellStyle name="Normal 3 4 13 6 2" xfId="32832" xr:uid="{00000000-0005-0000-0000-0000F3680000}"/>
    <cellStyle name="Normal 3 4 13 7" xfId="15336" xr:uid="{00000000-0005-0000-0000-0000F4680000}"/>
    <cellStyle name="Normal 3 4 13 7 2" xfId="32833" xr:uid="{00000000-0005-0000-0000-0000F5680000}"/>
    <cellStyle name="Normal 3 4 13 8" xfId="15337" xr:uid="{00000000-0005-0000-0000-0000F6680000}"/>
    <cellStyle name="Normal 3 4 13 8 2" xfId="32834" xr:uid="{00000000-0005-0000-0000-0000F7680000}"/>
    <cellStyle name="Normal 3 4 13 9" xfId="15338" xr:uid="{00000000-0005-0000-0000-0000F8680000}"/>
    <cellStyle name="Normal 3 4 13 9 2" xfId="32835" xr:uid="{00000000-0005-0000-0000-0000F9680000}"/>
    <cellStyle name="Normal 3 4 14" xfId="15339" xr:uid="{00000000-0005-0000-0000-0000FA680000}"/>
    <cellStyle name="Normal 3 4 14 10" xfId="15340" xr:uid="{00000000-0005-0000-0000-0000FB680000}"/>
    <cellStyle name="Normal 3 4 14 10 2" xfId="32837" xr:uid="{00000000-0005-0000-0000-0000FC680000}"/>
    <cellStyle name="Normal 3 4 14 11" xfId="15341" xr:uid="{00000000-0005-0000-0000-0000FD680000}"/>
    <cellStyle name="Normal 3 4 14 11 2" xfId="32838" xr:uid="{00000000-0005-0000-0000-0000FE680000}"/>
    <cellStyle name="Normal 3 4 14 12" xfId="15342" xr:uid="{00000000-0005-0000-0000-0000FF680000}"/>
    <cellStyle name="Normal 3 4 14 12 2" xfId="32839" xr:uid="{00000000-0005-0000-0000-000000690000}"/>
    <cellStyle name="Normal 3 4 14 13" xfId="15343" xr:uid="{00000000-0005-0000-0000-000001690000}"/>
    <cellStyle name="Normal 3 4 14 13 2" xfId="32840" xr:uid="{00000000-0005-0000-0000-000002690000}"/>
    <cellStyle name="Normal 3 4 14 14" xfId="15344" xr:uid="{00000000-0005-0000-0000-000003690000}"/>
    <cellStyle name="Normal 3 4 14 14 2" xfId="32841" xr:uid="{00000000-0005-0000-0000-000004690000}"/>
    <cellStyle name="Normal 3 4 14 15" xfId="15345" xr:uid="{00000000-0005-0000-0000-000005690000}"/>
    <cellStyle name="Normal 3 4 14 15 2" xfId="32842" xr:uid="{00000000-0005-0000-0000-000006690000}"/>
    <cellStyle name="Normal 3 4 14 16" xfId="32836" xr:uid="{00000000-0005-0000-0000-000007690000}"/>
    <cellStyle name="Normal 3 4 14 2" xfId="15346" xr:uid="{00000000-0005-0000-0000-000008690000}"/>
    <cellStyle name="Normal 3 4 14 2 10" xfId="15347" xr:uid="{00000000-0005-0000-0000-000009690000}"/>
    <cellStyle name="Normal 3 4 14 2 10 2" xfId="32844" xr:uid="{00000000-0005-0000-0000-00000A690000}"/>
    <cellStyle name="Normal 3 4 14 2 11" xfId="15348" xr:uid="{00000000-0005-0000-0000-00000B690000}"/>
    <cellStyle name="Normal 3 4 14 2 11 2" xfId="32845" xr:uid="{00000000-0005-0000-0000-00000C690000}"/>
    <cellStyle name="Normal 3 4 14 2 12" xfId="15349" xr:uid="{00000000-0005-0000-0000-00000D690000}"/>
    <cellStyle name="Normal 3 4 14 2 12 2" xfId="32846" xr:uid="{00000000-0005-0000-0000-00000E690000}"/>
    <cellStyle name="Normal 3 4 14 2 13" xfId="15350" xr:uid="{00000000-0005-0000-0000-00000F690000}"/>
    <cellStyle name="Normal 3 4 14 2 13 2" xfId="32847" xr:uid="{00000000-0005-0000-0000-000010690000}"/>
    <cellStyle name="Normal 3 4 14 2 14" xfId="15351" xr:uid="{00000000-0005-0000-0000-000011690000}"/>
    <cellStyle name="Normal 3 4 14 2 14 2" xfId="32848" xr:uid="{00000000-0005-0000-0000-000012690000}"/>
    <cellStyle name="Normal 3 4 14 2 15" xfId="32843" xr:uid="{00000000-0005-0000-0000-000013690000}"/>
    <cellStyle name="Normal 3 4 14 2 2" xfId="15352" xr:uid="{00000000-0005-0000-0000-000014690000}"/>
    <cellStyle name="Normal 3 4 14 2 2 2" xfId="32849" xr:uid="{00000000-0005-0000-0000-000015690000}"/>
    <cellStyle name="Normal 3 4 14 2 3" xfId="15353" xr:uid="{00000000-0005-0000-0000-000016690000}"/>
    <cellStyle name="Normal 3 4 14 2 3 2" xfId="32850" xr:uid="{00000000-0005-0000-0000-000017690000}"/>
    <cellStyle name="Normal 3 4 14 2 4" xfId="15354" xr:uid="{00000000-0005-0000-0000-000018690000}"/>
    <cellStyle name="Normal 3 4 14 2 4 2" xfId="32851" xr:uid="{00000000-0005-0000-0000-000019690000}"/>
    <cellStyle name="Normal 3 4 14 2 5" xfId="15355" xr:uid="{00000000-0005-0000-0000-00001A690000}"/>
    <cellStyle name="Normal 3 4 14 2 5 2" xfId="32852" xr:uid="{00000000-0005-0000-0000-00001B690000}"/>
    <cellStyle name="Normal 3 4 14 2 6" xfId="15356" xr:uid="{00000000-0005-0000-0000-00001C690000}"/>
    <cellStyle name="Normal 3 4 14 2 6 2" xfId="32853" xr:uid="{00000000-0005-0000-0000-00001D690000}"/>
    <cellStyle name="Normal 3 4 14 2 7" xfId="15357" xr:uid="{00000000-0005-0000-0000-00001E690000}"/>
    <cellStyle name="Normal 3 4 14 2 7 2" xfId="32854" xr:uid="{00000000-0005-0000-0000-00001F690000}"/>
    <cellStyle name="Normal 3 4 14 2 8" xfId="15358" xr:uid="{00000000-0005-0000-0000-000020690000}"/>
    <cellStyle name="Normal 3 4 14 2 8 2" xfId="32855" xr:uid="{00000000-0005-0000-0000-000021690000}"/>
    <cellStyle name="Normal 3 4 14 2 9" xfId="15359" xr:uid="{00000000-0005-0000-0000-000022690000}"/>
    <cellStyle name="Normal 3 4 14 2 9 2" xfId="32856" xr:uid="{00000000-0005-0000-0000-000023690000}"/>
    <cellStyle name="Normal 3 4 14 3" xfId="15360" xr:uid="{00000000-0005-0000-0000-000024690000}"/>
    <cellStyle name="Normal 3 4 14 3 2" xfId="32857" xr:uid="{00000000-0005-0000-0000-000025690000}"/>
    <cellStyle name="Normal 3 4 14 4" xfId="15361" xr:uid="{00000000-0005-0000-0000-000026690000}"/>
    <cellStyle name="Normal 3 4 14 4 2" xfId="32858" xr:uid="{00000000-0005-0000-0000-000027690000}"/>
    <cellStyle name="Normal 3 4 14 5" xfId="15362" xr:uid="{00000000-0005-0000-0000-000028690000}"/>
    <cellStyle name="Normal 3 4 14 5 2" xfId="32859" xr:uid="{00000000-0005-0000-0000-000029690000}"/>
    <cellStyle name="Normal 3 4 14 6" xfId="15363" xr:uid="{00000000-0005-0000-0000-00002A690000}"/>
    <cellStyle name="Normal 3 4 14 6 2" xfId="32860" xr:uid="{00000000-0005-0000-0000-00002B690000}"/>
    <cellStyle name="Normal 3 4 14 7" xfId="15364" xr:uid="{00000000-0005-0000-0000-00002C690000}"/>
    <cellStyle name="Normal 3 4 14 7 2" xfId="32861" xr:uid="{00000000-0005-0000-0000-00002D690000}"/>
    <cellStyle name="Normal 3 4 14 8" xfId="15365" xr:uid="{00000000-0005-0000-0000-00002E690000}"/>
    <cellStyle name="Normal 3 4 14 8 2" xfId="32862" xr:uid="{00000000-0005-0000-0000-00002F690000}"/>
    <cellStyle name="Normal 3 4 14 9" xfId="15366" xr:uid="{00000000-0005-0000-0000-000030690000}"/>
    <cellStyle name="Normal 3 4 14 9 2" xfId="32863" xr:uid="{00000000-0005-0000-0000-000031690000}"/>
    <cellStyle name="Normal 3 4 15" xfId="15367" xr:uid="{00000000-0005-0000-0000-000032690000}"/>
    <cellStyle name="Normal 3 4 15 10" xfId="15368" xr:uid="{00000000-0005-0000-0000-000033690000}"/>
    <cellStyle name="Normal 3 4 15 10 2" xfId="32865" xr:uid="{00000000-0005-0000-0000-000034690000}"/>
    <cellStyle name="Normal 3 4 15 11" xfId="15369" xr:uid="{00000000-0005-0000-0000-000035690000}"/>
    <cellStyle name="Normal 3 4 15 11 2" xfId="32866" xr:uid="{00000000-0005-0000-0000-000036690000}"/>
    <cellStyle name="Normal 3 4 15 12" xfId="15370" xr:uid="{00000000-0005-0000-0000-000037690000}"/>
    <cellStyle name="Normal 3 4 15 12 2" xfId="32867" xr:uid="{00000000-0005-0000-0000-000038690000}"/>
    <cellStyle name="Normal 3 4 15 13" xfId="15371" xr:uid="{00000000-0005-0000-0000-000039690000}"/>
    <cellStyle name="Normal 3 4 15 13 2" xfId="32868" xr:uid="{00000000-0005-0000-0000-00003A690000}"/>
    <cellStyle name="Normal 3 4 15 14" xfId="15372" xr:uid="{00000000-0005-0000-0000-00003B690000}"/>
    <cellStyle name="Normal 3 4 15 14 2" xfId="32869" xr:uid="{00000000-0005-0000-0000-00003C690000}"/>
    <cellStyle name="Normal 3 4 15 15" xfId="15373" xr:uid="{00000000-0005-0000-0000-00003D690000}"/>
    <cellStyle name="Normal 3 4 15 15 2" xfId="32870" xr:uid="{00000000-0005-0000-0000-00003E690000}"/>
    <cellStyle name="Normal 3 4 15 16" xfId="32864" xr:uid="{00000000-0005-0000-0000-00003F690000}"/>
    <cellStyle name="Normal 3 4 15 2" xfId="15374" xr:uid="{00000000-0005-0000-0000-000040690000}"/>
    <cellStyle name="Normal 3 4 15 2 10" xfId="15375" xr:uid="{00000000-0005-0000-0000-000041690000}"/>
    <cellStyle name="Normal 3 4 15 2 10 2" xfId="32872" xr:uid="{00000000-0005-0000-0000-000042690000}"/>
    <cellStyle name="Normal 3 4 15 2 11" xfId="15376" xr:uid="{00000000-0005-0000-0000-000043690000}"/>
    <cellStyle name="Normal 3 4 15 2 11 2" xfId="32873" xr:uid="{00000000-0005-0000-0000-000044690000}"/>
    <cellStyle name="Normal 3 4 15 2 12" xfId="15377" xr:uid="{00000000-0005-0000-0000-000045690000}"/>
    <cellStyle name="Normal 3 4 15 2 12 2" xfId="32874" xr:uid="{00000000-0005-0000-0000-000046690000}"/>
    <cellStyle name="Normal 3 4 15 2 13" xfId="15378" xr:uid="{00000000-0005-0000-0000-000047690000}"/>
    <cellStyle name="Normal 3 4 15 2 13 2" xfId="32875" xr:uid="{00000000-0005-0000-0000-000048690000}"/>
    <cellStyle name="Normal 3 4 15 2 14" xfId="15379" xr:uid="{00000000-0005-0000-0000-000049690000}"/>
    <cellStyle name="Normal 3 4 15 2 14 2" xfId="32876" xr:uid="{00000000-0005-0000-0000-00004A690000}"/>
    <cellStyle name="Normal 3 4 15 2 15" xfId="32871" xr:uid="{00000000-0005-0000-0000-00004B690000}"/>
    <cellStyle name="Normal 3 4 15 2 2" xfId="15380" xr:uid="{00000000-0005-0000-0000-00004C690000}"/>
    <cellStyle name="Normal 3 4 15 2 2 2" xfId="32877" xr:uid="{00000000-0005-0000-0000-00004D690000}"/>
    <cellStyle name="Normal 3 4 15 2 3" xfId="15381" xr:uid="{00000000-0005-0000-0000-00004E690000}"/>
    <cellStyle name="Normal 3 4 15 2 3 2" xfId="32878" xr:uid="{00000000-0005-0000-0000-00004F690000}"/>
    <cellStyle name="Normal 3 4 15 2 4" xfId="15382" xr:uid="{00000000-0005-0000-0000-000050690000}"/>
    <cellStyle name="Normal 3 4 15 2 4 2" xfId="32879" xr:uid="{00000000-0005-0000-0000-000051690000}"/>
    <cellStyle name="Normal 3 4 15 2 5" xfId="15383" xr:uid="{00000000-0005-0000-0000-000052690000}"/>
    <cellStyle name="Normal 3 4 15 2 5 2" xfId="32880" xr:uid="{00000000-0005-0000-0000-000053690000}"/>
    <cellStyle name="Normal 3 4 15 2 6" xfId="15384" xr:uid="{00000000-0005-0000-0000-000054690000}"/>
    <cellStyle name="Normal 3 4 15 2 6 2" xfId="32881" xr:uid="{00000000-0005-0000-0000-000055690000}"/>
    <cellStyle name="Normal 3 4 15 2 7" xfId="15385" xr:uid="{00000000-0005-0000-0000-000056690000}"/>
    <cellStyle name="Normal 3 4 15 2 7 2" xfId="32882" xr:uid="{00000000-0005-0000-0000-000057690000}"/>
    <cellStyle name="Normal 3 4 15 2 8" xfId="15386" xr:uid="{00000000-0005-0000-0000-000058690000}"/>
    <cellStyle name="Normal 3 4 15 2 8 2" xfId="32883" xr:uid="{00000000-0005-0000-0000-000059690000}"/>
    <cellStyle name="Normal 3 4 15 2 9" xfId="15387" xr:uid="{00000000-0005-0000-0000-00005A690000}"/>
    <cellStyle name="Normal 3 4 15 2 9 2" xfId="32884" xr:uid="{00000000-0005-0000-0000-00005B690000}"/>
    <cellStyle name="Normal 3 4 15 3" xfId="15388" xr:uid="{00000000-0005-0000-0000-00005C690000}"/>
    <cellStyle name="Normal 3 4 15 3 2" xfId="32885" xr:uid="{00000000-0005-0000-0000-00005D690000}"/>
    <cellStyle name="Normal 3 4 15 4" xfId="15389" xr:uid="{00000000-0005-0000-0000-00005E690000}"/>
    <cellStyle name="Normal 3 4 15 4 2" xfId="32886" xr:uid="{00000000-0005-0000-0000-00005F690000}"/>
    <cellStyle name="Normal 3 4 15 5" xfId="15390" xr:uid="{00000000-0005-0000-0000-000060690000}"/>
    <cellStyle name="Normal 3 4 15 5 2" xfId="32887" xr:uid="{00000000-0005-0000-0000-000061690000}"/>
    <cellStyle name="Normal 3 4 15 6" xfId="15391" xr:uid="{00000000-0005-0000-0000-000062690000}"/>
    <cellStyle name="Normal 3 4 15 6 2" xfId="32888" xr:uid="{00000000-0005-0000-0000-000063690000}"/>
    <cellStyle name="Normal 3 4 15 7" xfId="15392" xr:uid="{00000000-0005-0000-0000-000064690000}"/>
    <cellStyle name="Normal 3 4 15 7 2" xfId="32889" xr:uid="{00000000-0005-0000-0000-000065690000}"/>
    <cellStyle name="Normal 3 4 15 8" xfId="15393" xr:uid="{00000000-0005-0000-0000-000066690000}"/>
    <cellStyle name="Normal 3 4 15 8 2" xfId="32890" xr:uid="{00000000-0005-0000-0000-000067690000}"/>
    <cellStyle name="Normal 3 4 15 9" xfId="15394" xr:uid="{00000000-0005-0000-0000-000068690000}"/>
    <cellStyle name="Normal 3 4 15 9 2" xfId="32891" xr:uid="{00000000-0005-0000-0000-000069690000}"/>
    <cellStyle name="Normal 3 4 16" xfId="15395" xr:uid="{00000000-0005-0000-0000-00006A690000}"/>
    <cellStyle name="Normal 3 4 16 10" xfId="15396" xr:uid="{00000000-0005-0000-0000-00006B690000}"/>
    <cellStyle name="Normal 3 4 16 10 2" xfId="32893" xr:uid="{00000000-0005-0000-0000-00006C690000}"/>
    <cellStyle name="Normal 3 4 16 11" xfId="15397" xr:uid="{00000000-0005-0000-0000-00006D690000}"/>
    <cellStyle name="Normal 3 4 16 11 2" xfId="32894" xr:uid="{00000000-0005-0000-0000-00006E690000}"/>
    <cellStyle name="Normal 3 4 16 12" xfId="15398" xr:uid="{00000000-0005-0000-0000-00006F690000}"/>
    <cellStyle name="Normal 3 4 16 12 2" xfId="32895" xr:uid="{00000000-0005-0000-0000-000070690000}"/>
    <cellStyle name="Normal 3 4 16 13" xfId="15399" xr:uid="{00000000-0005-0000-0000-000071690000}"/>
    <cellStyle name="Normal 3 4 16 13 2" xfId="32896" xr:uid="{00000000-0005-0000-0000-000072690000}"/>
    <cellStyle name="Normal 3 4 16 14" xfId="15400" xr:uid="{00000000-0005-0000-0000-000073690000}"/>
    <cellStyle name="Normal 3 4 16 14 2" xfId="32897" xr:uid="{00000000-0005-0000-0000-000074690000}"/>
    <cellStyle name="Normal 3 4 16 15" xfId="32892" xr:uid="{00000000-0005-0000-0000-000075690000}"/>
    <cellStyle name="Normal 3 4 16 2" xfId="15401" xr:uid="{00000000-0005-0000-0000-000076690000}"/>
    <cellStyle name="Normal 3 4 16 2 2" xfId="32898" xr:uid="{00000000-0005-0000-0000-000077690000}"/>
    <cellStyle name="Normal 3 4 16 3" xfId="15402" xr:uid="{00000000-0005-0000-0000-000078690000}"/>
    <cellStyle name="Normal 3 4 16 3 2" xfId="32899" xr:uid="{00000000-0005-0000-0000-000079690000}"/>
    <cellStyle name="Normal 3 4 16 4" xfId="15403" xr:uid="{00000000-0005-0000-0000-00007A690000}"/>
    <cellStyle name="Normal 3 4 16 4 2" xfId="32900" xr:uid="{00000000-0005-0000-0000-00007B690000}"/>
    <cellStyle name="Normal 3 4 16 5" xfId="15404" xr:uid="{00000000-0005-0000-0000-00007C690000}"/>
    <cellStyle name="Normal 3 4 16 5 2" xfId="32901" xr:uid="{00000000-0005-0000-0000-00007D690000}"/>
    <cellStyle name="Normal 3 4 16 6" xfId="15405" xr:uid="{00000000-0005-0000-0000-00007E690000}"/>
    <cellStyle name="Normal 3 4 16 6 2" xfId="32902" xr:uid="{00000000-0005-0000-0000-00007F690000}"/>
    <cellStyle name="Normal 3 4 16 7" xfId="15406" xr:uid="{00000000-0005-0000-0000-000080690000}"/>
    <cellStyle name="Normal 3 4 16 7 2" xfId="32903" xr:uid="{00000000-0005-0000-0000-000081690000}"/>
    <cellStyle name="Normal 3 4 16 8" xfId="15407" xr:uid="{00000000-0005-0000-0000-000082690000}"/>
    <cellStyle name="Normal 3 4 16 8 2" xfId="32904" xr:uid="{00000000-0005-0000-0000-000083690000}"/>
    <cellStyle name="Normal 3 4 16 9" xfId="15408" xr:uid="{00000000-0005-0000-0000-000084690000}"/>
    <cellStyle name="Normal 3 4 16 9 2" xfId="32905" xr:uid="{00000000-0005-0000-0000-000085690000}"/>
    <cellStyle name="Normal 3 4 17" xfId="15409" xr:uid="{00000000-0005-0000-0000-000086690000}"/>
    <cellStyle name="Normal 3 4 17 10" xfId="15410" xr:uid="{00000000-0005-0000-0000-000087690000}"/>
    <cellStyle name="Normal 3 4 17 10 2" xfId="32907" xr:uid="{00000000-0005-0000-0000-000088690000}"/>
    <cellStyle name="Normal 3 4 17 11" xfId="15411" xr:uid="{00000000-0005-0000-0000-000089690000}"/>
    <cellStyle name="Normal 3 4 17 11 2" xfId="32908" xr:uid="{00000000-0005-0000-0000-00008A690000}"/>
    <cellStyle name="Normal 3 4 17 12" xfId="15412" xr:uid="{00000000-0005-0000-0000-00008B690000}"/>
    <cellStyle name="Normal 3 4 17 12 2" xfId="32909" xr:uid="{00000000-0005-0000-0000-00008C690000}"/>
    <cellStyle name="Normal 3 4 17 13" xfId="15413" xr:uid="{00000000-0005-0000-0000-00008D690000}"/>
    <cellStyle name="Normal 3 4 17 13 2" xfId="32910" xr:uid="{00000000-0005-0000-0000-00008E690000}"/>
    <cellStyle name="Normal 3 4 17 14" xfId="15414" xr:uid="{00000000-0005-0000-0000-00008F690000}"/>
    <cellStyle name="Normal 3 4 17 14 2" xfId="32911" xr:uid="{00000000-0005-0000-0000-000090690000}"/>
    <cellStyle name="Normal 3 4 17 15" xfId="32906" xr:uid="{00000000-0005-0000-0000-000091690000}"/>
    <cellStyle name="Normal 3 4 17 2" xfId="15415" xr:uid="{00000000-0005-0000-0000-000092690000}"/>
    <cellStyle name="Normal 3 4 17 2 2" xfId="32912" xr:uid="{00000000-0005-0000-0000-000093690000}"/>
    <cellStyle name="Normal 3 4 17 3" xfId="15416" xr:uid="{00000000-0005-0000-0000-000094690000}"/>
    <cellStyle name="Normal 3 4 17 3 2" xfId="32913" xr:uid="{00000000-0005-0000-0000-000095690000}"/>
    <cellStyle name="Normal 3 4 17 4" xfId="15417" xr:uid="{00000000-0005-0000-0000-000096690000}"/>
    <cellStyle name="Normal 3 4 17 4 2" xfId="32914" xr:uid="{00000000-0005-0000-0000-000097690000}"/>
    <cellStyle name="Normal 3 4 17 5" xfId="15418" xr:uid="{00000000-0005-0000-0000-000098690000}"/>
    <cellStyle name="Normal 3 4 17 5 2" xfId="32915" xr:uid="{00000000-0005-0000-0000-000099690000}"/>
    <cellStyle name="Normal 3 4 17 6" xfId="15419" xr:uid="{00000000-0005-0000-0000-00009A690000}"/>
    <cellStyle name="Normal 3 4 17 6 2" xfId="32916" xr:uid="{00000000-0005-0000-0000-00009B690000}"/>
    <cellStyle name="Normal 3 4 17 7" xfId="15420" xr:uid="{00000000-0005-0000-0000-00009C690000}"/>
    <cellStyle name="Normal 3 4 17 7 2" xfId="32917" xr:uid="{00000000-0005-0000-0000-00009D690000}"/>
    <cellStyle name="Normal 3 4 17 8" xfId="15421" xr:uid="{00000000-0005-0000-0000-00009E690000}"/>
    <cellStyle name="Normal 3 4 17 8 2" xfId="32918" xr:uid="{00000000-0005-0000-0000-00009F690000}"/>
    <cellStyle name="Normal 3 4 17 9" xfId="15422" xr:uid="{00000000-0005-0000-0000-0000A0690000}"/>
    <cellStyle name="Normal 3 4 17 9 2" xfId="32919" xr:uid="{00000000-0005-0000-0000-0000A1690000}"/>
    <cellStyle name="Normal 3 4 18" xfId="15423" xr:uid="{00000000-0005-0000-0000-0000A2690000}"/>
    <cellStyle name="Normal 3 4 18 10" xfId="15424" xr:uid="{00000000-0005-0000-0000-0000A3690000}"/>
    <cellStyle name="Normal 3 4 18 10 2" xfId="32921" xr:uid="{00000000-0005-0000-0000-0000A4690000}"/>
    <cellStyle name="Normal 3 4 18 11" xfId="15425" xr:uid="{00000000-0005-0000-0000-0000A5690000}"/>
    <cellStyle name="Normal 3 4 18 11 2" xfId="32922" xr:uid="{00000000-0005-0000-0000-0000A6690000}"/>
    <cellStyle name="Normal 3 4 18 12" xfId="15426" xr:uid="{00000000-0005-0000-0000-0000A7690000}"/>
    <cellStyle name="Normal 3 4 18 12 2" xfId="32923" xr:uid="{00000000-0005-0000-0000-0000A8690000}"/>
    <cellStyle name="Normal 3 4 18 13" xfId="15427" xr:uid="{00000000-0005-0000-0000-0000A9690000}"/>
    <cellStyle name="Normal 3 4 18 13 2" xfId="32924" xr:uid="{00000000-0005-0000-0000-0000AA690000}"/>
    <cellStyle name="Normal 3 4 18 14" xfId="15428" xr:uid="{00000000-0005-0000-0000-0000AB690000}"/>
    <cellStyle name="Normal 3 4 18 14 2" xfId="32925" xr:uid="{00000000-0005-0000-0000-0000AC690000}"/>
    <cellStyle name="Normal 3 4 18 15" xfId="32920" xr:uid="{00000000-0005-0000-0000-0000AD690000}"/>
    <cellStyle name="Normal 3 4 18 2" xfId="15429" xr:uid="{00000000-0005-0000-0000-0000AE690000}"/>
    <cellStyle name="Normal 3 4 18 2 2" xfId="32926" xr:uid="{00000000-0005-0000-0000-0000AF690000}"/>
    <cellStyle name="Normal 3 4 18 3" xfId="15430" xr:uid="{00000000-0005-0000-0000-0000B0690000}"/>
    <cellStyle name="Normal 3 4 18 3 2" xfId="32927" xr:uid="{00000000-0005-0000-0000-0000B1690000}"/>
    <cellStyle name="Normal 3 4 18 4" xfId="15431" xr:uid="{00000000-0005-0000-0000-0000B2690000}"/>
    <cellStyle name="Normal 3 4 18 4 2" xfId="32928" xr:uid="{00000000-0005-0000-0000-0000B3690000}"/>
    <cellStyle name="Normal 3 4 18 5" xfId="15432" xr:uid="{00000000-0005-0000-0000-0000B4690000}"/>
    <cellStyle name="Normal 3 4 18 5 2" xfId="32929" xr:uid="{00000000-0005-0000-0000-0000B5690000}"/>
    <cellStyle name="Normal 3 4 18 6" xfId="15433" xr:uid="{00000000-0005-0000-0000-0000B6690000}"/>
    <cellStyle name="Normal 3 4 18 6 2" xfId="32930" xr:uid="{00000000-0005-0000-0000-0000B7690000}"/>
    <cellStyle name="Normal 3 4 18 7" xfId="15434" xr:uid="{00000000-0005-0000-0000-0000B8690000}"/>
    <cellStyle name="Normal 3 4 18 7 2" xfId="32931" xr:uid="{00000000-0005-0000-0000-0000B9690000}"/>
    <cellStyle name="Normal 3 4 18 8" xfId="15435" xr:uid="{00000000-0005-0000-0000-0000BA690000}"/>
    <cellStyle name="Normal 3 4 18 8 2" xfId="32932" xr:uid="{00000000-0005-0000-0000-0000BB690000}"/>
    <cellStyle name="Normal 3 4 18 9" xfId="15436" xr:uid="{00000000-0005-0000-0000-0000BC690000}"/>
    <cellStyle name="Normal 3 4 18 9 2" xfId="32933" xr:uid="{00000000-0005-0000-0000-0000BD690000}"/>
    <cellStyle name="Normal 3 4 19" xfId="15437" xr:uid="{00000000-0005-0000-0000-0000BE690000}"/>
    <cellStyle name="Normal 3 4 19 10" xfId="15438" xr:uid="{00000000-0005-0000-0000-0000BF690000}"/>
    <cellStyle name="Normal 3 4 19 10 2" xfId="32935" xr:uid="{00000000-0005-0000-0000-0000C0690000}"/>
    <cellStyle name="Normal 3 4 19 11" xfId="15439" xr:uid="{00000000-0005-0000-0000-0000C1690000}"/>
    <cellStyle name="Normal 3 4 19 11 2" xfId="32936" xr:uid="{00000000-0005-0000-0000-0000C2690000}"/>
    <cellStyle name="Normal 3 4 19 12" xfId="15440" xr:uid="{00000000-0005-0000-0000-0000C3690000}"/>
    <cellStyle name="Normal 3 4 19 12 2" xfId="32937" xr:uid="{00000000-0005-0000-0000-0000C4690000}"/>
    <cellStyle name="Normal 3 4 19 13" xfId="15441" xr:uid="{00000000-0005-0000-0000-0000C5690000}"/>
    <cellStyle name="Normal 3 4 19 13 2" xfId="32938" xr:uid="{00000000-0005-0000-0000-0000C6690000}"/>
    <cellStyle name="Normal 3 4 19 14" xfId="15442" xr:uid="{00000000-0005-0000-0000-0000C7690000}"/>
    <cellStyle name="Normal 3 4 19 14 2" xfId="32939" xr:uid="{00000000-0005-0000-0000-0000C8690000}"/>
    <cellStyle name="Normal 3 4 19 15" xfId="32934" xr:uid="{00000000-0005-0000-0000-0000C9690000}"/>
    <cellStyle name="Normal 3 4 19 2" xfId="15443" xr:uid="{00000000-0005-0000-0000-0000CA690000}"/>
    <cellStyle name="Normal 3 4 19 2 2" xfId="32940" xr:uid="{00000000-0005-0000-0000-0000CB690000}"/>
    <cellStyle name="Normal 3 4 19 3" xfId="15444" xr:uid="{00000000-0005-0000-0000-0000CC690000}"/>
    <cellStyle name="Normal 3 4 19 3 2" xfId="32941" xr:uid="{00000000-0005-0000-0000-0000CD690000}"/>
    <cellStyle name="Normal 3 4 19 4" xfId="15445" xr:uid="{00000000-0005-0000-0000-0000CE690000}"/>
    <cellStyle name="Normal 3 4 19 4 2" xfId="32942" xr:uid="{00000000-0005-0000-0000-0000CF690000}"/>
    <cellStyle name="Normal 3 4 19 5" xfId="15446" xr:uid="{00000000-0005-0000-0000-0000D0690000}"/>
    <cellStyle name="Normal 3 4 19 5 2" xfId="32943" xr:uid="{00000000-0005-0000-0000-0000D1690000}"/>
    <cellStyle name="Normal 3 4 19 6" xfId="15447" xr:uid="{00000000-0005-0000-0000-0000D2690000}"/>
    <cellStyle name="Normal 3 4 19 6 2" xfId="32944" xr:uid="{00000000-0005-0000-0000-0000D3690000}"/>
    <cellStyle name="Normal 3 4 19 7" xfId="15448" xr:uid="{00000000-0005-0000-0000-0000D4690000}"/>
    <cellStyle name="Normal 3 4 19 7 2" xfId="32945" xr:uid="{00000000-0005-0000-0000-0000D5690000}"/>
    <cellStyle name="Normal 3 4 19 8" xfId="15449" xr:uid="{00000000-0005-0000-0000-0000D6690000}"/>
    <cellStyle name="Normal 3 4 19 8 2" xfId="32946" xr:uid="{00000000-0005-0000-0000-0000D7690000}"/>
    <cellStyle name="Normal 3 4 19 9" xfId="15450" xr:uid="{00000000-0005-0000-0000-0000D8690000}"/>
    <cellStyle name="Normal 3 4 19 9 2" xfId="32947" xr:uid="{00000000-0005-0000-0000-0000D9690000}"/>
    <cellStyle name="Normal 3 4 2" xfId="15451" xr:uid="{00000000-0005-0000-0000-0000DA690000}"/>
    <cellStyle name="Normal 3 4 2 10" xfId="15452" xr:uid="{00000000-0005-0000-0000-0000DB690000}"/>
    <cellStyle name="Normal 3 4 2 10 10" xfId="15453" xr:uid="{00000000-0005-0000-0000-0000DC690000}"/>
    <cellStyle name="Normal 3 4 2 10 10 2" xfId="32949" xr:uid="{00000000-0005-0000-0000-0000DD690000}"/>
    <cellStyle name="Normal 3 4 2 10 11" xfId="15454" xr:uid="{00000000-0005-0000-0000-0000DE690000}"/>
    <cellStyle name="Normal 3 4 2 10 11 2" xfId="32950" xr:uid="{00000000-0005-0000-0000-0000DF690000}"/>
    <cellStyle name="Normal 3 4 2 10 12" xfId="15455" xr:uid="{00000000-0005-0000-0000-0000E0690000}"/>
    <cellStyle name="Normal 3 4 2 10 12 2" xfId="32951" xr:uid="{00000000-0005-0000-0000-0000E1690000}"/>
    <cellStyle name="Normal 3 4 2 10 13" xfId="15456" xr:uid="{00000000-0005-0000-0000-0000E2690000}"/>
    <cellStyle name="Normal 3 4 2 10 13 2" xfId="32952" xr:uid="{00000000-0005-0000-0000-0000E3690000}"/>
    <cellStyle name="Normal 3 4 2 10 14" xfId="15457" xr:uid="{00000000-0005-0000-0000-0000E4690000}"/>
    <cellStyle name="Normal 3 4 2 10 14 2" xfId="32953" xr:uid="{00000000-0005-0000-0000-0000E5690000}"/>
    <cellStyle name="Normal 3 4 2 10 15" xfId="32948" xr:uid="{00000000-0005-0000-0000-0000E6690000}"/>
    <cellStyle name="Normal 3 4 2 10 2" xfId="15458" xr:uid="{00000000-0005-0000-0000-0000E7690000}"/>
    <cellStyle name="Normal 3 4 2 10 2 2" xfId="32954" xr:uid="{00000000-0005-0000-0000-0000E8690000}"/>
    <cellStyle name="Normal 3 4 2 10 3" xfId="15459" xr:uid="{00000000-0005-0000-0000-0000E9690000}"/>
    <cellStyle name="Normal 3 4 2 10 3 2" xfId="32955" xr:uid="{00000000-0005-0000-0000-0000EA690000}"/>
    <cellStyle name="Normal 3 4 2 10 4" xfId="15460" xr:uid="{00000000-0005-0000-0000-0000EB690000}"/>
    <cellStyle name="Normal 3 4 2 10 4 2" xfId="32956" xr:uid="{00000000-0005-0000-0000-0000EC690000}"/>
    <cellStyle name="Normal 3 4 2 10 5" xfId="15461" xr:uid="{00000000-0005-0000-0000-0000ED690000}"/>
    <cellStyle name="Normal 3 4 2 10 5 2" xfId="32957" xr:uid="{00000000-0005-0000-0000-0000EE690000}"/>
    <cellStyle name="Normal 3 4 2 10 6" xfId="15462" xr:uid="{00000000-0005-0000-0000-0000EF690000}"/>
    <cellStyle name="Normal 3 4 2 10 6 2" xfId="32958" xr:uid="{00000000-0005-0000-0000-0000F0690000}"/>
    <cellStyle name="Normal 3 4 2 10 7" xfId="15463" xr:uid="{00000000-0005-0000-0000-0000F1690000}"/>
    <cellStyle name="Normal 3 4 2 10 7 2" xfId="32959" xr:uid="{00000000-0005-0000-0000-0000F2690000}"/>
    <cellStyle name="Normal 3 4 2 10 8" xfId="15464" xr:uid="{00000000-0005-0000-0000-0000F3690000}"/>
    <cellStyle name="Normal 3 4 2 10 8 2" xfId="32960" xr:uid="{00000000-0005-0000-0000-0000F4690000}"/>
    <cellStyle name="Normal 3 4 2 10 9" xfId="15465" xr:uid="{00000000-0005-0000-0000-0000F5690000}"/>
    <cellStyle name="Normal 3 4 2 10 9 2" xfId="32961" xr:uid="{00000000-0005-0000-0000-0000F6690000}"/>
    <cellStyle name="Normal 3 4 2 11" xfId="15466" xr:uid="{00000000-0005-0000-0000-0000F7690000}"/>
    <cellStyle name="Normal 3 4 2 11 10" xfId="15467" xr:uid="{00000000-0005-0000-0000-0000F8690000}"/>
    <cellStyle name="Normal 3 4 2 11 10 2" xfId="32963" xr:uid="{00000000-0005-0000-0000-0000F9690000}"/>
    <cellStyle name="Normal 3 4 2 11 11" xfId="15468" xr:uid="{00000000-0005-0000-0000-0000FA690000}"/>
    <cellStyle name="Normal 3 4 2 11 11 2" xfId="32964" xr:uid="{00000000-0005-0000-0000-0000FB690000}"/>
    <cellStyle name="Normal 3 4 2 11 12" xfId="15469" xr:uid="{00000000-0005-0000-0000-0000FC690000}"/>
    <cellStyle name="Normal 3 4 2 11 12 2" xfId="32965" xr:uid="{00000000-0005-0000-0000-0000FD690000}"/>
    <cellStyle name="Normal 3 4 2 11 13" xfId="15470" xr:uid="{00000000-0005-0000-0000-0000FE690000}"/>
    <cellStyle name="Normal 3 4 2 11 13 2" xfId="32966" xr:uid="{00000000-0005-0000-0000-0000FF690000}"/>
    <cellStyle name="Normal 3 4 2 11 14" xfId="15471" xr:uid="{00000000-0005-0000-0000-0000006A0000}"/>
    <cellStyle name="Normal 3 4 2 11 14 2" xfId="32967" xr:uid="{00000000-0005-0000-0000-0000016A0000}"/>
    <cellStyle name="Normal 3 4 2 11 15" xfId="32962" xr:uid="{00000000-0005-0000-0000-0000026A0000}"/>
    <cellStyle name="Normal 3 4 2 11 2" xfId="15472" xr:uid="{00000000-0005-0000-0000-0000036A0000}"/>
    <cellStyle name="Normal 3 4 2 11 2 2" xfId="32968" xr:uid="{00000000-0005-0000-0000-0000046A0000}"/>
    <cellStyle name="Normal 3 4 2 11 3" xfId="15473" xr:uid="{00000000-0005-0000-0000-0000056A0000}"/>
    <cellStyle name="Normal 3 4 2 11 3 2" xfId="32969" xr:uid="{00000000-0005-0000-0000-0000066A0000}"/>
    <cellStyle name="Normal 3 4 2 11 4" xfId="15474" xr:uid="{00000000-0005-0000-0000-0000076A0000}"/>
    <cellStyle name="Normal 3 4 2 11 4 2" xfId="32970" xr:uid="{00000000-0005-0000-0000-0000086A0000}"/>
    <cellStyle name="Normal 3 4 2 11 5" xfId="15475" xr:uid="{00000000-0005-0000-0000-0000096A0000}"/>
    <cellStyle name="Normal 3 4 2 11 5 2" xfId="32971" xr:uid="{00000000-0005-0000-0000-00000A6A0000}"/>
    <cellStyle name="Normal 3 4 2 11 6" xfId="15476" xr:uid="{00000000-0005-0000-0000-00000B6A0000}"/>
    <cellStyle name="Normal 3 4 2 11 6 2" xfId="32972" xr:uid="{00000000-0005-0000-0000-00000C6A0000}"/>
    <cellStyle name="Normal 3 4 2 11 7" xfId="15477" xr:uid="{00000000-0005-0000-0000-00000D6A0000}"/>
    <cellStyle name="Normal 3 4 2 11 7 2" xfId="32973" xr:uid="{00000000-0005-0000-0000-00000E6A0000}"/>
    <cellStyle name="Normal 3 4 2 11 8" xfId="15478" xr:uid="{00000000-0005-0000-0000-00000F6A0000}"/>
    <cellStyle name="Normal 3 4 2 11 8 2" xfId="32974" xr:uid="{00000000-0005-0000-0000-0000106A0000}"/>
    <cellStyle name="Normal 3 4 2 11 9" xfId="15479" xr:uid="{00000000-0005-0000-0000-0000116A0000}"/>
    <cellStyle name="Normal 3 4 2 11 9 2" xfId="32975" xr:uid="{00000000-0005-0000-0000-0000126A0000}"/>
    <cellStyle name="Normal 3 4 2 12" xfId="15480" xr:uid="{00000000-0005-0000-0000-0000136A0000}"/>
    <cellStyle name="Normal 3 4 2 12 10" xfId="15481" xr:uid="{00000000-0005-0000-0000-0000146A0000}"/>
    <cellStyle name="Normal 3 4 2 12 10 2" xfId="32977" xr:uid="{00000000-0005-0000-0000-0000156A0000}"/>
    <cellStyle name="Normal 3 4 2 12 11" xfId="15482" xr:uid="{00000000-0005-0000-0000-0000166A0000}"/>
    <cellStyle name="Normal 3 4 2 12 11 2" xfId="32978" xr:uid="{00000000-0005-0000-0000-0000176A0000}"/>
    <cellStyle name="Normal 3 4 2 12 12" xfId="15483" xr:uid="{00000000-0005-0000-0000-0000186A0000}"/>
    <cellStyle name="Normal 3 4 2 12 12 2" xfId="32979" xr:uid="{00000000-0005-0000-0000-0000196A0000}"/>
    <cellStyle name="Normal 3 4 2 12 13" xfId="15484" xr:uid="{00000000-0005-0000-0000-00001A6A0000}"/>
    <cellStyle name="Normal 3 4 2 12 13 2" xfId="32980" xr:uid="{00000000-0005-0000-0000-00001B6A0000}"/>
    <cellStyle name="Normal 3 4 2 12 14" xfId="15485" xr:uid="{00000000-0005-0000-0000-00001C6A0000}"/>
    <cellStyle name="Normal 3 4 2 12 14 2" xfId="32981" xr:uid="{00000000-0005-0000-0000-00001D6A0000}"/>
    <cellStyle name="Normal 3 4 2 12 15" xfId="32976" xr:uid="{00000000-0005-0000-0000-00001E6A0000}"/>
    <cellStyle name="Normal 3 4 2 12 2" xfId="15486" xr:uid="{00000000-0005-0000-0000-00001F6A0000}"/>
    <cellStyle name="Normal 3 4 2 12 2 2" xfId="32982" xr:uid="{00000000-0005-0000-0000-0000206A0000}"/>
    <cellStyle name="Normal 3 4 2 12 3" xfId="15487" xr:uid="{00000000-0005-0000-0000-0000216A0000}"/>
    <cellStyle name="Normal 3 4 2 12 3 2" xfId="32983" xr:uid="{00000000-0005-0000-0000-0000226A0000}"/>
    <cellStyle name="Normal 3 4 2 12 4" xfId="15488" xr:uid="{00000000-0005-0000-0000-0000236A0000}"/>
    <cellStyle name="Normal 3 4 2 12 4 2" xfId="32984" xr:uid="{00000000-0005-0000-0000-0000246A0000}"/>
    <cellStyle name="Normal 3 4 2 12 5" xfId="15489" xr:uid="{00000000-0005-0000-0000-0000256A0000}"/>
    <cellStyle name="Normal 3 4 2 12 5 2" xfId="32985" xr:uid="{00000000-0005-0000-0000-0000266A0000}"/>
    <cellStyle name="Normal 3 4 2 12 6" xfId="15490" xr:uid="{00000000-0005-0000-0000-0000276A0000}"/>
    <cellStyle name="Normal 3 4 2 12 6 2" xfId="32986" xr:uid="{00000000-0005-0000-0000-0000286A0000}"/>
    <cellStyle name="Normal 3 4 2 12 7" xfId="15491" xr:uid="{00000000-0005-0000-0000-0000296A0000}"/>
    <cellStyle name="Normal 3 4 2 12 7 2" xfId="32987" xr:uid="{00000000-0005-0000-0000-00002A6A0000}"/>
    <cellStyle name="Normal 3 4 2 12 8" xfId="15492" xr:uid="{00000000-0005-0000-0000-00002B6A0000}"/>
    <cellStyle name="Normal 3 4 2 12 8 2" xfId="32988" xr:uid="{00000000-0005-0000-0000-00002C6A0000}"/>
    <cellStyle name="Normal 3 4 2 12 9" xfId="15493" xr:uid="{00000000-0005-0000-0000-00002D6A0000}"/>
    <cellStyle name="Normal 3 4 2 12 9 2" xfId="32989" xr:uid="{00000000-0005-0000-0000-00002E6A0000}"/>
    <cellStyle name="Normal 3 4 2 13" xfId="15494" xr:uid="{00000000-0005-0000-0000-00002F6A0000}"/>
    <cellStyle name="Normal 3 4 2 13 10" xfId="15495" xr:uid="{00000000-0005-0000-0000-0000306A0000}"/>
    <cellStyle name="Normal 3 4 2 13 10 2" xfId="32991" xr:uid="{00000000-0005-0000-0000-0000316A0000}"/>
    <cellStyle name="Normal 3 4 2 13 11" xfId="15496" xr:uid="{00000000-0005-0000-0000-0000326A0000}"/>
    <cellStyle name="Normal 3 4 2 13 11 2" xfId="32992" xr:uid="{00000000-0005-0000-0000-0000336A0000}"/>
    <cellStyle name="Normal 3 4 2 13 12" xfId="15497" xr:uid="{00000000-0005-0000-0000-0000346A0000}"/>
    <cellStyle name="Normal 3 4 2 13 12 2" xfId="32993" xr:uid="{00000000-0005-0000-0000-0000356A0000}"/>
    <cellStyle name="Normal 3 4 2 13 13" xfId="15498" xr:uid="{00000000-0005-0000-0000-0000366A0000}"/>
    <cellStyle name="Normal 3 4 2 13 13 2" xfId="32994" xr:uid="{00000000-0005-0000-0000-0000376A0000}"/>
    <cellStyle name="Normal 3 4 2 13 14" xfId="15499" xr:uid="{00000000-0005-0000-0000-0000386A0000}"/>
    <cellStyle name="Normal 3 4 2 13 14 2" xfId="32995" xr:uid="{00000000-0005-0000-0000-0000396A0000}"/>
    <cellStyle name="Normal 3 4 2 13 15" xfId="32990" xr:uid="{00000000-0005-0000-0000-00003A6A0000}"/>
    <cellStyle name="Normal 3 4 2 13 2" xfId="15500" xr:uid="{00000000-0005-0000-0000-00003B6A0000}"/>
    <cellStyle name="Normal 3 4 2 13 2 2" xfId="32996" xr:uid="{00000000-0005-0000-0000-00003C6A0000}"/>
    <cellStyle name="Normal 3 4 2 13 3" xfId="15501" xr:uid="{00000000-0005-0000-0000-00003D6A0000}"/>
    <cellStyle name="Normal 3 4 2 13 3 2" xfId="32997" xr:uid="{00000000-0005-0000-0000-00003E6A0000}"/>
    <cellStyle name="Normal 3 4 2 13 4" xfId="15502" xr:uid="{00000000-0005-0000-0000-00003F6A0000}"/>
    <cellStyle name="Normal 3 4 2 13 4 2" xfId="32998" xr:uid="{00000000-0005-0000-0000-0000406A0000}"/>
    <cellStyle name="Normal 3 4 2 13 5" xfId="15503" xr:uid="{00000000-0005-0000-0000-0000416A0000}"/>
    <cellStyle name="Normal 3 4 2 13 5 2" xfId="32999" xr:uid="{00000000-0005-0000-0000-0000426A0000}"/>
    <cellStyle name="Normal 3 4 2 13 6" xfId="15504" xr:uid="{00000000-0005-0000-0000-0000436A0000}"/>
    <cellStyle name="Normal 3 4 2 13 6 2" xfId="33000" xr:uid="{00000000-0005-0000-0000-0000446A0000}"/>
    <cellStyle name="Normal 3 4 2 13 7" xfId="15505" xr:uid="{00000000-0005-0000-0000-0000456A0000}"/>
    <cellStyle name="Normal 3 4 2 13 7 2" xfId="33001" xr:uid="{00000000-0005-0000-0000-0000466A0000}"/>
    <cellStyle name="Normal 3 4 2 13 8" xfId="15506" xr:uid="{00000000-0005-0000-0000-0000476A0000}"/>
    <cellStyle name="Normal 3 4 2 13 8 2" xfId="33002" xr:uid="{00000000-0005-0000-0000-0000486A0000}"/>
    <cellStyle name="Normal 3 4 2 13 9" xfId="15507" xr:uid="{00000000-0005-0000-0000-0000496A0000}"/>
    <cellStyle name="Normal 3 4 2 13 9 2" xfId="33003" xr:uid="{00000000-0005-0000-0000-00004A6A0000}"/>
    <cellStyle name="Normal 3 4 2 14" xfId="15508" xr:uid="{00000000-0005-0000-0000-00004B6A0000}"/>
    <cellStyle name="Normal 3 4 2 14 10" xfId="15509" xr:uid="{00000000-0005-0000-0000-00004C6A0000}"/>
    <cellStyle name="Normal 3 4 2 14 10 2" xfId="33005" xr:uid="{00000000-0005-0000-0000-00004D6A0000}"/>
    <cellStyle name="Normal 3 4 2 14 11" xfId="15510" xr:uid="{00000000-0005-0000-0000-00004E6A0000}"/>
    <cellStyle name="Normal 3 4 2 14 11 2" xfId="33006" xr:uid="{00000000-0005-0000-0000-00004F6A0000}"/>
    <cellStyle name="Normal 3 4 2 14 12" xfId="15511" xr:uid="{00000000-0005-0000-0000-0000506A0000}"/>
    <cellStyle name="Normal 3 4 2 14 12 2" xfId="33007" xr:uid="{00000000-0005-0000-0000-0000516A0000}"/>
    <cellStyle name="Normal 3 4 2 14 13" xfId="15512" xr:uid="{00000000-0005-0000-0000-0000526A0000}"/>
    <cellStyle name="Normal 3 4 2 14 13 2" xfId="33008" xr:uid="{00000000-0005-0000-0000-0000536A0000}"/>
    <cellStyle name="Normal 3 4 2 14 14" xfId="15513" xr:uid="{00000000-0005-0000-0000-0000546A0000}"/>
    <cellStyle name="Normal 3 4 2 14 14 2" xfId="33009" xr:uid="{00000000-0005-0000-0000-0000556A0000}"/>
    <cellStyle name="Normal 3 4 2 14 15" xfId="33004" xr:uid="{00000000-0005-0000-0000-0000566A0000}"/>
    <cellStyle name="Normal 3 4 2 14 2" xfId="15514" xr:uid="{00000000-0005-0000-0000-0000576A0000}"/>
    <cellStyle name="Normal 3 4 2 14 2 2" xfId="33010" xr:uid="{00000000-0005-0000-0000-0000586A0000}"/>
    <cellStyle name="Normal 3 4 2 14 3" xfId="15515" xr:uid="{00000000-0005-0000-0000-0000596A0000}"/>
    <cellStyle name="Normal 3 4 2 14 3 2" xfId="33011" xr:uid="{00000000-0005-0000-0000-00005A6A0000}"/>
    <cellStyle name="Normal 3 4 2 14 4" xfId="15516" xr:uid="{00000000-0005-0000-0000-00005B6A0000}"/>
    <cellStyle name="Normal 3 4 2 14 4 2" xfId="33012" xr:uid="{00000000-0005-0000-0000-00005C6A0000}"/>
    <cellStyle name="Normal 3 4 2 14 5" xfId="15517" xr:uid="{00000000-0005-0000-0000-00005D6A0000}"/>
    <cellStyle name="Normal 3 4 2 14 5 2" xfId="33013" xr:uid="{00000000-0005-0000-0000-00005E6A0000}"/>
    <cellStyle name="Normal 3 4 2 14 6" xfId="15518" xr:uid="{00000000-0005-0000-0000-00005F6A0000}"/>
    <cellStyle name="Normal 3 4 2 14 6 2" xfId="33014" xr:uid="{00000000-0005-0000-0000-0000606A0000}"/>
    <cellStyle name="Normal 3 4 2 14 7" xfId="15519" xr:uid="{00000000-0005-0000-0000-0000616A0000}"/>
    <cellStyle name="Normal 3 4 2 14 7 2" xfId="33015" xr:uid="{00000000-0005-0000-0000-0000626A0000}"/>
    <cellStyle name="Normal 3 4 2 14 8" xfId="15520" xr:uid="{00000000-0005-0000-0000-0000636A0000}"/>
    <cellStyle name="Normal 3 4 2 14 8 2" xfId="33016" xr:uid="{00000000-0005-0000-0000-0000646A0000}"/>
    <cellStyle name="Normal 3 4 2 14 9" xfId="15521" xr:uid="{00000000-0005-0000-0000-0000656A0000}"/>
    <cellStyle name="Normal 3 4 2 14 9 2" xfId="33017" xr:uid="{00000000-0005-0000-0000-0000666A0000}"/>
    <cellStyle name="Normal 3 4 2 15" xfId="15522" xr:uid="{00000000-0005-0000-0000-0000676A0000}"/>
    <cellStyle name="Normal 3 4 2 16" xfId="15523" xr:uid="{00000000-0005-0000-0000-0000686A0000}"/>
    <cellStyle name="Normal 3 4 2 17" xfId="15524" xr:uid="{00000000-0005-0000-0000-0000696A0000}"/>
    <cellStyle name="Normal 3 4 2 17 10" xfId="15525" xr:uid="{00000000-0005-0000-0000-00006A6A0000}"/>
    <cellStyle name="Normal 3 4 2 17 10 2" xfId="33019" xr:uid="{00000000-0005-0000-0000-00006B6A0000}"/>
    <cellStyle name="Normal 3 4 2 17 11" xfId="15526" xr:uid="{00000000-0005-0000-0000-00006C6A0000}"/>
    <cellStyle name="Normal 3 4 2 17 11 2" xfId="33020" xr:uid="{00000000-0005-0000-0000-00006D6A0000}"/>
    <cellStyle name="Normal 3 4 2 17 12" xfId="15527" xr:uid="{00000000-0005-0000-0000-00006E6A0000}"/>
    <cellStyle name="Normal 3 4 2 17 12 2" xfId="33021" xr:uid="{00000000-0005-0000-0000-00006F6A0000}"/>
    <cellStyle name="Normal 3 4 2 17 13" xfId="15528" xr:uid="{00000000-0005-0000-0000-0000706A0000}"/>
    <cellStyle name="Normal 3 4 2 17 13 2" xfId="33022" xr:uid="{00000000-0005-0000-0000-0000716A0000}"/>
    <cellStyle name="Normal 3 4 2 17 14" xfId="15529" xr:uid="{00000000-0005-0000-0000-0000726A0000}"/>
    <cellStyle name="Normal 3 4 2 17 14 2" xfId="33023" xr:uid="{00000000-0005-0000-0000-0000736A0000}"/>
    <cellStyle name="Normal 3 4 2 17 15" xfId="33018" xr:uid="{00000000-0005-0000-0000-0000746A0000}"/>
    <cellStyle name="Normal 3 4 2 17 2" xfId="15530" xr:uid="{00000000-0005-0000-0000-0000756A0000}"/>
    <cellStyle name="Normal 3 4 2 17 2 2" xfId="33024" xr:uid="{00000000-0005-0000-0000-0000766A0000}"/>
    <cellStyle name="Normal 3 4 2 17 3" xfId="15531" xr:uid="{00000000-0005-0000-0000-0000776A0000}"/>
    <cellStyle name="Normal 3 4 2 17 3 2" xfId="33025" xr:uid="{00000000-0005-0000-0000-0000786A0000}"/>
    <cellStyle name="Normal 3 4 2 17 4" xfId="15532" xr:uid="{00000000-0005-0000-0000-0000796A0000}"/>
    <cellStyle name="Normal 3 4 2 17 4 2" xfId="33026" xr:uid="{00000000-0005-0000-0000-00007A6A0000}"/>
    <cellStyle name="Normal 3 4 2 17 5" xfId="15533" xr:uid="{00000000-0005-0000-0000-00007B6A0000}"/>
    <cellStyle name="Normal 3 4 2 17 5 2" xfId="33027" xr:uid="{00000000-0005-0000-0000-00007C6A0000}"/>
    <cellStyle name="Normal 3 4 2 17 6" xfId="15534" xr:uid="{00000000-0005-0000-0000-00007D6A0000}"/>
    <cellStyle name="Normal 3 4 2 17 6 2" xfId="33028" xr:uid="{00000000-0005-0000-0000-00007E6A0000}"/>
    <cellStyle name="Normal 3 4 2 17 7" xfId="15535" xr:uid="{00000000-0005-0000-0000-00007F6A0000}"/>
    <cellStyle name="Normal 3 4 2 17 7 2" xfId="33029" xr:uid="{00000000-0005-0000-0000-0000806A0000}"/>
    <cellStyle name="Normal 3 4 2 17 8" xfId="15536" xr:uid="{00000000-0005-0000-0000-0000816A0000}"/>
    <cellStyle name="Normal 3 4 2 17 8 2" xfId="33030" xr:uid="{00000000-0005-0000-0000-0000826A0000}"/>
    <cellStyle name="Normal 3 4 2 17 9" xfId="15537" xr:uid="{00000000-0005-0000-0000-0000836A0000}"/>
    <cellStyle name="Normal 3 4 2 17 9 2" xfId="33031" xr:uid="{00000000-0005-0000-0000-0000846A0000}"/>
    <cellStyle name="Normal 3 4 2 18" xfId="15538" xr:uid="{00000000-0005-0000-0000-0000856A0000}"/>
    <cellStyle name="Normal 3 4 2 18 10" xfId="15539" xr:uid="{00000000-0005-0000-0000-0000866A0000}"/>
    <cellStyle name="Normal 3 4 2 18 10 2" xfId="33033" xr:uid="{00000000-0005-0000-0000-0000876A0000}"/>
    <cellStyle name="Normal 3 4 2 18 11" xfId="15540" xr:uid="{00000000-0005-0000-0000-0000886A0000}"/>
    <cellStyle name="Normal 3 4 2 18 11 2" xfId="33034" xr:uid="{00000000-0005-0000-0000-0000896A0000}"/>
    <cellStyle name="Normal 3 4 2 18 12" xfId="15541" xr:uid="{00000000-0005-0000-0000-00008A6A0000}"/>
    <cellStyle name="Normal 3 4 2 18 12 2" xfId="33035" xr:uid="{00000000-0005-0000-0000-00008B6A0000}"/>
    <cellStyle name="Normal 3 4 2 18 13" xfId="15542" xr:uid="{00000000-0005-0000-0000-00008C6A0000}"/>
    <cellStyle name="Normal 3 4 2 18 13 2" xfId="33036" xr:uid="{00000000-0005-0000-0000-00008D6A0000}"/>
    <cellStyle name="Normal 3 4 2 18 14" xfId="15543" xr:uid="{00000000-0005-0000-0000-00008E6A0000}"/>
    <cellStyle name="Normal 3 4 2 18 14 2" xfId="33037" xr:uid="{00000000-0005-0000-0000-00008F6A0000}"/>
    <cellStyle name="Normal 3 4 2 18 15" xfId="33032" xr:uid="{00000000-0005-0000-0000-0000906A0000}"/>
    <cellStyle name="Normal 3 4 2 18 2" xfId="15544" xr:uid="{00000000-0005-0000-0000-0000916A0000}"/>
    <cellStyle name="Normal 3 4 2 18 2 2" xfId="33038" xr:uid="{00000000-0005-0000-0000-0000926A0000}"/>
    <cellStyle name="Normal 3 4 2 18 3" xfId="15545" xr:uid="{00000000-0005-0000-0000-0000936A0000}"/>
    <cellStyle name="Normal 3 4 2 18 3 2" xfId="33039" xr:uid="{00000000-0005-0000-0000-0000946A0000}"/>
    <cellStyle name="Normal 3 4 2 18 4" xfId="15546" xr:uid="{00000000-0005-0000-0000-0000956A0000}"/>
    <cellStyle name="Normal 3 4 2 18 4 2" xfId="33040" xr:uid="{00000000-0005-0000-0000-0000966A0000}"/>
    <cellStyle name="Normal 3 4 2 18 5" xfId="15547" xr:uid="{00000000-0005-0000-0000-0000976A0000}"/>
    <cellStyle name="Normal 3 4 2 18 5 2" xfId="33041" xr:uid="{00000000-0005-0000-0000-0000986A0000}"/>
    <cellStyle name="Normal 3 4 2 18 6" xfId="15548" xr:uid="{00000000-0005-0000-0000-0000996A0000}"/>
    <cellStyle name="Normal 3 4 2 18 6 2" xfId="33042" xr:uid="{00000000-0005-0000-0000-00009A6A0000}"/>
    <cellStyle name="Normal 3 4 2 18 7" xfId="15549" xr:uid="{00000000-0005-0000-0000-00009B6A0000}"/>
    <cellStyle name="Normal 3 4 2 18 7 2" xfId="33043" xr:uid="{00000000-0005-0000-0000-00009C6A0000}"/>
    <cellStyle name="Normal 3 4 2 18 8" xfId="15550" xr:uid="{00000000-0005-0000-0000-00009D6A0000}"/>
    <cellStyle name="Normal 3 4 2 18 8 2" xfId="33044" xr:uid="{00000000-0005-0000-0000-00009E6A0000}"/>
    <cellStyle name="Normal 3 4 2 18 9" xfId="15551" xr:uid="{00000000-0005-0000-0000-00009F6A0000}"/>
    <cellStyle name="Normal 3 4 2 18 9 2" xfId="33045" xr:uid="{00000000-0005-0000-0000-0000A06A0000}"/>
    <cellStyle name="Normal 3 4 2 2" xfId="15552" xr:uid="{00000000-0005-0000-0000-0000A16A0000}"/>
    <cellStyle name="Normal 3 4 2 2 10" xfId="15553" xr:uid="{00000000-0005-0000-0000-0000A26A0000}"/>
    <cellStyle name="Normal 3 4 2 2 10 2" xfId="33047" xr:uid="{00000000-0005-0000-0000-0000A36A0000}"/>
    <cellStyle name="Normal 3 4 2 2 11" xfId="15554" xr:uid="{00000000-0005-0000-0000-0000A46A0000}"/>
    <cellStyle name="Normal 3 4 2 2 11 2" xfId="33048" xr:uid="{00000000-0005-0000-0000-0000A56A0000}"/>
    <cellStyle name="Normal 3 4 2 2 12" xfId="15555" xr:uid="{00000000-0005-0000-0000-0000A66A0000}"/>
    <cellStyle name="Normal 3 4 2 2 12 2" xfId="33049" xr:uid="{00000000-0005-0000-0000-0000A76A0000}"/>
    <cellStyle name="Normal 3 4 2 2 13" xfId="15556" xr:uid="{00000000-0005-0000-0000-0000A86A0000}"/>
    <cellStyle name="Normal 3 4 2 2 13 2" xfId="33050" xr:uid="{00000000-0005-0000-0000-0000A96A0000}"/>
    <cellStyle name="Normal 3 4 2 2 14" xfId="15557" xr:uid="{00000000-0005-0000-0000-0000AA6A0000}"/>
    <cellStyle name="Normal 3 4 2 2 14 2" xfId="33051" xr:uid="{00000000-0005-0000-0000-0000AB6A0000}"/>
    <cellStyle name="Normal 3 4 2 2 15" xfId="15558" xr:uid="{00000000-0005-0000-0000-0000AC6A0000}"/>
    <cellStyle name="Normal 3 4 2 2 15 2" xfId="33052" xr:uid="{00000000-0005-0000-0000-0000AD6A0000}"/>
    <cellStyle name="Normal 3 4 2 2 16" xfId="15559" xr:uid="{00000000-0005-0000-0000-0000AE6A0000}"/>
    <cellStyle name="Normal 3 4 2 2 16 2" xfId="33053" xr:uid="{00000000-0005-0000-0000-0000AF6A0000}"/>
    <cellStyle name="Normal 3 4 2 2 17" xfId="15560" xr:uid="{00000000-0005-0000-0000-0000B06A0000}"/>
    <cellStyle name="Normal 3 4 2 2 17 2" xfId="33054" xr:uid="{00000000-0005-0000-0000-0000B16A0000}"/>
    <cellStyle name="Normal 3 4 2 2 18" xfId="33046" xr:uid="{00000000-0005-0000-0000-0000B26A0000}"/>
    <cellStyle name="Normal 3 4 2 2 2" xfId="15561" xr:uid="{00000000-0005-0000-0000-0000B36A0000}"/>
    <cellStyle name="Normal 3 4 2 2 3" xfId="15562" xr:uid="{00000000-0005-0000-0000-0000B46A0000}"/>
    <cellStyle name="Normal 3 4 2 2 4" xfId="15563" xr:uid="{00000000-0005-0000-0000-0000B56A0000}"/>
    <cellStyle name="Normal 3 4 2 2 5" xfId="15564" xr:uid="{00000000-0005-0000-0000-0000B66A0000}"/>
    <cellStyle name="Normal 3 4 2 2 5 2" xfId="33055" xr:uid="{00000000-0005-0000-0000-0000B76A0000}"/>
    <cellStyle name="Normal 3 4 2 2 6" xfId="15565" xr:uid="{00000000-0005-0000-0000-0000B86A0000}"/>
    <cellStyle name="Normal 3 4 2 2 6 2" xfId="33056" xr:uid="{00000000-0005-0000-0000-0000B96A0000}"/>
    <cellStyle name="Normal 3 4 2 2 7" xfId="15566" xr:uid="{00000000-0005-0000-0000-0000BA6A0000}"/>
    <cellStyle name="Normal 3 4 2 2 7 2" xfId="33057" xr:uid="{00000000-0005-0000-0000-0000BB6A0000}"/>
    <cellStyle name="Normal 3 4 2 2 8" xfId="15567" xr:uid="{00000000-0005-0000-0000-0000BC6A0000}"/>
    <cellStyle name="Normal 3 4 2 2 8 2" xfId="33058" xr:uid="{00000000-0005-0000-0000-0000BD6A0000}"/>
    <cellStyle name="Normal 3 4 2 2 9" xfId="15568" xr:uid="{00000000-0005-0000-0000-0000BE6A0000}"/>
    <cellStyle name="Normal 3 4 2 2 9 2" xfId="33059" xr:uid="{00000000-0005-0000-0000-0000BF6A0000}"/>
    <cellStyle name="Normal 3 4 2 3" xfId="15569" xr:uid="{00000000-0005-0000-0000-0000C06A0000}"/>
    <cellStyle name="Normal 3 4 2 4" xfId="15570" xr:uid="{00000000-0005-0000-0000-0000C16A0000}"/>
    <cellStyle name="Normal 3 4 2 5" xfId="15571" xr:uid="{00000000-0005-0000-0000-0000C26A0000}"/>
    <cellStyle name="Normal 3 4 2 6" xfId="15572" xr:uid="{00000000-0005-0000-0000-0000C36A0000}"/>
    <cellStyle name="Normal 3 4 2 6 10" xfId="15573" xr:uid="{00000000-0005-0000-0000-0000C46A0000}"/>
    <cellStyle name="Normal 3 4 2 6 10 2" xfId="33061" xr:uid="{00000000-0005-0000-0000-0000C56A0000}"/>
    <cellStyle name="Normal 3 4 2 6 11" xfId="15574" xr:uid="{00000000-0005-0000-0000-0000C66A0000}"/>
    <cellStyle name="Normal 3 4 2 6 11 2" xfId="33062" xr:uid="{00000000-0005-0000-0000-0000C76A0000}"/>
    <cellStyle name="Normal 3 4 2 6 12" xfId="15575" xr:uid="{00000000-0005-0000-0000-0000C86A0000}"/>
    <cellStyle name="Normal 3 4 2 6 12 2" xfId="33063" xr:uid="{00000000-0005-0000-0000-0000C96A0000}"/>
    <cellStyle name="Normal 3 4 2 6 13" xfId="15576" xr:uid="{00000000-0005-0000-0000-0000CA6A0000}"/>
    <cellStyle name="Normal 3 4 2 6 13 2" xfId="33064" xr:uid="{00000000-0005-0000-0000-0000CB6A0000}"/>
    <cellStyle name="Normal 3 4 2 6 14" xfId="15577" xr:uid="{00000000-0005-0000-0000-0000CC6A0000}"/>
    <cellStyle name="Normal 3 4 2 6 14 2" xfId="33065" xr:uid="{00000000-0005-0000-0000-0000CD6A0000}"/>
    <cellStyle name="Normal 3 4 2 6 15" xfId="15578" xr:uid="{00000000-0005-0000-0000-0000CE6A0000}"/>
    <cellStyle name="Normal 3 4 2 6 15 2" xfId="33066" xr:uid="{00000000-0005-0000-0000-0000CF6A0000}"/>
    <cellStyle name="Normal 3 4 2 6 16" xfId="33060" xr:uid="{00000000-0005-0000-0000-0000D06A0000}"/>
    <cellStyle name="Normal 3 4 2 6 2" xfId="15579" xr:uid="{00000000-0005-0000-0000-0000D16A0000}"/>
    <cellStyle name="Normal 3 4 2 6 2 10" xfId="15580" xr:uid="{00000000-0005-0000-0000-0000D26A0000}"/>
    <cellStyle name="Normal 3 4 2 6 2 10 2" xfId="33068" xr:uid="{00000000-0005-0000-0000-0000D36A0000}"/>
    <cellStyle name="Normal 3 4 2 6 2 11" xfId="15581" xr:uid="{00000000-0005-0000-0000-0000D46A0000}"/>
    <cellStyle name="Normal 3 4 2 6 2 11 2" xfId="33069" xr:uid="{00000000-0005-0000-0000-0000D56A0000}"/>
    <cellStyle name="Normal 3 4 2 6 2 12" xfId="15582" xr:uid="{00000000-0005-0000-0000-0000D66A0000}"/>
    <cellStyle name="Normal 3 4 2 6 2 12 2" xfId="33070" xr:uid="{00000000-0005-0000-0000-0000D76A0000}"/>
    <cellStyle name="Normal 3 4 2 6 2 13" xfId="15583" xr:uid="{00000000-0005-0000-0000-0000D86A0000}"/>
    <cellStyle name="Normal 3 4 2 6 2 13 2" xfId="33071" xr:uid="{00000000-0005-0000-0000-0000D96A0000}"/>
    <cellStyle name="Normal 3 4 2 6 2 14" xfId="15584" xr:uid="{00000000-0005-0000-0000-0000DA6A0000}"/>
    <cellStyle name="Normal 3 4 2 6 2 14 2" xfId="33072" xr:uid="{00000000-0005-0000-0000-0000DB6A0000}"/>
    <cellStyle name="Normal 3 4 2 6 2 15" xfId="33067" xr:uid="{00000000-0005-0000-0000-0000DC6A0000}"/>
    <cellStyle name="Normal 3 4 2 6 2 2" xfId="15585" xr:uid="{00000000-0005-0000-0000-0000DD6A0000}"/>
    <cellStyle name="Normal 3 4 2 6 2 2 2" xfId="33073" xr:uid="{00000000-0005-0000-0000-0000DE6A0000}"/>
    <cellStyle name="Normal 3 4 2 6 2 3" xfId="15586" xr:uid="{00000000-0005-0000-0000-0000DF6A0000}"/>
    <cellStyle name="Normal 3 4 2 6 2 3 2" xfId="33074" xr:uid="{00000000-0005-0000-0000-0000E06A0000}"/>
    <cellStyle name="Normal 3 4 2 6 2 4" xfId="15587" xr:uid="{00000000-0005-0000-0000-0000E16A0000}"/>
    <cellStyle name="Normal 3 4 2 6 2 4 2" xfId="33075" xr:uid="{00000000-0005-0000-0000-0000E26A0000}"/>
    <cellStyle name="Normal 3 4 2 6 2 5" xfId="15588" xr:uid="{00000000-0005-0000-0000-0000E36A0000}"/>
    <cellStyle name="Normal 3 4 2 6 2 5 2" xfId="33076" xr:uid="{00000000-0005-0000-0000-0000E46A0000}"/>
    <cellStyle name="Normal 3 4 2 6 2 6" xfId="15589" xr:uid="{00000000-0005-0000-0000-0000E56A0000}"/>
    <cellStyle name="Normal 3 4 2 6 2 6 2" xfId="33077" xr:uid="{00000000-0005-0000-0000-0000E66A0000}"/>
    <cellStyle name="Normal 3 4 2 6 2 7" xfId="15590" xr:uid="{00000000-0005-0000-0000-0000E76A0000}"/>
    <cellStyle name="Normal 3 4 2 6 2 7 2" xfId="33078" xr:uid="{00000000-0005-0000-0000-0000E86A0000}"/>
    <cellStyle name="Normal 3 4 2 6 2 8" xfId="15591" xr:uid="{00000000-0005-0000-0000-0000E96A0000}"/>
    <cellStyle name="Normal 3 4 2 6 2 8 2" xfId="33079" xr:uid="{00000000-0005-0000-0000-0000EA6A0000}"/>
    <cellStyle name="Normal 3 4 2 6 2 9" xfId="15592" xr:uid="{00000000-0005-0000-0000-0000EB6A0000}"/>
    <cellStyle name="Normal 3 4 2 6 2 9 2" xfId="33080" xr:uid="{00000000-0005-0000-0000-0000EC6A0000}"/>
    <cellStyle name="Normal 3 4 2 6 3" xfId="15593" xr:uid="{00000000-0005-0000-0000-0000ED6A0000}"/>
    <cellStyle name="Normal 3 4 2 6 3 2" xfId="33081" xr:uid="{00000000-0005-0000-0000-0000EE6A0000}"/>
    <cellStyle name="Normal 3 4 2 6 4" xfId="15594" xr:uid="{00000000-0005-0000-0000-0000EF6A0000}"/>
    <cellStyle name="Normal 3 4 2 6 4 2" xfId="33082" xr:uid="{00000000-0005-0000-0000-0000F06A0000}"/>
    <cellStyle name="Normal 3 4 2 6 5" xfId="15595" xr:uid="{00000000-0005-0000-0000-0000F16A0000}"/>
    <cellStyle name="Normal 3 4 2 6 5 2" xfId="33083" xr:uid="{00000000-0005-0000-0000-0000F26A0000}"/>
    <cellStyle name="Normal 3 4 2 6 6" xfId="15596" xr:uid="{00000000-0005-0000-0000-0000F36A0000}"/>
    <cellStyle name="Normal 3 4 2 6 6 2" xfId="33084" xr:uid="{00000000-0005-0000-0000-0000F46A0000}"/>
    <cellStyle name="Normal 3 4 2 6 7" xfId="15597" xr:uid="{00000000-0005-0000-0000-0000F56A0000}"/>
    <cellStyle name="Normal 3 4 2 6 7 2" xfId="33085" xr:uid="{00000000-0005-0000-0000-0000F66A0000}"/>
    <cellStyle name="Normal 3 4 2 6 8" xfId="15598" xr:uid="{00000000-0005-0000-0000-0000F76A0000}"/>
    <cellStyle name="Normal 3 4 2 6 8 2" xfId="33086" xr:uid="{00000000-0005-0000-0000-0000F86A0000}"/>
    <cellStyle name="Normal 3 4 2 6 9" xfId="15599" xr:uid="{00000000-0005-0000-0000-0000F96A0000}"/>
    <cellStyle name="Normal 3 4 2 6 9 2" xfId="33087" xr:uid="{00000000-0005-0000-0000-0000FA6A0000}"/>
    <cellStyle name="Normal 3 4 2 7" xfId="15600" xr:uid="{00000000-0005-0000-0000-0000FB6A0000}"/>
    <cellStyle name="Normal 3 4 2 7 10" xfId="15601" xr:uid="{00000000-0005-0000-0000-0000FC6A0000}"/>
    <cellStyle name="Normal 3 4 2 7 10 2" xfId="33089" xr:uid="{00000000-0005-0000-0000-0000FD6A0000}"/>
    <cellStyle name="Normal 3 4 2 7 11" xfId="15602" xr:uid="{00000000-0005-0000-0000-0000FE6A0000}"/>
    <cellStyle name="Normal 3 4 2 7 11 2" xfId="33090" xr:uid="{00000000-0005-0000-0000-0000FF6A0000}"/>
    <cellStyle name="Normal 3 4 2 7 12" xfId="15603" xr:uid="{00000000-0005-0000-0000-0000006B0000}"/>
    <cellStyle name="Normal 3 4 2 7 12 2" xfId="33091" xr:uid="{00000000-0005-0000-0000-0000016B0000}"/>
    <cellStyle name="Normal 3 4 2 7 13" xfId="15604" xr:uid="{00000000-0005-0000-0000-0000026B0000}"/>
    <cellStyle name="Normal 3 4 2 7 13 2" xfId="33092" xr:uid="{00000000-0005-0000-0000-0000036B0000}"/>
    <cellStyle name="Normal 3 4 2 7 14" xfId="15605" xr:uid="{00000000-0005-0000-0000-0000046B0000}"/>
    <cellStyle name="Normal 3 4 2 7 14 2" xfId="33093" xr:uid="{00000000-0005-0000-0000-0000056B0000}"/>
    <cellStyle name="Normal 3 4 2 7 15" xfId="15606" xr:uid="{00000000-0005-0000-0000-0000066B0000}"/>
    <cellStyle name="Normal 3 4 2 7 15 2" xfId="33094" xr:uid="{00000000-0005-0000-0000-0000076B0000}"/>
    <cellStyle name="Normal 3 4 2 7 16" xfId="33088" xr:uid="{00000000-0005-0000-0000-0000086B0000}"/>
    <cellStyle name="Normal 3 4 2 7 2" xfId="15607" xr:uid="{00000000-0005-0000-0000-0000096B0000}"/>
    <cellStyle name="Normal 3 4 2 7 2 10" xfId="15608" xr:uid="{00000000-0005-0000-0000-00000A6B0000}"/>
    <cellStyle name="Normal 3 4 2 7 2 10 2" xfId="33096" xr:uid="{00000000-0005-0000-0000-00000B6B0000}"/>
    <cellStyle name="Normal 3 4 2 7 2 11" xfId="15609" xr:uid="{00000000-0005-0000-0000-00000C6B0000}"/>
    <cellStyle name="Normal 3 4 2 7 2 11 2" xfId="33097" xr:uid="{00000000-0005-0000-0000-00000D6B0000}"/>
    <cellStyle name="Normal 3 4 2 7 2 12" xfId="15610" xr:uid="{00000000-0005-0000-0000-00000E6B0000}"/>
    <cellStyle name="Normal 3 4 2 7 2 12 2" xfId="33098" xr:uid="{00000000-0005-0000-0000-00000F6B0000}"/>
    <cellStyle name="Normal 3 4 2 7 2 13" xfId="15611" xr:uid="{00000000-0005-0000-0000-0000106B0000}"/>
    <cellStyle name="Normal 3 4 2 7 2 13 2" xfId="33099" xr:uid="{00000000-0005-0000-0000-0000116B0000}"/>
    <cellStyle name="Normal 3 4 2 7 2 14" xfId="15612" xr:uid="{00000000-0005-0000-0000-0000126B0000}"/>
    <cellStyle name="Normal 3 4 2 7 2 14 2" xfId="33100" xr:uid="{00000000-0005-0000-0000-0000136B0000}"/>
    <cellStyle name="Normal 3 4 2 7 2 15" xfId="33095" xr:uid="{00000000-0005-0000-0000-0000146B0000}"/>
    <cellStyle name="Normal 3 4 2 7 2 2" xfId="15613" xr:uid="{00000000-0005-0000-0000-0000156B0000}"/>
    <cellStyle name="Normal 3 4 2 7 2 2 2" xfId="33101" xr:uid="{00000000-0005-0000-0000-0000166B0000}"/>
    <cellStyle name="Normal 3 4 2 7 2 3" xfId="15614" xr:uid="{00000000-0005-0000-0000-0000176B0000}"/>
    <cellStyle name="Normal 3 4 2 7 2 3 2" xfId="33102" xr:uid="{00000000-0005-0000-0000-0000186B0000}"/>
    <cellStyle name="Normal 3 4 2 7 2 4" xfId="15615" xr:uid="{00000000-0005-0000-0000-0000196B0000}"/>
    <cellStyle name="Normal 3 4 2 7 2 4 2" xfId="33103" xr:uid="{00000000-0005-0000-0000-00001A6B0000}"/>
    <cellStyle name="Normal 3 4 2 7 2 5" xfId="15616" xr:uid="{00000000-0005-0000-0000-00001B6B0000}"/>
    <cellStyle name="Normal 3 4 2 7 2 5 2" xfId="33104" xr:uid="{00000000-0005-0000-0000-00001C6B0000}"/>
    <cellStyle name="Normal 3 4 2 7 2 6" xfId="15617" xr:uid="{00000000-0005-0000-0000-00001D6B0000}"/>
    <cellStyle name="Normal 3 4 2 7 2 6 2" xfId="33105" xr:uid="{00000000-0005-0000-0000-00001E6B0000}"/>
    <cellStyle name="Normal 3 4 2 7 2 7" xfId="15618" xr:uid="{00000000-0005-0000-0000-00001F6B0000}"/>
    <cellStyle name="Normal 3 4 2 7 2 7 2" xfId="33106" xr:uid="{00000000-0005-0000-0000-0000206B0000}"/>
    <cellStyle name="Normal 3 4 2 7 2 8" xfId="15619" xr:uid="{00000000-0005-0000-0000-0000216B0000}"/>
    <cellStyle name="Normal 3 4 2 7 2 8 2" xfId="33107" xr:uid="{00000000-0005-0000-0000-0000226B0000}"/>
    <cellStyle name="Normal 3 4 2 7 2 9" xfId="15620" xr:uid="{00000000-0005-0000-0000-0000236B0000}"/>
    <cellStyle name="Normal 3 4 2 7 2 9 2" xfId="33108" xr:uid="{00000000-0005-0000-0000-0000246B0000}"/>
    <cellStyle name="Normal 3 4 2 7 3" xfId="15621" xr:uid="{00000000-0005-0000-0000-0000256B0000}"/>
    <cellStyle name="Normal 3 4 2 7 3 2" xfId="33109" xr:uid="{00000000-0005-0000-0000-0000266B0000}"/>
    <cellStyle name="Normal 3 4 2 7 4" xfId="15622" xr:uid="{00000000-0005-0000-0000-0000276B0000}"/>
    <cellStyle name="Normal 3 4 2 7 4 2" xfId="33110" xr:uid="{00000000-0005-0000-0000-0000286B0000}"/>
    <cellStyle name="Normal 3 4 2 7 5" xfId="15623" xr:uid="{00000000-0005-0000-0000-0000296B0000}"/>
    <cellStyle name="Normal 3 4 2 7 5 2" xfId="33111" xr:uid="{00000000-0005-0000-0000-00002A6B0000}"/>
    <cellStyle name="Normal 3 4 2 7 6" xfId="15624" xr:uid="{00000000-0005-0000-0000-00002B6B0000}"/>
    <cellStyle name="Normal 3 4 2 7 6 2" xfId="33112" xr:uid="{00000000-0005-0000-0000-00002C6B0000}"/>
    <cellStyle name="Normal 3 4 2 7 7" xfId="15625" xr:uid="{00000000-0005-0000-0000-00002D6B0000}"/>
    <cellStyle name="Normal 3 4 2 7 7 2" xfId="33113" xr:uid="{00000000-0005-0000-0000-00002E6B0000}"/>
    <cellStyle name="Normal 3 4 2 7 8" xfId="15626" xr:uid="{00000000-0005-0000-0000-00002F6B0000}"/>
    <cellStyle name="Normal 3 4 2 7 8 2" xfId="33114" xr:uid="{00000000-0005-0000-0000-0000306B0000}"/>
    <cellStyle name="Normal 3 4 2 7 9" xfId="15627" xr:uid="{00000000-0005-0000-0000-0000316B0000}"/>
    <cellStyle name="Normal 3 4 2 7 9 2" xfId="33115" xr:uid="{00000000-0005-0000-0000-0000326B0000}"/>
    <cellStyle name="Normal 3 4 2 8" xfId="15628" xr:uid="{00000000-0005-0000-0000-0000336B0000}"/>
    <cellStyle name="Normal 3 4 2 8 10" xfId="15629" xr:uid="{00000000-0005-0000-0000-0000346B0000}"/>
    <cellStyle name="Normal 3 4 2 8 10 2" xfId="33117" xr:uid="{00000000-0005-0000-0000-0000356B0000}"/>
    <cellStyle name="Normal 3 4 2 8 11" xfId="15630" xr:uid="{00000000-0005-0000-0000-0000366B0000}"/>
    <cellStyle name="Normal 3 4 2 8 11 2" xfId="33118" xr:uid="{00000000-0005-0000-0000-0000376B0000}"/>
    <cellStyle name="Normal 3 4 2 8 12" xfId="15631" xr:uid="{00000000-0005-0000-0000-0000386B0000}"/>
    <cellStyle name="Normal 3 4 2 8 12 2" xfId="33119" xr:uid="{00000000-0005-0000-0000-0000396B0000}"/>
    <cellStyle name="Normal 3 4 2 8 13" xfId="15632" xr:uid="{00000000-0005-0000-0000-00003A6B0000}"/>
    <cellStyle name="Normal 3 4 2 8 13 2" xfId="33120" xr:uid="{00000000-0005-0000-0000-00003B6B0000}"/>
    <cellStyle name="Normal 3 4 2 8 14" xfId="15633" xr:uid="{00000000-0005-0000-0000-00003C6B0000}"/>
    <cellStyle name="Normal 3 4 2 8 14 2" xfId="33121" xr:uid="{00000000-0005-0000-0000-00003D6B0000}"/>
    <cellStyle name="Normal 3 4 2 8 15" xfId="15634" xr:uid="{00000000-0005-0000-0000-00003E6B0000}"/>
    <cellStyle name="Normal 3 4 2 8 15 2" xfId="33122" xr:uid="{00000000-0005-0000-0000-00003F6B0000}"/>
    <cellStyle name="Normal 3 4 2 8 16" xfId="33116" xr:uid="{00000000-0005-0000-0000-0000406B0000}"/>
    <cellStyle name="Normal 3 4 2 8 2" xfId="15635" xr:uid="{00000000-0005-0000-0000-0000416B0000}"/>
    <cellStyle name="Normal 3 4 2 8 2 10" xfId="15636" xr:uid="{00000000-0005-0000-0000-0000426B0000}"/>
    <cellStyle name="Normal 3 4 2 8 2 10 2" xfId="33124" xr:uid="{00000000-0005-0000-0000-0000436B0000}"/>
    <cellStyle name="Normal 3 4 2 8 2 11" xfId="15637" xr:uid="{00000000-0005-0000-0000-0000446B0000}"/>
    <cellStyle name="Normal 3 4 2 8 2 11 2" xfId="33125" xr:uid="{00000000-0005-0000-0000-0000456B0000}"/>
    <cellStyle name="Normal 3 4 2 8 2 12" xfId="15638" xr:uid="{00000000-0005-0000-0000-0000466B0000}"/>
    <cellStyle name="Normal 3 4 2 8 2 12 2" xfId="33126" xr:uid="{00000000-0005-0000-0000-0000476B0000}"/>
    <cellStyle name="Normal 3 4 2 8 2 13" xfId="15639" xr:uid="{00000000-0005-0000-0000-0000486B0000}"/>
    <cellStyle name="Normal 3 4 2 8 2 13 2" xfId="33127" xr:uid="{00000000-0005-0000-0000-0000496B0000}"/>
    <cellStyle name="Normal 3 4 2 8 2 14" xfId="15640" xr:uid="{00000000-0005-0000-0000-00004A6B0000}"/>
    <cellStyle name="Normal 3 4 2 8 2 14 2" xfId="33128" xr:uid="{00000000-0005-0000-0000-00004B6B0000}"/>
    <cellStyle name="Normal 3 4 2 8 2 15" xfId="33123" xr:uid="{00000000-0005-0000-0000-00004C6B0000}"/>
    <cellStyle name="Normal 3 4 2 8 2 2" xfId="15641" xr:uid="{00000000-0005-0000-0000-00004D6B0000}"/>
    <cellStyle name="Normal 3 4 2 8 2 2 2" xfId="33129" xr:uid="{00000000-0005-0000-0000-00004E6B0000}"/>
    <cellStyle name="Normal 3 4 2 8 2 3" xfId="15642" xr:uid="{00000000-0005-0000-0000-00004F6B0000}"/>
    <cellStyle name="Normal 3 4 2 8 2 3 2" xfId="33130" xr:uid="{00000000-0005-0000-0000-0000506B0000}"/>
    <cellStyle name="Normal 3 4 2 8 2 4" xfId="15643" xr:uid="{00000000-0005-0000-0000-0000516B0000}"/>
    <cellStyle name="Normal 3 4 2 8 2 4 2" xfId="33131" xr:uid="{00000000-0005-0000-0000-0000526B0000}"/>
    <cellStyle name="Normal 3 4 2 8 2 5" xfId="15644" xr:uid="{00000000-0005-0000-0000-0000536B0000}"/>
    <cellStyle name="Normal 3 4 2 8 2 5 2" xfId="33132" xr:uid="{00000000-0005-0000-0000-0000546B0000}"/>
    <cellStyle name="Normal 3 4 2 8 2 6" xfId="15645" xr:uid="{00000000-0005-0000-0000-0000556B0000}"/>
    <cellStyle name="Normal 3 4 2 8 2 6 2" xfId="33133" xr:uid="{00000000-0005-0000-0000-0000566B0000}"/>
    <cellStyle name="Normal 3 4 2 8 2 7" xfId="15646" xr:uid="{00000000-0005-0000-0000-0000576B0000}"/>
    <cellStyle name="Normal 3 4 2 8 2 7 2" xfId="33134" xr:uid="{00000000-0005-0000-0000-0000586B0000}"/>
    <cellStyle name="Normal 3 4 2 8 2 8" xfId="15647" xr:uid="{00000000-0005-0000-0000-0000596B0000}"/>
    <cellStyle name="Normal 3 4 2 8 2 8 2" xfId="33135" xr:uid="{00000000-0005-0000-0000-00005A6B0000}"/>
    <cellStyle name="Normal 3 4 2 8 2 9" xfId="15648" xr:uid="{00000000-0005-0000-0000-00005B6B0000}"/>
    <cellStyle name="Normal 3 4 2 8 2 9 2" xfId="33136" xr:uid="{00000000-0005-0000-0000-00005C6B0000}"/>
    <cellStyle name="Normal 3 4 2 8 3" xfId="15649" xr:uid="{00000000-0005-0000-0000-00005D6B0000}"/>
    <cellStyle name="Normal 3 4 2 8 3 2" xfId="33137" xr:uid="{00000000-0005-0000-0000-00005E6B0000}"/>
    <cellStyle name="Normal 3 4 2 8 4" xfId="15650" xr:uid="{00000000-0005-0000-0000-00005F6B0000}"/>
    <cellStyle name="Normal 3 4 2 8 4 2" xfId="33138" xr:uid="{00000000-0005-0000-0000-0000606B0000}"/>
    <cellStyle name="Normal 3 4 2 8 5" xfId="15651" xr:uid="{00000000-0005-0000-0000-0000616B0000}"/>
    <cellStyle name="Normal 3 4 2 8 5 2" xfId="33139" xr:uid="{00000000-0005-0000-0000-0000626B0000}"/>
    <cellStyle name="Normal 3 4 2 8 6" xfId="15652" xr:uid="{00000000-0005-0000-0000-0000636B0000}"/>
    <cellStyle name="Normal 3 4 2 8 6 2" xfId="33140" xr:uid="{00000000-0005-0000-0000-0000646B0000}"/>
    <cellStyle name="Normal 3 4 2 8 7" xfId="15653" xr:uid="{00000000-0005-0000-0000-0000656B0000}"/>
    <cellStyle name="Normal 3 4 2 8 7 2" xfId="33141" xr:uid="{00000000-0005-0000-0000-0000666B0000}"/>
    <cellStyle name="Normal 3 4 2 8 8" xfId="15654" xr:uid="{00000000-0005-0000-0000-0000676B0000}"/>
    <cellStyle name="Normal 3 4 2 8 8 2" xfId="33142" xr:uid="{00000000-0005-0000-0000-0000686B0000}"/>
    <cellStyle name="Normal 3 4 2 8 9" xfId="15655" xr:uid="{00000000-0005-0000-0000-0000696B0000}"/>
    <cellStyle name="Normal 3 4 2 8 9 2" xfId="33143" xr:uid="{00000000-0005-0000-0000-00006A6B0000}"/>
    <cellStyle name="Normal 3 4 2 9" xfId="15656" xr:uid="{00000000-0005-0000-0000-00006B6B0000}"/>
    <cellStyle name="Normal 3 4 2 9 10" xfId="15657" xr:uid="{00000000-0005-0000-0000-00006C6B0000}"/>
    <cellStyle name="Normal 3 4 2 9 10 2" xfId="33145" xr:uid="{00000000-0005-0000-0000-00006D6B0000}"/>
    <cellStyle name="Normal 3 4 2 9 11" xfId="15658" xr:uid="{00000000-0005-0000-0000-00006E6B0000}"/>
    <cellStyle name="Normal 3 4 2 9 11 2" xfId="33146" xr:uid="{00000000-0005-0000-0000-00006F6B0000}"/>
    <cellStyle name="Normal 3 4 2 9 12" xfId="15659" xr:uid="{00000000-0005-0000-0000-0000706B0000}"/>
    <cellStyle name="Normal 3 4 2 9 12 2" xfId="33147" xr:uid="{00000000-0005-0000-0000-0000716B0000}"/>
    <cellStyle name="Normal 3 4 2 9 13" xfId="15660" xr:uid="{00000000-0005-0000-0000-0000726B0000}"/>
    <cellStyle name="Normal 3 4 2 9 13 2" xfId="33148" xr:uid="{00000000-0005-0000-0000-0000736B0000}"/>
    <cellStyle name="Normal 3 4 2 9 14" xfId="15661" xr:uid="{00000000-0005-0000-0000-0000746B0000}"/>
    <cellStyle name="Normal 3 4 2 9 14 2" xfId="33149" xr:uid="{00000000-0005-0000-0000-0000756B0000}"/>
    <cellStyle name="Normal 3 4 2 9 15" xfId="33144" xr:uid="{00000000-0005-0000-0000-0000766B0000}"/>
    <cellStyle name="Normal 3 4 2 9 2" xfId="15662" xr:uid="{00000000-0005-0000-0000-0000776B0000}"/>
    <cellStyle name="Normal 3 4 2 9 2 2" xfId="33150" xr:uid="{00000000-0005-0000-0000-0000786B0000}"/>
    <cellStyle name="Normal 3 4 2 9 3" xfId="15663" xr:uid="{00000000-0005-0000-0000-0000796B0000}"/>
    <cellStyle name="Normal 3 4 2 9 3 2" xfId="33151" xr:uid="{00000000-0005-0000-0000-00007A6B0000}"/>
    <cellStyle name="Normal 3 4 2 9 4" xfId="15664" xr:uid="{00000000-0005-0000-0000-00007B6B0000}"/>
    <cellStyle name="Normal 3 4 2 9 4 2" xfId="33152" xr:uid="{00000000-0005-0000-0000-00007C6B0000}"/>
    <cellStyle name="Normal 3 4 2 9 5" xfId="15665" xr:uid="{00000000-0005-0000-0000-00007D6B0000}"/>
    <cellStyle name="Normal 3 4 2 9 5 2" xfId="33153" xr:uid="{00000000-0005-0000-0000-00007E6B0000}"/>
    <cellStyle name="Normal 3 4 2 9 6" xfId="15666" xr:uid="{00000000-0005-0000-0000-00007F6B0000}"/>
    <cellStyle name="Normal 3 4 2 9 6 2" xfId="33154" xr:uid="{00000000-0005-0000-0000-0000806B0000}"/>
    <cellStyle name="Normal 3 4 2 9 7" xfId="15667" xr:uid="{00000000-0005-0000-0000-0000816B0000}"/>
    <cellStyle name="Normal 3 4 2 9 7 2" xfId="33155" xr:uid="{00000000-0005-0000-0000-0000826B0000}"/>
    <cellStyle name="Normal 3 4 2 9 8" xfId="15668" xr:uid="{00000000-0005-0000-0000-0000836B0000}"/>
    <cellStyle name="Normal 3 4 2 9 8 2" xfId="33156" xr:uid="{00000000-0005-0000-0000-0000846B0000}"/>
    <cellStyle name="Normal 3 4 2 9 9" xfId="15669" xr:uid="{00000000-0005-0000-0000-0000856B0000}"/>
    <cellStyle name="Normal 3 4 2 9 9 2" xfId="33157" xr:uid="{00000000-0005-0000-0000-0000866B0000}"/>
    <cellStyle name="Normal 3 4 20" xfId="15670" xr:uid="{00000000-0005-0000-0000-0000876B0000}"/>
    <cellStyle name="Normal 3 4 20 10" xfId="15671" xr:uid="{00000000-0005-0000-0000-0000886B0000}"/>
    <cellStyle name="Normal 3 4 20 10 2" xfId="33159" xr:uid="{00000000-0005-0000-0000-0000896B0000}"/>
    <cellStyle name="Normal 3 4 20 11" xfId="15672" xr:uid="{00000000-0005-0000-0000-00008A6B0000}"/>
    <cellStyle name="Normal 3 4 20 11 2" xfId="33160" xr:uid="{00000000-0005-0000-0000-00008B6B0000}"/>
    <cellStyle name="Normal 3 4 20 12" xfId="15673" xr:uid="{00000000-0005-0000-0000-00008C6B0000}"/>
    <cellStyle name="Normal 3 4 20 12 2" xfId="33161" xr:uid="{00000000-0005-0000-0000-00008D6B0000}"/>
    <cellStyle name="Normal 3 4 20 13" xfId="15674" xr:uid="{00000000-0005-0000-0000-00008E6B0000}"/>
    <cellStyle name="Normal 3 4 20 13 2" xfId="33162" xr:uid="{00000000-0005-0000-0000-00008F6B0000}"/>
    <cellStyle name="Normal 3 4 20 14" xfId="15675" xr:uid="{00000000-0005-0000-0000-0000906B0000}"/>
    <cellStyle name="Normal 3 4 20 14 2" xfId="33163" xr:uid="{00000000-0005-0000-0000-0000916B0000}"/>
    <cellStyle name="Normal 3 4 20 15" xfId="33158" xr:uid="{00000000-0005-0000-0000-0000926B0000}"/>
    <cellStyle name="Normal 3 4 20 2" xfId="15676" xr:uid="{00000000-0005-0000-0000-0000936B0000}"/>
    <cellStyle name="Normal 3 4 20 2 2" xfId="33164" xr:uid="{00000000-0005-0000-0000-0000946B0000}"/>
    <cellStyle name="Normal 3 4 20 3" xfId="15677" xr:uid="{00000000-0005-0000-0000-0000956B0000}"/>
    <cellStyle name="Normal 3 4 20 3 2" xfId="33165" xr:uid="{00000000-0005-0000-0000-0000966B0000}"/>
    <cellStyle name="Normal 3 4 20 4" xfId="15678" xr:uid="{00000000-0005-0000-0000-0000976B0000}"/>
    <cellStyle name="Normal 3 4 20 4 2" xfId="33166" xr:uid="{00000000-0005-0000-0000-0000986B0000}"/>
    <cellStyle name="Normal 3 4 20 5" xfId="15679" xr:uid="{00000000-0005-0000-0000-0000996B0000}"/>
    <cellStyle name="Normal 3 4 20 5 2" xfId="33167" xr:uid="{00000000-0005-0000-0000-00009A6B0000}"/>
    <cellStyle name="Normal 3 4 20 6" xfId="15680" xr:uid="{00000000-0005-0000-0000-00009B6B0000}"/>
    <cellStyle name="Normal 3 4 20 6 2" xfId="33168" xr:uid="{00000000-0005-0000-0000-00009C6B0000}"/>
    <cellStyle name="Normal 3 4 20 7" xfId="15681" xr:uid="{00000000-0005-0000-0000-00009D6B0000}"/>
    <cellStyle name="Normal 3 4 20 7 2" xfId="33169" xr:uid="{00000000-0005-0000-0000-00009E6B0000}"/>
    <cellStyle name="Normal 3 4 20 8" xfId="15682" xr:uid="{00000000-0005-0000-0000-00009F6B0000}"/>
    <cellStyle name="Normal 3 4 20 8 2" xfId="33170" xr:uid="{00000000-0005-0000-0000-0000A06B0000}"/>
    <cellStyle name="Normal 3 4 20 9" xfId="15683" xr:uid="{00000000-0005-0000-0000-0000A16B0000}"/>
    <cellStyle name="Normal 3 4 20 9 2" xfId="33171" xr:uid="{00000000-0005-0000-0000-0000A26B0000}"/>
    <cellStyle name="Normal 3 4 21" xfId="15684" xr:uid="{00000000-0005-0000-0000-0000A36B0000}"/>
    <cellStyle name="Normal 3 4 21 10" xfId="15685" xr:uid="{00000000-0005-0000-0000-0000A46B0000}"/>
    <cellStyle name="Normal 3 4 21 10 2" xfId="33173" xr:uid="{00000000-0005-0000-0000-0000A56B0000}"/>
    <cellStyle name="Normal 3 4 21 11" xfId="15686" xr:uid="{00000000-0005-0000-0000-0000A66B0000}"/>
    <cellStyle name="Normal 3 4 21 11 2" xfId="33174" xr:uid="{00000000-0005-0000-0000-0000A76B0000}"/>
    <cellStyle name="Normal 3 4 21 12" xfId="15687" xr:uid="{00000000-0005-0000-0000-0000A86B0000}"/>
    <cellStyle name="Normal 3 4 21 12 2" xfId="33175" xr:uid="{00000000-0005-0000-0000-0000A96B0000}"/>
    <cellStyle name="Normal 3 4 21 13" xfId="15688" xr:uid="{00000000-0005-0000-0000-0000AA6B0000}"/>
    <cellStyle name="Normal 3 4 21 13 2" xfId="33176" xr:uid="{00000000-0005-0000-0000-0000AB6B0000}"/>
    <cellStyle name="Normal 3 4 21 14" xfId="15689" xr:uid="{00000000-0005-0000-0000-0000AC6B0000}"/>
    <cellStyle name="Normal 3 4 21 14 2" xfId="33177" xr:uid="{00000000-0005-0000-0000-0000AD6B0000}"/>
    <cellStyle name="Normal 3 4 21 15" xfId="33172" xr:uid="{00000000-0005-0000-0000-0000AE6B0000}"/>
    <cellStyle name="Normal 3 4 21 2" xfId="15690" xr:uid="{00000000-0005-0000-0000-0000AF6B0000}"/>
    <cellStyle name="Normal 3 4 21 2 2" xfId="33178" xr:uid="{00000000-0005-0000-0000-0000B06B0000}"/>
    <cellStyle name="Normal 3 4 21 3" xfId="15691" xr:uid="{00000000-0005-0000-0000-0000B16B0000}"/>
    <cellStyle name="Normal 3 4 21 3 2" xfId="33179" xr:uid="{00000000-0005-0000-0000-0000B26B0000}"/>
    <cellStyle name="Normal 3 4 21 4" xfId="15692" xr:uid="{00000000-0005-0000-0000-0000B36B0000}"/>
    <cellStyle name="Normal 3 4 21 4 2" xfId="33180" xr:uid="{00000000-0005-0000-0000-0000B46B0000}"/>
    <cellStyle name="Normal 3 4 21 5" xfId="15693" xr:uid="{00000000-0005-0000-0000-0000B56B0000}"/>
    <cellStyle name="Normal 3 4 21 5 2" xfId="33181" xr:uid="{00000000-0005-0000-0000-0000B66B0000}"/>
    <cellStyle name="Normal 3 4 21 6" xfId="15694" xr:uid="{00000000-0005-0000-0000-0000B76B0000}"/>
    <cellStyle name="Normal 3 4 21 6 2" xfId="33182" xr:uid="{00000000-0005-0000-0000-0000B86B0000}"/>
    <cellStyle name="Normal 3 4 21 7" xfId="15695" xr:uid="{00000000-0005-0000-0000-0000B96B0000}"/>
    <cellStyle name="Normal 3 4 21 7 2" xfId="33183" xr:uid="{00000000-0005-0000-0000-0000BA6B0000}"/>
    <cellStyle name="Normal 3 4 21 8" xfId="15696" xr:uid="{00000000-0005-0000-0000-0000BB6B0000}"/>
    <cellStyle name="Normal 3 4 21 8 2" xfId="33184" xr:uid="{00000000-0005-0000-0000-0000BC6B0000}"/>
    <cellStyle name="Normal 3 4 21 9" xfId="15697" xr:uid="{00000000-0005-0000-0000-0000BD6B0000}"/>
    <cellStyle name="Normal 3 4 21 9 2" xfId="33185" xr:uid="{00000000-0005-0000-0000-0000BE6B0000}"/>
    <cellStyle name="Normal 3 4 22" xfId="15698" xr:uid="{00000000-0005-0000-0000-0000BF6B0000}"/>
    <cellStyle name="Normal 3 4 23" xfId="15699" xr:uid="{00000000-0005-0000-0000-0000C06B0000}"/>
    <cellStyle name="Normal 3 4 24" xfId="15700" xr:uid="{00000000-0005-0000-0000-0000C16B0000}"/>
    <cellStyle name="Normal 3 4 24 10" xfId="15701" xr:uid="{00000000-0005-0000-0000-0000C26B0000}"/>
    <cellStyle name="Normal 3 4 24 10 2" xfId="33187" xr:uid="{00000000-0005-0000-0000-0000C36B0000}"/>
    <cellStyle name="Normal 3 4 24 11" xfId="15702" xr:uid="{00000000-0005-0000-0000-0000C46B0000}"/>
    <cellStyle name="Normal 3 4 24 11 2" xfId="33188" xr:uid="{00000000-0005-0000-0000-0000C56B0000}"/>
    <cellStyle name="Normal 3 4 24 12" xfId="15703" xr:uid="{00000000-0005-0000-0000-0000C66B0000}"/>
    <cellStyle name="Normal 3 4 24 12 2" xfId="33189" xr:uid="{00000000-0005-0000-0000-0000C76B0000}"/>
    <cellStyle name="Normal 3 4 24 13" xfId="15704" xr:uid="{00000000-0005-0000-0000-0000C86B0000}"/>
    <cellStyle name="Normal 3 4 24 13 2" xfId="33190" xr:uid="{00000000-0005-0000-0000-0000C96B0000}"/>
    <cellStyle name="Normal 3 4 24 14" xfId="15705" xr:uid="{00000000-0005-0000-0000-0000CA6B0000}"/>
    <cellStyle name="Normal 3 4 24 14 2" xfId="33191" xr:uid="{00000000-0005-0000-0000-0000CB6B0000}"/>
    <cellStyle name="Normal 3 4 24 15" xfId="33186" xr:uid="{00000000-0005-0000-0000-0000CC6B0000}"/>
    <cellStyle name="Normal 3 4 24 2" xfId="15706" xr:uid="{00000000-0005-0000-0000-0000CD6B0000}"/>
    <cellStyle name="Normal 3 4 24 2 2" xfId="33192" xr:uid="{00000000-0005-0000-0000-0000CE6B0000}"/>
    <cellStyle name="Normal 3 4 24 3" xfId="15707" xr:uid="{00000000-0005-0000-0000-0000CF6B0000}"/>
    <cellStyle name="Normal 3 4 24 3 2" xfId="33193" xr:uid="{00000000-0005-0000-0000-0000D06B0000}"/>
    <cellStyle name="Normal 3 4 24 4" xfId="15708" xr:uid="{00000000-0005-0000-0000-0000D16B0000}"/>
    <cellStyle name="Normal 3 4 24 4 2" xfId="33194" xr:uid="{00000000-0005-0000-0000-0000D26B0000}"/>
    <cellStyle name="Normal 3 4 24 5" xfId="15709" xr:uid="{00000000-0005-0000-0000-0000D36B0000}"/>
    <cellStyle name="Normal 3 4 24 5 2" xfId="33195" xr:uid="{00000000-0005-0000-0000-0000D46B0000}"/>
    <cellStyle name="Normal 3 4 24 6" xfId="15710" xr:uid="{00000000-0005-0000-0000-0000D56B0000}"/>
    <cellStyle name="Normal 3 4 24 6 2" xfId="33196" xr:uid="{00000000-0005-0000-0000-0000D66B0000}"/>
    <cellStyle name="Normal 3 4 24 7" xfId="15711" xr:uid="{00000000-0005-0000-0000-0000D76B0000}"/>
    <cellStyle name="Normal 3 4 24 7 2" xfId="33197" xr:uid="{00000000-0005-0000-0000-0000D86B0000}"/>
    <cellStyle name="Normal 3 4 24 8" xfId="15712" xr:uid="{00000000-0005-0000-0000-0000D96B0000}"/>
    <cellStyle name="Normal 3 4 24 8 2" xfId="33198" xr:uid="{00000000-0005-0000-0000-0000DA6B0000}"/>
    <cellStyle name="Normal 3 4 24 9" xfId="15713" xr:uid="{00000000-0005-0000-0000-0000DB6B0000}"/>
    <cellStyle name="Normal 3 4 24 9 2" xfId="33199" xr:uid="{00000000-0005-0000-0000-0000DC6B0000}"/>
    <cellStyle name="Normal 3 4 25" xfId="15714" xr:uid="{00000000-0005-0000-0000-0000DD6B0000}"/>
    <cellStyle name="Normal 3 4 25 10" xfId="15715" xr:uid="{00000000-0005-0000-0000-0000DE6B0000}"/>
    <cellStyle name="Normal 3 4 25 10 2" xfId="33201" xr:uid="{00000000-0005-0000-0000-0000DF6B0000}"/>
    <cellStyle name="Normal 3 4 25 11" xfId="15716" xr:uid="{00000000-0005-0000-0000-0000E06B0000}"/>
    <cellStyle name="Normal 3 4 25 11 2" xfId="33202" xr:uid="{00000000-0005-0000-0000-0000E16B0000}"/>
    <cellStyle name="Normal 3 4 25 12" xfId="15717" xr:uid="{00000000-0005-0000-0000-0000E26B0000}"/>
    <cellStyle name="Normal 3 4 25 12 2" xfId="33203" xr:uid="{00000000-0005-0000-0000-0000E36B0000}"/>
    <cellStyle name="Normal 3 4 25 13" xfId="15718" xr:uid="{00000000-0005-0000-0000-0000E46B0000}"/>
    <cellStyle name="Normal 3 4 25 13 2" xfId="33204" xr:uid="{00000000-0005-0000-0000-0000E56B0000}"/>
    <cellStyle name="Normal 3 4 25 14" xfId="15719" xr:uid="{00000000-0005-0000-0000-0000E66B0000}"/>
    <cellStyle name="Normal 3 4 25 14 2" xfId="33205" xr:uid="{00000000-0005-0000-0000-0000E76B0000}"/>
    <cellStyle name="Normal 3 4 25 15" xfId="33200" xr:uid="{00000000-0005-0000-0000-0000E86B0000}"/>
    <cellStyle name="Normal 3 4 25 2" xfId="15720" xr:uid="{00000000-0005-0000-0000-0000E96B0000}"/>
    <cellStyle name="Normal 3 4 25 2 2" xfId="33206" xr:uid="{00000000-0005-0000-0000-0000EA6B0000}"/>
    <cellStyle name="Normal 3 4 25 3" xfId="15721" xr:uid="{00000000-0005-0000-0000-0000EB6B0000}"/>
    <cellStyle name="Normal 3 4 25 3 2" xfId="33207" xr:uid="{00000000-0005-0000-0000-0000EC6B0000}"/>
    <cellStyle name="Normal 3 4 25 4" xfId="15722" xr:uid="{00000000-0005-0000-0000-0000ED6B0000}"/>
    <cellStyle name="Normal 3 4 25 4 2" xfId="33208" xr:uid="{00000000-0005-0000-0000-0000EE6B0000}"/>
    <cellStyle name="Normal 3 4 25 5" xfId="15723" xr:uid="{00000000-0005-0000-0000-0000EF6B0000}"/>
    <cellStyle name="Normal 3 4 25 5 2" xfId="33209" xr:uid="{00000000-0005-0000-0000-0000F06B0000}"/>
    <cellStyle name="Normal 3 4 25 6" xfId="15724" xr:uid="{00000000-0005-0000-0000-0000F16B0000}"/>
    <cellStyle name="Normal 3 4 25 6 2" xfId="33210" xr:uid="{00000000-0005-0000-0000-0000F26B0000}"/>
    <cellStyle name="Normal 3 4 25 7" xfId="15725" xr:uid="{00000000-0005-0000-0000-0000F36B0000}"/>
    <cellStyle name="Normal 3 4 25 7 2" xfId="33211" xr:uid="{00000000-0005-0000-0000-0000F46B0000}"/>
    <cellStyle name="Normal 3 4 25 8" xfId="15726" xr:uid="{00000000-0005-0000-0000-0000F56B0000}"/>
    <cellStyle name="Normal 3 4 25 8 2" xfId="33212" xr:uid="{00000000-0005-0000-0000-0000F66B0000}"/>
    <cellStyle name="Normal 3 4 25 9" xfId="15727" xr:uid="{00000000-0005-0000-0000-0000F76B0000}"/>
    <cellStyle name="Normal 3 4 25 9 2" xfId="33213" xr:uid="{00000000-0005-0000-0000-0000F86B0000}"/>
    <cellStyle name="Normal 3 4 3" xfId="15728" xr:uid="{00000000-0005-0000-0000-0000F96B0000}"/>
    <cellStyle name="Normal 3 4 3 10" xfId="15729" xr:uid="{00000000-0005-0000-0000-0000FA6B0000}"/>
    <cellStyle name="Normal 3 4 3 10 10" xfId="15730" xr:uid="{00000000-0005-0000-0000-0000FB6B0000}"/>
    <cellStyle name="Normal 3 4 3 10 10 2" xfId="33216" xr:uid="{00000000-0005-0000-0000-0000FC6B0000}"/>
    <cellStyle name="Normal 3 4 3 10 11" xfId="15731" xr:uid="{00000000-0005-0000-0000-0000FD6B0000}"/>
    <cellStyle name="Normal 3 4 3 10 11 2" xfId="33217" xr:uid="{00000000-0005-0000-0000-0000FE6B0000}"/>
    <cellStyle name="Normal 3 4 3 10 12" xfId="15732" xr:uid="{00000000-0005-0000-0000-0000FF6B0000}"/>
    <cellStyle name="Normal 3 4 3 10 12 2" xfId="33218" xr:uid="{00000000-0005-0000-0000-0000006C0000}"/>
    <cellStyle name="Normal 3 4 3 10 13" xfId="15733" xr:uid="{00000000-0005-0000-0000-0000016C0000}"/>
    <cellStyle name="Normal 3 4 3 10 13 2" xfId="33219" xr:uid="{00000000-0005-0000-0000-0000026C0000}"/>
    <cellStyle name="Normal 3 4 3 10 14" xfId="15734" xr:uid="{00000000-0005-0000-0000-0000036C0000}"/>
    <cellStyle name="Normal 3 4 3 10 14 2" xfId="33220" xr:uid="{00000000-0005-0000-0000-0000046C0000}"/>
    <cellStyle name="Normal 3 4 3 10 15" xfId="33215" xr:uid="{00000000-0005-0000-0000-0000056C0000}"/>
    <cellStyle name="Normal 3 4 3 10 2" xfId="15735" xr:uid="{00000000-0005-0000-0000-0000066C0000}"/>
    <cellStyle name="Normal 3 4 3 10 2 2" xfId="33221" xr:uid="{00000000-0005-0000-0000-0000076C0000}"/>
    <cellStyle name="Normal 3 4 3 10 3" xfId="15736" xr:uid="{00000000-0005-0000-0000-0000086C0000}"/>
    <cellStyle name="Normal 3 4 3 10 3 2" xfId="33222" xr:uid="{00000000-0005-0000-0000-0000096C0000}"/>
    <cellStyle name="Normal 3 4 3 10 4" xfId="15737" xr:uid="{00000000-0005-0000-0000-00000A6C0000}"/>
    <cellStyle name="Normal 3 4 3 10 4 2" xfId="33223" xr:uid="{00000000-0005-0000-0000-00000B6C0000}"/>
    <cellStyle name="Normal 3 4 3 10 5" xfId="15738" xr:uid="{00000000-0005-0000-0000-00000C6C0000}"/>
    <cellStyle name="Normal 3 4 3 10 5 2" xfId="33224" xr:uid="{00000000-0005-0000-0000-00000D6C0000}"/>
    <cellStyle name="Normal 3 4 3 10 6" xfId="15739" xr:uid="{00000000-0005-0000-0000-00000E6C0000}"/>
    <cellStyle name="Normal 3 4 3 10 6 2" xfId="33225" xr:uid="{00000000-0005-0000-0000-00000F6C0000}"/>
    <cellStyle name="Normal 3 4 3 10 7" xfId="15740" xr:uid="{00000000-0005-0000-0000-0000106C0000}"/>
    <cellStyle name="Normal 3 4 3 10 7 2" xfId="33226" xr:uid="{00000000-0005-0000-0000-0000116C0000}"/>
    <cellStyle name="Normal 3 4 3 10 8" xfId="15741" xr:uid="{00000000-0005-0000-0000-0000126C0000}"/>
    <cellStyle name="Normal 3 4 3 10 8 2" xfId="33227" xr:uid="{00000000-0005-0000-0000-0000136C0000}"/>
    <cellStyle name="Normal 3 4 3 10 9" xfId="15742" xr:uid="{00000000-0005-0000-0000-0000146C0000}"/>
    <cellStyle name="Normal 3 4 3 10 9 2" xfId="33228" xr:uid="{00000000-0005-0000-0000-0000156C0000}"/>
    <cellStyle name="Normal 3 4 3 11" xfId="15743" xr:uid="{00000000-0005-0000-0000-0000166C0000}"/>
    <cellStyle name="Normal 3 4 3 11 10" xfId="15744" xr:uid="{00000000-0005-0000-0000-0000176C0000}"/>
    <cellStyle name="Normal 3 4 3 11 10 2" xfId="33230" xr:uid="{00000000-0005-0000-0000-0000186C0000}"/>
    <cellStyle name="Normal 3 4 3 11 11" xfId="15745" xr:uid="{00000000-0005-0000-0000-0000196C0000}"/>
    <cellStyle name="Normal 3 4 3 11 11 2" xfId="33231" xr:uid="{00000000-0005-0000-0000-00001A6C0000}"/>
    <cellStyle name="Normal 3 4 3 11 12" xfId="15746" xr:uid="{00000000-0005-0000-0000-00001B6C0000}"/>
    <cellStyle name="Normal 3 4 3 11 12 2" xfId="33232" xr:uid="{00000000-0005-0000-0000-00001C6C0000}"/>
    <cellStyle name="Normal 3 4 3 11 13" xfId="15747" xr:uid="{00000000-0005-0000-0000-00001D6C0000}"/>
    <cellStyle name="Normal 3 4 3 11 13 2" xfId="33233" xr:uid="{00000000-0005-0000-0000-00001E6C0000}"/>
    <cellStyle name="Normal 3 4 3 11 14" xfId="15748" xr:uid="{00000000-0005-0000-0000-00001F6C0000}"/>
    <cellStyle name="Normal 3 4 3 11 14 2" xfId="33234" xr:uid="{00000000-0005-0000-0000-0000206C0000}"/>
    <cellStyle name="Normal 3 4 3 11 15" xfId="33229" xr:uid="{00000000-0005-0000-0000-0000216C0000}"/>
    <cellStyle name="Normal 3 4 3 11 2" xfId="15749" xr:uid="{00000000-0005-0000-0000-0000226C0000}"/>
    <cellStyle name="Normal 3 4 3 11 2 2" xfId="33235" xr:uid="{00000000-0005-0000-0000-0000236C0000}"/>
    <cellStyle name="Normal 3 4 3 11 3" xfId="15750" xr:uid="{00000000-0005-0000-0000-0000246C0000}"/>
    <cellStyle name="Normal 3 4 3 11 3 2" xfId="33236" xr:uid="{00000000-0005-0000-0000-0000256C0000}"/>
    <cellStyle name="Normal 3 4 3 11 4" xfId="15751" xr:uid="{00000000-0005-0000-0000-0000266C0000}"/>
    <cellStyle name="Normal 3 4 3 11 4 2" xfId="33237" xr:uid="{00000000-0005-0000-0000-0000276C0000}"/>
    <cellStyle name="Normal 3 4 3 11 5" xfId="15752" xr:uid="{00000000-0005-0000-0000-0000286C0000}"/>
    <cellStyle name="Normal 3 4 3 11 5 2" xfId="33238" xr:uid="{00000000-0005-0000-0000-0000296C0000}"/>
    <cellStyle name="Normal 3 4 3 11 6" xfId="15753" xr:uid="{00000000-0005-0000-0000-00002A6C0000}"/>
    <cellStyle name="Normal 3 4 3 11 6 2" xfId="33239" xr:uid="{00000000-0005-0000-0000-00002B6C0000}"/>
    <cellStyle name="Normal 3 4 3 11 7" xfId="15754" xr:uid="{00000000-0005-0000-0000-00002C6C0000}"/>
    <cellStyle name="Normal 3 4 3 11 7 2" xfId="33240" xr:uid="{00000000-0005-0000-0000-00002D6C0000}"/>
    <cellStyle name="Normal 3 4 3 11 8" xfId="15755" xr:uid="{00000000-0005-0000-0000-00002E6C0000}"/>
    <cellStyle name="Normal 3 4 3 11 8 2" xfId="33241" xr:uid="{00000000-0005-0000-0000-00002F6C0000}"/>
    <cellStyle name="Normal 3 4 3 11 9" xfId="15756" xr:uid="{00000000-0005-0000-0000-0000306C0000}"/>
    <cellStyle name="Normal 3 4 3 11 9 2" xfId="33242" xr:uid="{00000000-0005-0000-0000-0000316C0000}"/>
    <cellStyle name="Normal 3 4 3 12" xfId="15757" xr:uid="{00000000-0005-0000-0000-0000326C0000}"/>
    <cellStyle name="Normal 3 4 3 12 10" xfId="15758" xr:uid="{00000000-0005-0000-0000-0000336C0000}"/>
    <cellStyle name="Normal 3 4 3 12 10 2" xfId="33244" xr:uid="{00000000-0005-0000-0000-0000346C0000}"/>
    <cellStyle name="Normal 3 4 3 12 11" xfId="15759" xr:uid="{00000000-0005-0000-0000-0000356C0000}"/>
    <cellStyle name="Normal 3 4 3 12 11 2" xfId="33245" xr:uid="{00000000-0005-0000-0000-0000366C0000}"/>
    <cellStyle name="Normal 3 4 3 12 12" xfId="15760" xr:uid="{00000000-0005-0000-0000-0000376C0000}"/>
    <cellStyle name="Normal 3 4 3 12 12 2" xfId="33246" xr:uid="{00000000-0005-0000-0000-0000386C0000}"/>
    <cellStyle name="Normal 3 4 3 12 13" xfId="15761" xr:uid="{00000000-0005-0000-0000-0000396C0000}"/>
    <cellStyle name="Normal 3 4 3 12 13 2" xfId="33247" xr:uid="{00000000-0005-0000-0000-00003A6C0000}"/>
    <cellStyle name="Normal 3 4 3 12 14" xfId="15762" xr:uid="{00000000-0005-0000-0000-00003B6C0000}"/>
    <cellStyle name="Normal 3 4 3 12 14 2" xfId="33248" xr:uid="{00000000-0005-0000-0000-00003C6C0000}"/>
    <cellStyle name="Normal 3 4 3 12 15" xfId="33243" xr:uid="{00000000-0005-0000-0000-00003D6C0000}"/>
    <cellStyle name="Normal 3 4 3 12 2" xfId="15763" xr:uid="{00000000-0005-0000-0000-00003E6C0000}"/>
    <cellStyle name="Normal 3 4 3 12 2 2" xfId="33249" xr:uid="{00000000-0005-0000-0000-00003F6C0000}"/>
    <cellStyle name="Normal 3 4 3 12 3" xfId="15764" xr:uid="{00000000-0005-0000-0000-0000406C0000}"/>
    <cellStyle name="Normal 3 4 3 12 3 2" xfId="33250" xr:uid="{00000000-0005-0000-0000-0000416C0000}"/>
    <cellStyle name="Normal 3 4 3 12 4" xfId="15765" xr:uid="{00000000-0005-0000-0000-0000426C0000}"/>
    <cellStyle name="Normal 3 4 3 12 4 2" xfId="33251" xr:uid="{00000000-0005-0000-0000-0000436C0000}"/>
    <cellStyle name="Normal 3 4 3 12 5" xfId="15766" xr:uid="{00000000-0005-0000-0000-0000446C0000}"/>
    <cellStyle name="Normal 3 4 3 12 5 2" xfId="33252" xr:uid="{00000000-0005-0000-0000-0000456C0000}"/>
    <cellStyle name="Normal 3 4 3 12 6" xfId="15767" xr:uid="{00000000-0005-0000-0000-0000466C0000}"/>
    <cellStyle name="Normal 3 4 3 12 6 2" xfId="33253" xr:uid="{00000000-0005-0000-0000-0000476C0000}"/>
    <cellStyle name="Normal 3 4 3 12 7" xfId="15768" xr:uid="{00000000-0005-0000-0000-0000486C0000}"/>
    <cellStyle name="Normal 3 4 3 12 7 2" xfId="33254" xr:uid="{00000000-0005-0000-0000-0000496C0000}"/>
    <cellStyle name="Normal 3 4 3 12 8" xfId="15769" xr:uid="{00000000-0005-0000-0000-00004A6C0000}"/>
    <cellStyle name="Normal 3 4 3 12 8 2" xfId="33255" xr:uid="{00000000-0005-0000-0000-00004B6C0000}"/>
    <cellStyle name="Normal 3 4 3 12 9" xfId="15770" xr:uid="{00000000-0005-0000-0000-00004C6C0000}"/>
    <cellStyle name="Normal 3 4 3 12 9 2" xfId="33256" xr:uid="{00000000-0005-0000-0000-00004D6C0000}"/>
    <cellStyle name="Normal 3 4 3 13" xfId="15771" xr:uid="{00000000-0005-0000-0000-00004E6C0000}"/>
    <cellStyle name="Normal 3 4 3 13 10" xfId="15772" xr:uid="{00000000-0005-0000-0000-00004F6C0000}"/>
    <cellStyle name="Normal 3 4 3 13 10 2" xfId="33258" xr:uid="{00000000-0005-0000-0000-0000506C0000}"/>
    <cellStyle name="Normal 3 4 3 13 11" xfId="15773" xr:uid="{00000000-0005-0000-0000-0000516C0000}"/>
    <cellStyle name="Normal 3 4 3 13 11 2" xfId="33259" xr:uid="{00000000-0005-0000-0000-0000526C0000}"/>
    <cellStyle name="Normal 3 4 3 13 12" xfId="15774" xr:uid="{00000000-0005-0000-0000-0000536C0000}"/>
    <cellStyle name="Normal 3 4 3 13 12 2" xfId="33260" xr:uid="{00000000-0005-0000-0000-0000546C0000}"/>
    <cellStyle name="Normal 3 4 3 13 13" xfId="15775" xr:uid="{00000000-0005-0000-0000-0000556C0000}"/>
    <cellStyle name="Normal 3 4 3 13 13 2" xfId="33261" xr:uid="{00000000-0005-0000-0000-0000566C0000}"/>
    <cellStyle name="Normal 3 4 3 13 14" xfId="15776" xr:uid="{00000000-0005-0000-0000-0000576C0000}"/>
    <cellStyle name="Normal 3 4 3 13 14 2" xfId="33262" xr:uid="{00000000-0005-0000-0000-0000586C0000}"/>
    <cellStyle name="Normal 3 4 3 13 15" xfId="33257" xr:uid="{00000000-0005-0000-0000-0000596C0000}"/>
    <cellStyle name="Normal 3 4 3 13 2" xfId="15777" xr:uid="{00000000-0005-0000-0000-00005A6C0000}"/>
    <cellStyle name="Normal 3 4 3 13 2 2" xfId="33263" xr:uid="{00000000-0005-0000-0000-00005B6C0000}"/>
    <cellStyle name="Normal 3 4 3 13 3" xfId="15778" xr:uid="{00000000-0005-0000-0000-00005C6C0000}"/>
    <cellStyle name="Normal 3 4 3 13 3 2" xfId="33264" xr:uid="{00000000-0005-0000-0000-00005D6C0000}"/>
    <cellStyle name="Normal 3 4 3 13 4" xfId="15779" xr:uid="{00000000-0005-0000-0000-00005E6C0000}"/>
    <cellStyle name="Normal 3 4 3 13 4 2" xfId="33265" xr:uid="{00000000-0005-0000-0000-00005F6C0000}"/>
    <cellStyle name="Normal 3 4 3 13 5" xfId="15780" xr:uid="{00000000-0005-0000-0000-0000606C0000}"/>
    <cellStyle name="Normal 3 4 3 13 5 2" xfId="33266" xr:uid="{00000000-0005-0000-0000-0000616C0000}"/>
    <cellStyle name="Normal 3 4 3 13 6" xfId="15781" xr:uid="{00000000-0005-0000-0000-0000626C0000}"/>
    <cellStyle name="Normal 3 4 3 13 6 2" xfId="33267" xr:uid="{00000000-0005-0000-0000-0000636C0000}"/>
    <cellStyle name="Normal 3 4 3 13 7" xfId="15782" xr:uid="{00000000-0005-0000-0000-0000646C0000}"/>
    <cellStyle name="Normal 3 4 3 13 7 2" xfId="33268" xr:uid="{00000000-0005-0000-0000-0000656C0000}"/>
    <cellStyle name="Normal 3 4 3 13 8" xfId="15783" xr:uid="{00000000-0005-0000-0000-0000666C0000}"/>
    <cellStyle name="Normal 3 4 3 13 8 2" xfId="33269" xr:uid="{00000000-0005-0000-0000-0000676C0000}"/>
    <cellStyle name="Normal 3 4 3 13 9" xfId="15784" xr:uid="{00000000-0005-0000-0000-0000686C0000}"/>
    <cellStyle name="Normal 3 4 3 13 9 2" xfId="33270" xr:uid="{00000000-0005-0000-0000-0000696C0000}"/>
    <cellStyle name="Normal 3 4 3 14" xfId="15785" xr:uid="{00000000-0005-0000-0000-00006A6C0000}"/>
    <cellStyle name="Normal 3 4 3 14 10" xfId="15786" xr:uid="{00000000-0005-0000-0000-00006B6C0000}"/>
    <cellStyle name="Normal 3 4 3 14 10 2" xfId="33272" xr:uid="{00000000-0005-0000-0000-00006C6C0000}"/>
    <cellStyle name="Normal 3 4 3 14 11" xfId="15787" xr:uid="{00000000-0005-0000-0000-00006D6C0000}"/>
    <cellStyle name="Normal 3 4 3 14 11 2" xfId="33273" xr:uid="{00000000-0005-0000-0000-00006E6C0000}"/>
    <cellStyle name="Normal 3 4 3 14 12" xfId="15788" xr:uid="{00000000-0005-0000-0000-00006F6C0000}"/>
    <cellStyle name="Normal 3 4 3 14 12 2" xfId="33274" xr:uid="{00000000-0005-0000-0000-0000706C0000}"/>
    <cellStyle name="Normal 3 4 3 14 13" xfId="15789" xr:uid="{00000000-0005-0000-0000-0000716C0000}"/>
    <cellStyle name="Normal 3 4 3 14 13 2" xfId="33275" xr:uid="{00000000-0005-0000-0000-0000726C0000}"/>
    <cellStyle name="Normal 3 4 3 14 14" xfId="15790" xr:uid="{00000000-0005-0000-0000-0000736C0000}"/>
    <cellStyle name="Normal 3 4 3 14 14 2" xfId="33276" xr:uid="{00000000-0005-0000-0000-0000746C0000}"/>
    <cellStyle name="Normal 3 4 3 14 15" xfId="33271" xr:uid="{00000000-0005-0000-0000-0000756C0000}"/>
    <cellStyle name="Normal 3 4 3 14 2" xfId="15791" xr:uid="{00000000-0005-0000-0000-0000766C0000}"/>
    <cellStyle name="Normal 3 4 3 14 2 2" xfId="33277" xr:uid="{00000000-0005-0000-0000-0000776C0000}"/>
    <cellStyle name="Normal 3 4 3 14 3" xfId="15792" xr:uid="{00000000-0005-0000-0000-0000786C0000}"/>
    <cellStyle name="Normal 3 4 3 14 3 2" xfId="33278" xr:uid="{00000000-0005-0000-0000-0000796C0000}"/>
    <cellStyle name="Normal 3 4 3 14 4" xfId="15793" xr:uid="{00000000-0005-0000-0000-00007A6C0000}"/>
    <cellStyle name="Normal 3 4 3 14 4 2" xfId="33279" xr:uid="{00000000-0005-0000-0000-00007B6C0000}"/>
    <cellStyle name="Normal 3 4 3 14 5" xfId="15794" xr:uid="{00000000-0005-0000-0000-00007C6C0000}"/>
    <cellStyle name="Normal 3 4 3 14 5 2" xfId="33280" xr:uid="{00000000-0005-0000-0000-00007D6C0000}"/>
    <cellStyle name="Normal 3 4 3 14 6" xfId="15795" xr:uid="{00000000-0005-0000-0000-00007E6C0000}"/>
    <cellStyle name="Normal 3 4 3 14 6 2" xfId="33281" xr:uid="{00000000-0005-0000-0000-00007F6C0000}"/>
    <cellStyle name="Normal 3 4 3 14 7" xfId="15796" xr:uid="{00000000-0005-0000-0000-0000806C0000}"/>
    <cellStyle name="Normal 3 4 3 14 7 2" xfId="33282" xr:uid="{00000000-0005-0000-0000-0000816C0000}"/>
    <cellStyle name="Normal 3 4 3 14 8" xfId="15797" xr:uid="{00000000-0005-0000-0000-0000826C0000}"/>
    <cellStyle name="Normal 3 4 3 14 8 2" xfId="33283" xr:uid="{00000000-0005-0000-0000-0000836C0000}"/>
    <cellStyle name="Normal 3 4 3 14 9" xfId="15798" xr:uid="{00000000-0005-0000-0000-0000846C0000}"/>
    <cellStyle name="Normal 3 4 3 14 9 2" xfId="33284" xr:uid="{00000000-0005-0000-0000-0000856C0000}"/>
    <cellStyle name="Normal 3 4 3 15" xfId="15799" xr:uid="{00000000-0005-0000-0000-0000866C0000}"/>
    <cellStyle name="Normal 3 4 3 15 2" xfId="33285" xr:uid="{00000000-0005-0000-0000-0000876C0000}"/>
    <cellStyle name="Normal 3 4 3 16" xfId="15800" xr:uid="{00000000-0005-0000-0000-0000886C0000}"/>
    <cellStyle name="Normal 3 4 3 16 2" xfId="33286" xr:uid="{00000000-0005-0000-0000-0000896C0000}"/>
    <cellStyle name="Normal 3 4 3 17" xfId="15801" xr:uid="{00000000-0005-0000-0000-00008A6C0000}"/>
    <cellStyle name="Normal 3 4 3 17 2" xfId="33287" xr:uid="{00000000-0005-0000-0000-00008B6C0000}"/>
    <cellStyle name="Normal 3 4 3 18" xfId="15802" xr:uid="{00000000-0005-0000-0000-00008C6C0000}"/>
    <cellStyle name="Normal 3 4 3 18 2" xfId="33288" xr:uid="{00000000-0005-0000-0000-00008D6C0000}"/>
    <cellStyle name="Normal 3 4 3 19" xfId="15803" xr:uid="{00000000-0005-0000-0000-00008E6C0000}"/>
    <cellStyle name="Normal 3 4 3 19 2" xfId="33289" xr:uid="{00000000-0005-0000-0000-00008F6C0000}"/>
    <cellStyle name="Normal 3 4 3 2" xfId="15804" xr:uid="{00000000-0005-0000-0000-0000906C0000}"/>
    <cellStyle name="Normal 3 4 3 20" xfId="15805" xr:uid="{00000000-0005-0000-0000-0000916C0000}"/>
    <cellStyle name="Normal 3 4 3 20 2" xfId="33290" xr:uid="{00000000-0005-0000-0000-0000926C0000}"/>
    <cellStyle name="Normal 3 4 3 21" xfId="15806" xr:uid="{00000000-0005-0000-0000-0000936C0000}"/>
    <cellStyle name="Normal 3 4 3 21 2" xfId="33291" xr:uid="{00000000-0005-0000-0000-0000946C0000}"/>
    <cellStyle name="Normal 3 4 3 22" xfId="15807" xr:uid="{00000000-0005-0000-0000-0000956C0000}"/>
    <cellStyle name="Normal 3 4 3 22 2" xfId="33292" xr:uid="{00000000-0005-0000-0000-0000966C0000}"/>
    <cellStyle name="Normal 3 4 3 23" xfId="15808" xr:uid="{00000000-0005-0000-0000-0000976C0000}"/>
    <cellStyle name="Normal 3 4 3 23 2" xfId="33293" xr:uid="{00000000-0005-0000-0000-0000986C0000}"/>
    <cellStyle name="Normal 3 4 3 24" xfId="15809" xr:uid="{00000000-0005-0000-0000-0000996C0000}"/>
    <cellStyle name="Normal 3 4 3 24 2" xfId="33294" xr:uid="{00000000-0005-0000-0000-00009A6C0000}"/>
    <cellStyle name="Normal 3 4 3 25" xfId="15810" xr:uid="{00000000-0005-0000-0000-00009B6C0000}"/>
    <cellStyle name="Normal 3 4 3 25 2" xfId="33295" xr:uid="{00000000-0005-0000-0000-00009C6C0000}"/>
    <cellStyle name="Normal 3 4 3 26" xfId="15811" xr:uid="{00000000-0005-0000-0000-00009D6C0000}"/>
    <cellStyle name="Normal 3 4 3 26 2" xfId="33296" xr:uid="{00000000-0005-0000-0000-00009E6C0000}"/>
    <cellStyle name="Normal 3 4 3 27" xfId="15812" xr:uid="{00000000-0005-0000-0000-00009F6C0000}"/>
    <cellStyle name="Normal 3 4 3 27 2" xfId="33297" xr:uid="{00000000-0005-0000-0000-0000A06C0000}"/>
    <cellStyle name="Normal 3 4 3 28" xfId="33214" xr:uid="{00000000-0005-0000-0000-0000A16C0000}"/>
    <cellStyle name="Normal 3 4 3 3" xfId="15813" xr:uid="{00000000-0005-0000-0000-0000A26C0000}"/>
    <cellStyle name="Normal 3 4 3 4" xfId="15814" xr:uid="{00000000-0005-0000-0000-0000A36C0000}"/>
    <cellStyle name="Normal 3 4 3 5" xfId="15815" xr:uid="{00000000-0005-0000-0000-0000A46C0000}"/>
    <cellStyle name="Normal 3 4 3 6" xfId="15816" xr:uid="{00000000-0005-0000-0000-0000A56C0000}"/>
    <cellStyle name="Normal 3 4 3 6 10" xfId="15817" xr:uid="{00000000-0005-0000-0000-0000A66C0000}"/>
    <cellStyle name="Normal 3 4 3 6 10 2" xfId="33299" xr:uid="{00000000-0005-0000-0000-0000A76C0000}"/>
    <cellStyle name="Normal 3 4 3 6 11" xfId="15818" xr:uid="{00000000-0005-0000-0000-0000A86C0000}"/>
    <cellStyle name="Normal 3 4 3 6 11 2" xfId="33300" xr:uid="{00000000-0005-0000-0000-0000A96C0000}"/>
    <cellStyle name="Normal 3 4 3 6 12" xfId="15819" xr:uid="{00000000-0005-0000-0000-0000AA6C0000}"/>
    <cellStyle name="Normal 3 4 3 6 12 2" xfId="33301" xr:uid="{00000000-0005-0000-0000-0000AB6C0000}"/>
    <cellStyle name="Normal 3 4 3 6 13" xfId="15820" xr:uid="{00000000-0005-0000-0000-0000AC6C0000}"/>
    <cellStyle name="Normal 3 4 3 6 13 2" xfId="33302" xr:uid="{00000000-0005-0000-0000-0000AD6C0000}"/>
    <cellStyle name="Normal 3 4 3 6 14" xfId="15821" xr:uid="{00000000-0005-0000-0000-0000AE6C0000}"/>
    <cellStyle name="Normal 3 4 3 6 14 2" xfId="33303" xr:uid="{00000000-0005-0000-0000-0000AF6C0000}"/>
    <cellStyle name="Normal 3 4 3 6 15" xfId="15822" xr:uid="{00000000-0005-0000-0000-0000B06C0000}"/>
    <cellStyle name="Normal 3 4 3 6 15 2" xfId="33304" xr:uid="{00000000-0005-0000-0000-0000B16C0000}"/>
    <cellStyle name="Normal 3 4 3 6 16" xfId="33298" xr:uid="{00000000-0005-0000-0000-0000B26C0000}"/>
    <cellStyle name="Normal 3 4 3 6 2" xfId="15823" xr:uid="{00000000-0005-0000-0000-0000B36C0000}"/>
    <cellStyle name="Normal 3 4 3 6 2 10" xfId="15824" xr:uid="{00000000-0005-0000-0000-0000B46C0000}"/>
    <cellStyle name="Normal 3 4 3 6 2 10 2" xfId="33306" xr:uid="{00000000-0005-0000-0000-0000B56C0000}"/>
    <cellStyle name="Normal 3 4 3 6 2 11" xfId="15825" xr:uid="{00000000-0005-0000-0000-0000B66C0000}"/>
    <cellStyle name="Normal 3 4 3 6 2 11 2" xfId="33307" xr:uid="{00000000-0005-0000-0000-0000B76C0000}"/>
    <cellStyle name="Normal 3 4 3 6 2 12" xfId="15826" xr:uid="{00000000-0005-0000-0000-0000B86C0000}"/>
    <cellStyle name="Normal 3 4 3 6 2 12 2" xfId="33308" xr:uid="{00000000-0005-0000-0000-0000B96C0000}"/>
    <cellStyle name="Normal 3 4 3 6 2 13" xfId="15827" xr:uid="{00000000-0005-0000-0000-0000BA6C0000}"/>
    <cellStyle name="Normal 3 4 3 6 2 13 2" xfId="33309" xr:uid="{00000000-0005-0000-0000-0000BB6C0000}"/>
    <cellStyle name="Normal 3 4 3 6 2 14" xfId="15828" xr:uid="{00000000-0005-0000-0000-0000BC6C0000}"/>
    <cellStyle name="Normal 3 4 3 6 2 14 2" xfId="33310" xr:uid="{00000000-0005-0000-0000-0000BD6C0000}"/>
    <cellStyle name="Normal 3 4 3 6 2 15" xfId="33305" xr:uid="{00000000-0005-0000-0000-0000BE6C0000}"/>
    <cellStyle name="Normal 3 4 3 6 2 2" xfId="15829" xr:uid="{00000000-0005-0000-0000-0000BF6C0000}"/>
    <cellStyle name="Normal 3 4 3 6 2 2 2" xfId="33311" xr:uid="{00000000-0005-0000-0000-0000C06C0000}"/>
    <cellStyle name="Normal 3 4 3 6 2 3" xfId="15830" xr:uid="{00000000-0005-0000-0000-0000C16C0000}"/>
    <cellStyle name="Normal 3 4 3 6 2 3 2" xfId="33312" xr:uid="{00000000-0005-0000-0000-0000C26C0000}"/>
    <cellStyle name="Normal 3 4 3 6 2 4" xfId="15831" xr:uid="{00000000-0005-0000-0000-0000C36C0000}"/>
    <cellStyle name="Normal 3 4 3 6 2 4 2" xfId="33313" xr:uid="{00000000-0005-0000-0000-0000C46C0000}"/>
    <cellStyle name="Normal 3 4 3 6 2 5" xfId="15832" xr:uid="{00000000-0005-0000-0000-0000C56C0000}"/>
    <cellStyle name="Normal 3 4 3 6 2 5 2" xfId="33314" xr:uid="{00000000-0005-0000-0000-0000C66C0000}"/>
    <cellStyle name="Normal 3 4 3 6 2 6" xfId="15833" xr:uid="{00000000-0005-0000-0000-0000C76C0000}"/>
    <cellStyle name="Normal 3 4 3 6 2 6 2" xfId="33315" xr:uid="{00000000-0005-0000-0000-0000C86C0000}"/>
    <cellStyle name="Normal 3 4 3 6 2 7" xfId="15834" xr:uid="{00000000-0005-0000-0000-0000C96C0000}"/>
    <cellStyle name="Normal 3 4 3 6 2 7 2" xfId="33316" xr:uid="{00000000-0005-0000-0000-0000CA6C0000}"/>
    <cellStyle name="Normal 3 4 3 6 2 8" xfId="15835" xr:uid="{00000000-0005-0000-0000-0000CB6C0000}"/>
    <cellStyle name="Normal 3 4 3 6 2 8 2" xfId="33317" xr:uid="{00000000-0005-0000-0000-0000CC6C0000}"/>
    <cellStyle name="Normal 3 4 3 6 2 9" xfId="15836" xr:uid="{00000000-0005-0000-0000-0000CD6C0000}"/>
    <cellStyle name="Normal 3 4 3 6 2 9 2" xfId="33318" xr:uid="{00000000-0005-0000-0000-0000CE6C0000}"/>
    <cellStyle name="Normal 3 4 3 6 3" xfId="15837" xr:uid="{00000000-0005-0000-0000-0000CF6C0000}"/>
    <cellStyle name="Normal 3 4 3 6 3 2" xfId="33319" xr:uid="{00000000-0005-0000-0000-0000D06C0000}"/>
    <cellStyle name="Normal 3 4 3 6 4" xfId="15838" xr:uid="{00000000-0005-0000-0000-0000D16C0000}"/>
    <cellStyle name="Normal 3 4 3 6 4 2" xfId="33320" xr:uid="{00000000-0005-0000-0000-0000D26C0000}"/>
    <cellStyle name="Normal 3 4 3 6 5" xfId="15839" xr:uid="{00000000-0005-0000-0000-0000D36C0000}"/>
    <cellStyle name="Normal 3 4 3 6 5 2" xfId="33321" xr:uid="{00000000-0005-0000-0000-0000D46C0000}"/>
    <cellStyle name="Normal 3 4 3 6 6" xfId="15840" xr:uid="{00000000-0005-0000-0000-0000D56C0000}"/>
    <cellStyle name="Normal 3 4 3 6 6 2" xfId="33322" xr:uid="{00000000-0005-0000-0000-0000D66C0000}"/>
    <cellStyle name="Normal 3 4 3 6 7" xfId="15841" xr:uid="{00000000-0005-0000-0000-0000D76C0000}"/>
    <cellStyle name="Normal 3 4 3 6 7 2" xfId="33323" xr:uid="{00000000-0005-0000-0000-0000D86C0000}"/>
    <cellStyle name="Normal 3 4 3 6 8" xfId="15842" xr:uid="{00000000-0005-0000-0000-0000D96C0000}"/>
    <cellStyle name="Normal 3 4 3 6 8 2" xfId="33324" xr:uid="{00000000-0005-0000-0000-0000DA6C0000}"/>
    <cellStyle name="Normal 3 4 3 6 9" xfId="15843" xr:uid="{00000000-0005-0000-0000-0000DB6C0000}"/>
    <cellStyle name="Normal 3 4 3 6 9 2" xfId="33325" xr:uid="{00000000-0005-0000-0000-0000DC6C0000}"/>
    <cellStyle name="Normal 3 4 3 7" xfId="15844" xr:uid="{00000000-0005-0000-0000-0000DD6C0000}"/>
    <cellStyle name="Normal 3 4 3 7 10" xfId="15845" xr:uid="{00000000-0005-0000-0000-0000DE6C0000}"/>
    <cellStyle name="Normal 3 4 3 7 10 2" xfId="33327" xr:uid="{00000000-0005-0000-0000-0000DF6C0000}"/>
    <cellStyle name="Normal 3 4 3 7 11" xfId="15846" xr:uid="{00000000-0005-0000-0000-0000E06C0000}"/>
    <cellStyle name="Normal 3 4 3 7 11 2" xfId="33328" xr:uid="{00000000-0005-0000-0000-0000E16C0000}"/>
    <cellStyle name="Normal 3 4 3 7 12" xfId="15847" xr:uid="{00000000-0005-0000-0000-0000E26C0000}"/>
    <cellStyle name="Normal 3 4 3 7 12 2" xfId="33329" xr:uid="{00000000-0005-0000-0000-0000E36C0000}"/>
    <cellStyle name="Normal 3 4 3 7 13" xfId="15848" xr:uid="{00000000-0005-0000-0000-0000E46C0000}"/>
    <cellStyle name="Normal 3 4 3 7 13 2" xfId="33330" xr:uid="{00000000-0005-0000-0000-0000E56C0000}"/>
    <cellStyle name="Normal 3 4 3 7 14" xfId="15849" xr:uid="{00000000-0005-0000-0000-0000E66C0000}"/>
    <cellStyle name="Normal 3 4 3 7 14 2" xfId="33331" xr:uid="{00000000-0005-0000-0000-0000E76C0000}"/>
    <cellStyle name="Normal 3 4 3 7 15" xfId="15850" xr:uid="{00000000-0005-0000-0000-0000E86C0000}"/>
    <cellStyle name="Normal 3 4 3 7 15 2" xfId="33332" xr:uid="{00000000-0005-0000-0000-0000E96C0000}"/>
    <cellStyle name="Normal 3 4 3 7 16" xfId="33326" xr:uid="{00000000-0005-0000-0000-0000EA6C0000}"/>
    <cellStyle name="Normal 3 4 3 7 2" xfId="15851" xr:uid="{00000000-0005-0000-0000-0000EB6C0000}"/>
    <cellStyle name="Normal 3 4 3 7 2 10" xfId="15852" xr:uid="{00000000-0005-0000-0000-0000EC6C0000}"/>
    <cellStyle name="Normal 3 4 3 7 2 10 2" xfId="33334" xr:uid="{00000000-0005-0000-0000-0000ED6C0000}"/>
    <cellStyle name="Normal 3 4 3 7 2 11" xfId="15853" xr:uid="{00000000-0005-0000-0000-0000EE6C0000}"/>
    <cellStyle name="Normal 3 4 3 7 2 11 2" xfId="33335" xr:uid="{00000000-0005-0000-0000-0000EF6C0000}"/>
    <cellStyle name="Normal 3 4 3 7 2 12" xfId="15854" xr:uid="{00000000-0005-0000-0000-0000F06C0000}"/>
    <cellStyle name="Normal 3 4 3 7 2 12 2" xfId="33336" xr:uid="{00000000-0005-0000-0000-0000F16C0000}"/>
    <cellStyle name="Normal 3 4 3 7 2 13" xfId="15855" xr:uid="{00000000-0005-0000-0000-0000F26C0000}"/>
    <cellStyle name="Normal 3 4 3 7 2 13 2" xfId="33337" xr:uid="{00000000-0005-0000-0000-0000F36C0000}"/>
    <cellStyle name="Normal 3 4 3 7 2 14" xfId="15856" xr:uid="{00000000-0005-0000-0000-0000F46C0000}"/>
    <cellStyle name="Normal 3 4 3 7 2 14 2" xfId="33338" xr:uid="{00000000-0005-0000-0000-0000F56C0000}"/>
    <cellStyle name="Normal 3 4 3 7 2 15" xfId="33333" xr:uid="{00000000-0005-0000-0000-0000F66C0000}"/>
    <cellStyle name="Normal 3 4 3 7 2 2" xfId="15857" xr:uid="{00000000-0005-0000-0000-0000F76C0000}"/>
    <cellStyle name="Normal 3 4 3 7 2 2 2" xfId="33339" xr:uid="{00000000-0005-0000-0000-0000F86C0000}"/>
    <cellStyle name="Normal 3 4 3 7 2 3" xfId="15858" xr:uid="{00000000-0005-0000-0000-0000F96C0000}"/>
    <cellStyle name="Normal 3 4 3 7 2 3 2" xfId="33340" xr:uid="{00000000-0005-0000-0000-0000FA6C0000}"/>
    <cellStyle name="Normal 3 4 3 7 2 4" xfId="15859" xr:uid="{00000000-0005-0000-0000-0000FB6C0000}"/>
    <cellStyle name="Normal 3 4 3 7 2 4 2" xfId="33341" xr:uid="{00000000-0005-0000-0000-0000FC6C0000}"/>
    <cellStyle name="Normal 3 4 3 7 2 5" xfId="15860" xr:uid="{00000000-0005-0000-0000-0000FD6C0000}"/>
    <cellStyle name="Normal 3 4 3 7 2 5 2" xfId="33342" xr:uid="{00000000-0005-0000-0000-0000FE6C0000}"/>
    <cellStyle name="Normal 3 4 3 7 2 6" xfId="15861" xr:uid="{00000000-0005-0000-0000-0000FF6C0000}"/>
    <cellStyle name="Normal 3 4 3 7 2 6 2" xfId="33343" xr:uid="{00000000-0005-0000-0000-0000006D0000}"/>
    <cellStyle name="Normal 3 4 3 7 2 7" xfId="15862" xr:uid="{00000000-0005-0000-0000-0000016D0000}"/>
    <cellStyle name="Normal 3 4 3 7 2 7 2" xfId="33344" xr:uid="{00000000-0005-0000-0000-0000026D0000}"/>
    <cellStyle name="Normal 3 4 3 7 2 8" xfId="15863" xr:uid="{00000000-0005-0000-0000-0000036D0000}"/>
    <cellStyle name="Normal 3 4 3 7 2 8 2" xfId="33345" xr:uid="{00000000-0005-0000-0000-0000046D0000}"/>
    <cellStyle name="Normal 3 4 3 7 2 9" xfId="15864" xr:uid="{00000000-0005-0000-0000-0000056D0000}"/>
    <cellStyle name="Normal 3 4 3 7 2 9 2" xfId="33346" xr:uid="{00000000-0005-0000-0000-0000066D0000}"/>
    <cellStyle name="Normal 3 4 3 7 3" xfId="15865" xr:uid="{00000000-0005-0000-0000-0000076D0000}"/>
    <cellStyle name="Normal 3 4 3 7 3 2" xfId="33347" xr:uid="{00000000-0005-0000-0000-0000086D0000}"/>
    <cellStyle name="Normal 3 4 3 7 4" xfId="15866" xr:uid="{00000000-0005-0000-0000-0000096D0000}"/>
    <cellStyle name="Normal 3 4 3 7 4 2" xfId="33348" xr:uid="{00000000-0005-0000-0000-00000A6D0000}"/>
    <cellStyle name="Normal 3 4 3 7 5" xfId="15867" xr:uid="{00000000-0005-0000-0000-00000B6D0000}"/>
    <cellStyle name="Normal 3 4 3 7 5 2" xfId="33349" xr:uid="{00000000-0005-0000-0000-00000C6D0000}"/>
    <cellStyle name="Normal 3 4 3 7 6" xfId="15868" xr:uid="{00000000-0005-0000-0000-00000D6D0000}"/>
    <cellStyle name="Normal 3 4 3 7 6 2" xfId="33350" xr:uid="{00000000-0005-0000-0000-00000E6D0000}"/>
    <cellStyle name="Normal 3 4 3 7 7" xfId="15869" xr:uid="{00000000-0005-0000-0000-00000F6D0000}"/>
    <cellStyle name="Normal 3 4 3 7 7 2" xfId="33351" xr:uid="{00000000-0005-0000-0000-0000106D0000}"/>
    <cellStyle name="Normal 3 4 3 7 8" xfId="15870" xr:uid="{00000000-0005-0000-0000-0000116D0000}"/>
    <cellStyle name="Normal 3 4 3 7 8 2" xfId="33352" xr:uid="{00000000-0005-0000-0000-0000126D0000}"/>
    <cellStyle name="Normal 3 4 3 7 9" xfId="15871" xr:uid="{00000000-0005-0000-0000-0000136D0000}"/>
    <cellStyle name="Normal 3 4 3 7 9 2" xfId="33353" xr:uid="{00000000-0005-0000-0000-0000146D0000}"/>
    <cellStyle name="Normal 3 4 3 8" xfId="15872" xr:uid="{00000000-0005-0000-0000-0000156D0000}"/>
    <cellStyle name="Normal 3 4 3 8 10" xfId="15873" xr:uid="{00000000-0005-0000-0000-0000166D0000}"/>
    <cellStyle name="Normal 3 4 3 8 10 2" xfId="33355" xr:uid="{00000000-0005-0000-0000-0000176D0000}"/>
    <cellStyle name="Normal 3 4 3 8 11" xfId="15874" xr:uid="{00000000-0005-0000-0000-0000186D0000}"/>
    <cellStyle name="Normal 3 4 3 8 11 2" xfId="33356" xr:uid="{00000000-0005-0000-0000-0000196D0000}"/>
    <cellStyle name="Normal 3 4 3 8 12" xfId="15875" xr:uid="{00000000-0005-0000-0000-00001A6D0000}"/>
    <cellStyle name="Normal 3 4 3 8 12 2" xfId="33357" xr:uid="{00000000-0005-0000-0000-00001B6D0000}"/>
    <cellStyle name="Normal 3 4 3 8 13" xfId="15876" xr:uid="{00000000-0005-0000-0000-00001C6D0000}"/>
    <cellStyle name="Normal 3 4 3 8 13 2" xfId="33358" xr:uid="{00000000-0005-0000-0000-00001D6D0000}"/>
    <cellStyle name="Normal 3 4 3 8 14" xfId="15877" xr:uid="{00000000-0005-0000-0000-00001E6D0000}"/>
    <cellStyle name="Normal 3 4 3 8 14 2" xfId="33359" xr:uid="{00000000-0005-0000-0000-00001F6D0000}"/>
    <cellStyle name="Normal 3 4 3 8 15" xfId="15878" xr:uid="{00000000-0005-0000-0000-0000206D0000}"/>
    <cellStyle name="Normal 3 4 3 8 15 2" xfId="33360" xr:uid="{00000000-0005-0000-0000-0000216D0000}"/>
    <cellStyle name="Normal 3 4 3 8 16" xfId="33354" xr:uid="{00000000-0005-0000-0000-0000226D0000}"/>
    <cellStyle name="Normal 3 4 3 8 2" xfId="15879" xr:uid="{00000000-0005-0000-0000-0000236D0000}"/>
    <cellStyle name="Normal 3 4 3 8 2 10" xfId="15880" xr:uid="{00000000-0005-0000-0000-0000246D0000}"/>
    <cellStyle name="Normal 3 4 3 8 2 10 2" xfId="33362" xr:uid="{00000000-0005-0000-0000-0000256D0000}"/>
    <cellStyle name="Normal 3 4 3 8 2 11" xfId="15881" xr:uid="{00000000-0005-0000-0000-0000266D0000}"/>
    <cellStyle name="Normal 3 4 3 8 2 11 2" xfId="33363" xr:uid="{00000000-0005-0000-0000-0000276D0000}"/>
    <cellStyle name="Normal 3 4 3 8 2 12" xfId="15882" xr:uid="{00000000-0005-0000-0000-0000286D0000}"/>
    <cellStyle name="Normal 3 4 3 8 2 12 2" xfId="33364" xr:uid="{00000000-0005-0000-0000-0000296D0000}"/>
    <cellStyle name="Normal 3 4 3 8 2 13" xfId="15883" xr:uid="{00000000-0005-0000-0000-00002A6D0000}"/>
    <cellStyle name="Normal 3 4 3 8 2 13 2" xfId="33365" xr:uid="{00000000-0005-0000-0000-00002B6D0000}"/>
    <cellStyle name="Normal 3 4 3 8 2 14" xfId="15884" xr:uid="{00000000-0005-0000-0000-00002C6D0000}"/>
    <cellStyle name="Normal 3 4 3 8 2 14 2" xfId="33366" xr:uid="{00000000-0005-0000-0000-00002D6D0000}"/>
    <cellStyle name="Normal 3 4 3 8 2 15" xfId="33361" xr:uid="{00000000-0005-0000-0000-00002E6D0000}"/>
    <cellStyle name="Normal 3 4 3 8 2 2" xfId="15885" xr:uid="{00000000-0005-0000-0000-00002F6D0000}"/>
    <cellStyle name="Normal 3 4 3 8 2 2 2" xfId="33367" xr:uid="{00000000-0005-0000-0000-0000306D0000}"/>
    <cellStyle name="Normal 3 4 3 8 2 3" xfId="15886" xr:uid="{00000000-0005-0000-0000-0000316D0000}"/>
    <cellStyle name="Normal 3 4 3 8 2 3 2" xfId="33368" xr:uid="{00000000-0005-0000-0000-0000326D0000}"/>
    <cellStyle name="Normal 3 4 3 8 2 4" xfId="15887" xr:uid="{00000000-0005-0000-0000-0000336D0000}"/>
    <cellStyle name="Normal 3 4 3 8 2 4 2" xfId="33369" xr:uid="{00000000-0005-0000-0000-0000346D0000}"/>
    <cellStyle name="Normal 3 4 3 8 2 5" xfId="15888" xr:uid="{00000000-0005-0000-0000-0000356D0000}"/>
    <cellStyle name="Normal 3 4 3 8 2 5 2" xfId="33370" xr:uid="{00000000-0005-0000-0000-0000366D0000}"/>
    <cellStyle name="Normal 3 4 3 8 2 6" xfId="15889" xr:uid="{00000000-0005-0000-0000-0000376D0000}"/>
    <cellStyle name="Normal 3 4 3 8 2 6 2" xfId="33371" xr:uid="{00000000-0005-0000-0000-0000386D0000}"/>
    <cellStyle name="Normal 3 4 3 8 2 7" xfId="15890" xr:uid="{00000000-0005-0000-0000-0000396D0000}"/>
    <cellStyle name="Normal 3 4 3 8 2 7 2" xfId="33372" xr:uid="{00000000-0005-0000-0000-00003A6D0000}"/>
    <cellStyle name="Normal 3 4 3 8 2 8" xfId="15891" xr:uid="{00000000-0005-0000-0000-00003B6D0000}"/>
    <cellStyle name="Normal 3 4 3 8 2 8 2" xfId="33373" xr:uid="{00000000-0005-0000-0000-00003C6D0000}"/>
    <cellStyle name="Normal 3 4 3 8 2 9" xfId="15892" xr:uid="{00000000-0005-0000-0000-00003D6D0000}"/>
    <cellStyle name="Normal 3 4 3 8 2 9 2" xfId="33374" xr:uid="{00000000-0005-0000-0000-00003E6D0000}"/>
    <cellStyle name="Normal 3 4 3 8 3" xfId="15893" xr:uid="{00000000-0005-0000-0000-00003F6D0000}"/>
    <cellStyle name="Normal 3 4 3 8 3 2" xfId="33375" xr:uid="{00000000-0005-0000-0000-0000406D0000}"/>
    <cellStyle name="Normal 3 4 3 8 4" xfId="15894" xr:uid="{00000000-0005-0000-0000-0000416D0000}"/>
    <cellStyle name="Normal 3 4 3 8 4 2" xfId="33376" xr:uid="{00000000-0005-0000-0000-0000426D0000}"/>
    <cellStyle name="Normal 3 4 3 8 5" xfId="15895" xr:uid="{00000000-0005-0000-0000-0000436D0000}"/>
    <cellStyle name="Normal 3 4 3 8 5 2" xfId="33377" xr:uid="{00000000-0005-0000-0000-0000446D0000}"/>
    <cellStyle name="Normal 3 4 3 8 6" xfId="15896" xr:uid="{00000000-0005-0000-0000-0000456D0000}"/>
    <cellStyle name="Normal 3 4 3 8 6 2" xfId="33378" xr:uid="{00000000-0005-0000-0000-0000466D0000}"/>
    <cellStyle name="Normal 3 4 3 8 7" xfId="15897" xr:uid="{00000000-0005-0000-0000-0000476D0000}"/>
    <cellStyle name="Normal 3 4 3 8 7 2" xfId="33379" xr:uid="{00000000-0005-0000-0000-0000486D0000}"/>
    <cellStyle name="Normal 3 4 3 8 8" xfId="15898" xr:uid="{00000000-0005-0000-0000-0000496D0000}"/>
    <cellStyle name="Normal 3 4 3 8 8 2" xfId="33380" xr:uid="{00000000-0005-0000-0000-00004A6D0000}"/>
    <cellStyle name="Normal 3 4 3 8 9" xfId="15899" xr:uid="{00000000-0005-0000-0000-00004B6D0000}"/>
    <cellStyle name="Normal 3 4 3 8 9 2" xfId="33381" xr:uid="{00000000-0005-0000-0000-00004C6D0000}"/>
    <cellStyle name="Normal 3 4 3 9" xfId="15900" xr:uid="{00000000-0005-0000-0000-00004D6D0000}"/>
    <cellStyle name="Normal 3 4 3 9 10" xfId="15901" xr:uid="{00000000-0005-0000-0000-00004E6D0000}"/>
    <cellStyle name="Normal 3 4 3 9 10 2" xfId="33383" xr:uid="{00000000-0005-0000-0000-00004F6D0000}"/>
    <cellStyle name="Normal 3 4 3 9 11" xfId="15902" xr:uid="{00000000-0005-0000-0000-0000506D0000}"/>
    <cellStyle name="Normal 3 4 3 9 11 2" xfId="33384" xr:uid="{00000000-0005-0000-0000-0000516D0000}"/>
    <cellStyle name="Normal 3 4 3 9 12" xfId="15903" xr:uid="{00000000-0005-0000-0000-0000526D0000}"/>
    <cellStyle name="Normal 3 4 3 9 12 2" xfId="33385" xr:uid="{00000000-0005-0000-0000-0000536D0000}"/>
    <cellStyle name="Normal 3 4 3 9 13" xfId="15904" xr:uid="{00000000-0005-0000-0000-0000546D0000}"/>
    <cellStyle name="Normal 3 4 3 9 13 2" xfId="33386" xr:uid="{00000000-0005-0000-0000-0000556D0000}"/>
    <cellStyle name="Normal 3 4 3 9 14" xfId="15905" xr:uid="{00000000-0005-0000-0000-0000566D0000}"/>
    <cellStyle name="Normal 3 4 3 9 14 2" xfId="33387" xr:uid="{00000000-0005-0000-0000-0000576D0000}"/>
    <cellStyle name="Normal 3 4 3 9 15" xfId="33382" xr:uid="{00000000-0005-0000-0000-0000586D0000}"/>
    <cellStyle name="Normal 3 4 3 9 2" xfId="15906" xr:uid="{00000000-0005-0000-0000-0000596D0000}"/>
    <cellStyle name="Normal 3 4 3 9 2 2" xfId="33388" xr:uid="{00000000-0005-0000-0000-00005A6D0000}"/>
    <cellStyle name="Normal 3 4 3 9 3" xfId="15907" xr:uid="{00000000-0005-0000-0000-00005B6D0000}"/>
    <cellStyle name="Normal 3 4 3 9 3 2" xfId="33389" xr:uid="{00000000-0005-0000-0000-00005C6D0000}"/>
    <cellStyle name="Normal 3 4 3 9 4" xfId="15908" xr:uid="{00000000-0005-0000-0000-00005D6D0000}"/>
    <cellStyle name="Normal 3 4 3 9 4 2" xfId="33390" xr:uid="{00000000-0005-0000-0000-00005E6D0000}"/>
    <cellStyle name="Normal 3 4 3 9 5" xfId="15909" xr:uid="{00000000-0005-0000-0000-00005F6D0000}"/>
    <cellStyle name="Normal 3 4 3 9 5 2" xfId="33391" xr:uid="{00000000-0005-0000-0000-0000606D0000}"/>
    <cellStyle name="Normal 3 4 3 9 6" xfId="15910" xr:uid="{00000000-0005-0000-0000-0000616D0000}"/>
    <cellStyle name="Normal 3 4 3 9 6 2" xfId="33392" xr:uid="{00000000-0005-0000-0000-0000626D0000}"/>
    <cellStyle name="Normal 3 4 3 9 7" xfId="15911" xr:uid="{00000000-0005-0000-0000-0000636D0000}"/>
    <cellStyle name="Normal 3 4 3 9 7 2" xfId="33393" xr:uid="{00000000-0005-0000-0000-0000646D0000}"/>
    <cellStyle name="Normal 3 4 3 9 8" xfId="15912" xr:uid="{00000000-0005-0000-0000-0000656D0000}"/>
    <cellStyle name="Normal 3 4 3 9 8 2" xfId="33394" xr:uid="{00000000-0005-0000-0000-0000666D0000}"/>
    <cellStyle name="Normal 3 4 3 9 9" xfId="15913" xr:uid="{00000000-0005-0000-0000-0000676D0000}"/>
    <cellStyle name="Normal 3 4 3 9 9 2" xfId="33395" xr:uid="{00000000-0005-0000-0000-0000686D0000}"/>
    <cellStyle name="Normal 3 4 4" xfId="15914" xr:uid="{00000000-0005-0000-0000-0000696D0000}"/>
    <cellStyle name="Normal 3 4 4 10" xfId="15915" xr:uid="{00000000-0005-0000-0000-00006A6D0000}"/>
    <cellStyle name="Normal 3 4 4 10 10" xfId="15916" xr:uid="{00000000-0005-0000-0000-00006B6D0000}"/>
    <cellStyle name="Normal 3 4 4 10 10 2" xfId="33398" xr:uid="{00000000-0005-0000-0000-00006C6D0000}"/>
    <cellStyle name="Normal 3 4 4 10 11" xfId="15917" xr:uid="{00000000-0005-0000-0000-00006D6D0000}"/>
    <cellStyle name="Normal 3 4 4 10 11 2" xfId="33399" xr:uid="{00000000-0005-0000-0000-00006E6D0000}"/>
    <cellStyle name="Normal 3 4 4 10 12" xfId="15918" xr:uid="{00000000-0005-0000-0000-00006F6D0000}"/>
    <cellStyle name="Normal 3 4 4 10 12 2" xfId="33400" xr:uid="{00000000-0005-0000-0000-0000706D0000}"/>
    <cellStyle name="Normal 3 4 4 10 13" xfId="15919" xr:uid="{00000000-0005-0000-0000-0000716D0000}"/>
    <cellStyle name="Normal 3 4 4 10 13 2" xfId="33401" xr:uid="{00000000-0005-0000-0000-0000726D0000}"/>
    <cellStyle name="Normal 3 4 4 10 14" xfId="15920" xr:uid="{00000000-0005-0000-0000-0000736D0000}"/>
    <cellStyle name="Normal 3 4 4 10 14 2" xfId="33402" xr:uid="{00000000-0005-0000-0000-0000746D0000}"/>
    <cellStyle name="Normal 3 4 4 10 15" xfId="33397" xr:uid="{00000000-0005-0000-0000-0000756D0000}"/>
    <cellStyle name="Normal 3 4 4 10 2" xfId="15921" xr:uid="{00000000-0005-0000-0000-0000766D0000}"/>
    <cellStyle name="Normal 3 4 4 10 2 2" xfId="33403" xr:uid="{00000000-0005-0000-0000-0000776D0000}"/>
    <cellStyle name="Normal 3 4 4 10 3" xfId="15922" xr:uid="{00000000-0005-0000-0000-0000786D0000}"/>
    <cellStyle name="Normal 3 4 4 10 3 2" xfId="33404" xr:uid="{00000000-0005-0000-0000-0000796D0000}"/>
    <cellStyle name="Normal 3 4 4 10 4" xfId="15923" xr:uid="{00000000-0005-0000-0000-00007A6D0000}"/>
    <cellStyle name="Normal 3 4 4 10 4 2" xfId="33405" xr:uid="{00000000-0005-0000-0000-00007B6D0000}"/>
    <cellStyle name="Normal 3 4 4 10 5" xfId="15924" xr:uid="{00000000-0005-0000-0000-00007C6D0000}"/>
    <cellStyle name="Normal 3 4 4 10 5 2" xfId="33406" xr:uid="{00000000-0005-0000-0000-00007D6D0000}"/>
    <cellStyle name="Normal 3 4 4 10 6" xfId="15925" xr:uid="{00000000-0005-0000-0000-00007E6D0000}"/>
    <cellStyle name="Normal 3 4 4 10 6 2" xfId="33407" xr:uid="{00000000-0005-0000-0000-00007F6D0000}"/>
    <cellStyle name="Normal 3 4 4 10 7" xfId="15926" xr:uid="{00000000-0005-0000-0000-0000806D0000}"/>
    <cellStyle name="Normal 3 4 4 10 7 2" xfId="33408" xr:uid="{00000000-0005-0000-0000-0000816D0000}"/>
    <cellStyle name="Normal 3 4 4 10 8" xfId="15927" xr:uid="{00000000-0005-0000-0000-0000826D0000}"/>
    <cellStyle name="Normal 3 4 4 10 8 2" xfId="33409" xr:uid="{00000000-0005-0000-0000-0000836D0000}"/>
    <cellStyle name="Normal 3 4 4 10 9" xfId="15928" xr:uid="{00000000-0005-0000-0000-0000846D0000}"/>
    <cellStyle name="Normal 3 4 4 10 9 2" xfId="33410" xr:uid="{00000000-0005-0000-0000-0000856D0000}"/>
    <cellStyle name="Normal 3 4 4 11" xfId="15929" xr:uid="{00000000-0005-0000-0000-0000866D0000}"/>
    <cellStyle name="Normal 3 4 4 11 10" xfId="15930" xr:uid="{00000000-0005-0000-0000-0000876D0000}"/>
    <cellStyle name="Normal 3 4 4 11 10 2" xfId="33412" xr:uid="{00000000-0005-0000-0000-0000886D0000}"/>
    <cellStyle name="Normal 3 4 4 11 11" xfId="15931" xr:uid="{00000000-0005-0000-0000-0000896D0000}"/>
    <cellStyle name="Normal 3 4 4 11 11 2" xfId="33413" xr:uid="{00000000-0005-0000-0000-00008A6D0000}"/>
    <cellStyle name="Normal 3 4 4 11 12" xfId="15932" xr:uid="{00000000-0005-0000-0000-00008B6D0000}"/>
    <cellStyle name="Normal 3 4 4 11 12 2" xfId="33414" xr:uid="{00000000-0005-0000-0000-00008C6D0000}"/>
    <cellStyle name="Normal 3 4 4 11 13" xfId="15933" xr:uid="{00000000-0005-0000-0000-00008D6D0000}"/>
    <cellStyle name="Normal 3 4 4 11 13 2" xfId="33415" xr:uid="{00000000-0005-0000-0000-00008E6D0000}"/>
    <cellStyle name="Normal 3 4 4 11 14" xfId="15934" xr:uid="{00000000-0005-0000-0000-00008F6D0000}"/>
    <cellStyle name="Normal 3 4 4 11 14 2" xfId="33416" xr:uid="{00000000-0005-0000-0000-0000906D0000}"/>
    <cellStyle name="Normal 3 4 4 11 15" xfId="33411" xr:uid="{00000000-0005-0000-0000-0000916D0000}"/>
    <cellStyle name="Normal 3 4 4 11 2" xfId="15935" xr:uid="{00000000-0005-0000-0000-0000926D0000}"/>
    <cellStyle name="Normal 3 4 4 11 2 2" xfId="33417" xr:uid="{00000000-0005-0000-0000-0000936D0000}"/>
    <cellStyle name="Normal 3 4 4 11 3" xfId="15936" xr:uid="{00000000-0005-0000-0000-0000946D0000}"/>
    <cellStyle name="Normal 3 4 4 11 3 2" xfId="33418" xr:uid="{00000000-0005-0000-0000-0000956D0000}"/>
    <cellStyle name="Normal 3 4 4 11 4" xfId="15937" xr:uid="{00000000-0005-0000-0000-0000966D0000}"/>
    <cellStyle name="Normal 3 4 4 11 4 2" xfId="33419" xr:uid="{00000000-0005-0000-0000-0000976D0000}"/>
    <cellStyle name="Normal 3 4 4 11 5" xfId="15938" xr:uid="{00000000-0005-0000-0000-0000986D0000}"/>
    <cellStyle name="Normal 3 4 4 11 5 2" xfId="33420" xr:uid="{00000000-0005-0000-0000-0000996D0000}"/>
    <cellStyle name="Normal 3 4 4 11 6" xfId="15939" xr:uid="{00000000-0005-0000-0000-00009A6D0000}"/>
    <cellStyle name="Normal 3 4 4 11 6 2" xfId="33421" xr:uid="{00000000-0005-0000-0000-00009B6D0000}"/>
    <cellStyle name="Normal 3 4 4 11 7" xfId="15940" xr:uid="{00000000-0005-0000-0000-00009C6D0000}"/>
    <cellStyle name="Normal 3 4 4 11 7 2" xfId="33422" xr:uid="{00000000-0005-0000-0000-00009D6D0000}"/>
    <cellStyle name="Normal 3 4 4 11 8" xfId="15941" xr:uid="{00000000-0005-0000-0000-00009E6D0000}"/>
    <cellStyle name="Normal 3 4 4 11 8 2" xfId="33423" xr:uid="{00000000-0005-0000-0000-00009F6D0000}"/>
    <cellStyle name="Normal 3 4 4 11 9" xfId="15942" xr:uid="{00000000-0005-0000-0000-0000A06D0000}"/>
    <cellStyle name="Normal 3 4 4 11 9 2" xfId="33424" xr:uid="{00000000-0005-0000-0000-0000A16D0000}"/>
    <cellStyle name="Normal 3 4 4 12" xfId="15943" xr:uid="{00000000-0005-0000-0000-0000A26D0000}"/>
    <cellStyle name="Normal 3 4 4 12 10" xfId="15944" xr:uid="{00000000-0005-0000-0000-0000A36D0000}"/>
    <cellStyle name="Normal 3 4 4 12 10 2" xfId="33426" xr:uid="{00000000-0005-0000-0000-0000A46D0000}"/>
    <cellStyle name="Normal 3 4 4 12 11" xfId="15945" xr:uid="{00000000-0005-0000-0000-0000A56D0000}"/>
    <cellStyle name="Normal 3 4 4 12 11 2" xfId="33427" xr:uid="{00000000-0005-0000-0000-0000A66D0000}"/>
    <cellStyle name="Normal 3 4 4 12 12" xfId="15946" xr:uid="{00000000-0005-0000-0000-0000A76D0000}"/>
    <cellStyle name="Normal 3 4 4 12 12 2" xfId="33428" xr:uid="{00000000-0005-0000-0000-0000A86D0000}"/>
    <cellStyle name="Normal 3 4 4 12 13" xfId="15947" xr:uid="{00000000-0005-0000-0000-0000A96D0000}"/>
    <cellStyle name="Normal 3 4 4 12 13 2" xfId="33429" xr:uid="{00000000-0005-0000-0000-0000AA6D0000}"/>
    <cellStyle name="Normal 3 4 4 12 14" xfId="15948" xr:uid="{00000000-0005-0000-0000-0000AB6D0000}"/>
    <cellStyle name="Normal 3 4 4 12 14 2" xfId="33430" xr:uid="{00000000-0005-0000-0000-0000AC6D0000}"/>
    <cellStyle name="Normal 3 4 4 12 15" xfId="33425" xr:uid="{00000000-0005-0000-0000-0000AD6D0000}"/>
    <cellStyle name="Normal 3 4 4 12 2" xfId="15949" xr:uid="{00000000-0005-0000-0000-0000AE6D0000}"/>
    <cellStyle name="Normal 3 4 4 12 2 2" xfId="33431" xr:uid="{00000000-0005-0000-0000-0000AF6D0000}"/>
    <cellStyle name="Normal 3 4 4 12 3" xfId="15950" xr:uid="{00000000-0005-0000-0000-0000B06D0000}"/>
    <cellStyle name="Normal 3 4 4 12 3 2" xfId="33432" xr:uid="{00000000-0005-0000-0000-0000B16D0000}"/>
    <cellStyle name="Normal 3 4 4 12 4" xfId="15951" xr:uid="{00000000-0005-0000-0000-0000B26D0000}"/>
    <cellStyle name="Normal 3 4 4 12 4 2" xfId="33433" xr:uid="{00000000-0005-0000-0000-0000B36D0000}"/>
    <cellStyle name="Normal 3 4 4 12 5" xfId="15952" xr:uid="{00000000-0005-0000-0000-0000B46D0000}"/>
    <cellStyle name="Normal 3 4 4 12 5 2" xfId="33434" xr:uid="{00000000-0005-0000-0000-0000B56D0000}"/>
    <cellStyle name="Normal 3 4 4 12 6" xfId="15953" xr:uid="{00000000-0005-0000-0000-0000B66D0000}"/>
    <cellStyle name="Normal 3 4 4 12 6 2" xfId="33435" xr:uid="{00000000-0005-0000-0000-0000B76D0000}"/>
    <cellStyle name="Normal 3 4 4 12 7" xfId="15954" xr:uid="{00000000-0005-0000-0000-0000B86D0000}"/>
    <cellStyle name="Normal 3 4 4 12 7 2" xfId="33436" xr:uid="{00000000-0005-0000-0000-0000B96D0000}"/>
    <cellStyle name="Normal 3 4 4 12 8" xfId="15955" xr:uid="{00000000-0005-0000-0000-0000BA6D0000}"/>
    <cellStyle name="Normal 3 4 4 12 8 2" xfId="33437" xr:uid="{00000000-0005-0000-0000-0000BB6D0000}"/>
    <cellStyle name="Normal 3 4 4 12 9" xfId="15956" xr:uid="{00000000-0005-0000-0000-0000BC6D0000}"/>
    <cellStyle name="Normal 3 4 4 12 9 2" xfId="33438" xr:uid="{00000000-0005-0000-0000-0000BD6D0000}"/>
    <cellStyle name="Normal 3 4 4 13" xfId="15957" xr:uid="{00000000-0005-0000-0000-0000BE6D0000}"/>
    <cellStyle name="Normal 3 4 4 13 10" xfId="15958" xr:uid="{00000000-0005-0000-0000-0000BF6D0000}"/>
    <cellStyle name="Normal 3 4 4 13 10 2" xfId="33440" xr:uid="{00000000-0005-0000-0000-0000C06D0000}"/>
    <cellStyle name="Normal 3 4 4 13 11" xfId="15959" xr:uid="{00000000-0005-0000-0000-0000C16D0000}"/>
    <cellStyle name="Normal 3 4 4 13 11 2" xfId="33441" xr:uid="{00000000-0005-0000-0000-0000C26D0000}"/>
    <cellStyle name="Normal 3 4 4 13 12" xfId="15960" xr:uid="{00000000-0005-0000-0000-0000C36D0000}"/>
    <cellStyle name="Normal 3 4 4 13 12 2" xfId="33442" xr:uid="{00000000-0005-0000-0000-0000C46D0000}"/>
    <cellStyle name="Normal 3 4 4 13 13" xfId="15961" xr:uid="{00000000-0005-0000-0000-0000C56D0000}"/>
    <cellStyle name="Normal 3 4 4 13 13 2" xfId="33443" xr:uid="{00000000-0005-0000-0000-0000C66D0000}"/>
    <cellStyle name="Normal 3 4 4 13 14" xfId="15962" xr:uid="{00000000-0005-0000-0000-0000C76D0000}"/>
    <cellStyle name="Normal 3 4 4 13 14 2" xfId="33444" xr:uid="{00000000-0005-0000-0000-0000C86D0000}"/>
    <cellStyle name="Normal 3 4 4 13 15" xfId="33439" xr:uid="{00000000-0005-0000-0000-0000C96D0000}"/>
    <cellStyle name="Normal 3 4 4 13 2" xfId="15963" xr:uid="{00000000-0005-0000-0000-0000CA6D0000}"/>
    <cellStyle name="Normal 3 4 4 13 2 2" xfId="33445" xr:uid="{00000000-0005-0000-0000-0000CB6D0000}"/>
    <cellStyle name="Normal 3 4 4 13 3" xfId="15964" xr:uid="{00000000-0005-0000-0000-0000CC6D0000}"/>
    <cellStyle name="Normal 3 4 4 13 3 2" xfId="33446" xr:uid="{00000000-0005-0000-0000-0000CD6D0000}"/>
    <cellStyle name="Normal 3 4 4 13 4" xfId="15965" xr:uid="{00000000-0005-0000-0000-0000CE6D0000}"/>
    <cellStyle name="Normal 3 4 4 13 4 2" xfId="33447" xr:uid="{00000000-0005-0000-0000-0000CF6D0000}"/>
    <cellStyle name="Normal 3 4 4 13 5" xfId="15966" xr:uid="{00000000-0005-0000-0000-0000D06D0000}"/>
    <cellStyle name="Normal 3 4 4 13 5 2" xfId="33448" xr:uid="{00000000-0005-0000-0000-0000D16D0000}"/>
    <cellStyle name="Normal 3 4 4 13 6" xfId="15967" xr:uid="{00000000-0005-0000-0000-0000D26D0000}"/>
    <cellStyle name="Normal 3 4 4 13 6 2" xfId="33449" xr:uid="{00000000-0005-0000-0000-0000D36D0000}"/>
    <cellStyle name="Normal 3 4 4 13 7" xfId="15968" xr:uid="{00000000-0005-0000-0000-0000D46D0000}"/>
    <cellStyle name="Normal 3 4 4 13 7 2" xfId="33450" xr:uid="{00000000-0005-0000-0000-0000D56D0000}"/>
    <cellStyle name="Normal 3 4 4 13 8" xfId="15969" xr:uid="{00000000-0005-0000-0000-0000D66D0000}"/>
    <cellStyle name="Normal 3 4 4 13 8 2" xfId="33451" xr:uid="{00000000-0005-0000-0000-0000D76D0000}"/>
    <cellStyle name="Normal 3 4 4 13 9" xfId="15970" xr:uid="{00000000-0005-0000-0000-0000D86D0000}"/>
    <cellStyle name="Normal 3 4 4 13 9 2" xfId="33452" xr:uid="{00000000-0005-0000-0000-0000D96D0000}"/>
    <cellStyle name="Normal 3 4 4 14" xfId="15971" xr:uid="{00000000-0005-0000-0000-0000DA6D0000}"/>
    <cellStyle name="Normal 3 4 4 14 10" xfId="15972" xr:uid="{00000000-0005-0000-0000-0000DB6D0000}"/>
    <cellStyle name="Normal 3 4 4 14 10 2" xfId="33454" xr:uid="{00000000-0005-0000-0000-0000DC6D0000}"/>
    <cellStyle name="Normal 3 4 4 14 11" xfId="15973" xr:uid="{00000000-0005-0000-0000-0000DD6D0000}"/>
    <cellStyle name="Normal 3 4 4 14 11 2" xfId="33455" xr:uid="{00000000-0005-0000-0000-0000DE6D0000}"/>
    <cellStyle name="Normal 3 4 4 14 12" xfId="15974" xr:uid="{00000000-0005-0000-0000-0000DF6D0000}"/>
    <cellStyle name="Normal 3 4 4 14 12 2" xfId="33456" xr:uid="{00000000-0005-0000-0000-0000E06D0000}"/>
    <cellStyle name="Normal 3 4 4 14 13" xfId="15975" xr:uid="{00000000-0005-0000-0000-0000E16D0000}"/>
    <cellStyle name="Normal 3 4 4 14 13 2" xfId="33457" xr:uid="{00000000-0005-0000-0000-0000E26D0000}"/>
    <cellStyle name="Normal 3 4 4 14 14" xfId="15976" xr:uid="{00000000-0005-0000-0000-0000E36D0000}"/>
    <cellStyle name="Normal 3 4 4 14 14 2" xfId="33458" xr:uid="{00000000-0005-0000-0000-0000E46D0000}"/>
    <cellStyle name="Normal 3 4 4 14 15" xfId="33453" xr:uid="{00000000-0005-0000-0000-0000E56D0000}"/>
    <cellStyle name="Normal 3 4 4 14 2" xfId="15977" xr:uid="{00000000-0005-0000-0000-0000E66D0000}"/>
    <cellStyle name="Normal 3 4 4 14 2 2" xfId="33459" xr:uid="{00000000-0005-0000-0000-0000E76D0000}"/>
    <cellStyle name="Normal 3 4 4 14 3" xfId="15978" xr:uid="{00000000-0005-0000-0000-0000E86D0000}"/>
    <cellStyle name="Normal 3 4 4 14 3 2" xfId="33460" xr:uid="{00000000-0005-0000-0000-0000E96D0000}"/>
    <cellStyle name="Normal 3 4 4 14 4" xfId="15979" xr:uid="{00000000-0005-0000-0000-0000EA6D0000}"/>
    <cellStyle name="Normal 3 4 4 14 4 2" xfId="33461" xr:uid="{00000000-0005-0000-0000-0000EB6D0000}"/>
    <cellStyle name="Normal 3 4 4 14 5" xfId="15980" xr:uid="{00000000-0005-0000-0000-0000EC6D0000}"/>
    <cellStyle name="Normal 3 4 4 14 5 2" xfId="33462" xr:uid="{00000000-0005-0000-0000-0000ED6D0000}"/>
    <cellStyle name="Normal 3 4 4 14 6" xfId="15981" xr:uid="{00000000-0005-0000-0000-0000EE6D0000}"/>
    <cellStyle name="Normal 3 4 4 14 6 2" xfId="33463" xr:uid="{00000000-0005-0000-0000-0000EF6D0000}"/>
    <cellStyle name="Normal 3 4 4 14 7" xfId="15982" xr:uid="{00000000-0005-0000-0000-0000F06D0000}"/>
    <cellStyle name="Normal 3 4 4 14 7 2" xfId="33464" xr:uid="{00000000-0005-0000-0000-0000F16D0000}"/>
    <cellStyle name="Normal 3 4 4 14 8" xfId="15983" xr:uid="{00000000-0005-0000-0000-0000F26D0000}"/>
    <cellStyle name="Normal 3 4 4 14 8 2" xfId="33465" xr:uid="{00000000-0005-0000-0000-0000F36D0000}"/>
    <cellStyle name="Normal 3 4 4 14 9" xfId="15984" xr:uid="{00000000-0005-0000-0000-0000F46D0000}"/>
    <cellStyle name="Normal 3 4 4 14 9 2" xfId="33466" xr:uid="{00000000-0005-0000-0000-0000F56D0000}"/>
    <cellStyle name="Normal 3 4 4 15" xfId="15985" xr:uid="{00000000-0005-0000-0000-0000F66D0000}"/>
    <cellStyle name="Normal 3 4 4 15 2" xfId="33467" xr:uid="{00000000-0005-0000-0000-0000F76D0000}"/>
    <cellStyle name="Normal 3 4 4 16" xfId="15986" xr:uid="{00000000-0005-0000-0000-0000F86D0000}"/>
    <cellStyle name="Normal 3 4 4 16 2" xfId="33468" xr:uid="{00000000-0005-0000-0000-0000F96D0000}"/>
    <cellStyle name="Normal 3 4 4 17" xfId="15987" xr:uid="{00000000-0005-0000-0000-0000FA6D0000}"/>
    <cellStyle name="Normal 3 4 4 17 2" xfId="33469" xr:uid="{00000000-0005-0000-0000-0000FB6D0000}"/>
    <cellStyle name="Normal 3 4 4 18" xfId="15988" xr:uid="{00000000-0005-0000-0000-0000FC6D0000}"/>
    <cellStyle name="Normal 3 4 4 18 2" xfId="33470" xr:uid="{00000000-0005-0000-0000-0000FD6D0000}"/>
    <cellStyle name="Normal 3 4 4 19" xfId="15989" xr:uid="{00000000-0005-0000-0000-0000FE6D0000}"/>
    <cellStyle name="Normal 3 4 4 19 2" xfId="33471" xr:uid="{00000000-0005-0000-0000-0000FF6D0000}"/>
    <cellStyle name="Normal 3 4 4 2" xfId="15990" xr:uid="{00000000-0005-0000-0000-0000006E0000}"/>
    <cellStyle name="Normal 3 4 4 20" xfId="15991" xr:uid="{00000000-0005-0000-0000-0000016E0000}"/>
    <cellStyle name="Normal 3 4 4 20 2" xfId="33472" xr:uid="{00000000-0005-0000-0000-0000026E0000}"/>
    <cellStyle name="Normal 3 4 4 21" xfId="15992" xr:uid="{00000000-0005-0000-0000-0000036E0000}"/>
    <cellStyle name="Normal 3 4 4 21 2" xfId="33473" xr:uid="{00000000-0005-0000-0000-0000046E0000}"/>
    <cellStyle name="Normal 3 4 4 22" xfId="15993" xr:uid="{00000000-0005-0000-0000-0000056E0000}"/>
    <cellStyle name="Normal 3 4 4 22 2" xfId="33474" xr:uid="{00000000-0005-0000-0000-0000066E0000}"/>
    <cellStyle name="Normal 3 4 4 23" xfId="15994" xr:uid="{00000000-0005-0000-0000-0000076E0000}"/>
    <cellStyle name="Normal 3 4 4 23 2" xfId="33475" xr:uid="{00000000-0005-0000-0000-0000086E0000}"/>
    <cellStyle name="Normal 3 4 4 24" xfId="15995" xr:uid="{00000000-0005-0000-0000-0000096E0000}"/>
    <cellStyle name="Normal 3 4 4 24 2" xfId="33476" xr:uid="{00000000-0005-0000-0000-00000A6E0000}"/>
    <cellStyle name="Normal 3 4 4 25" xfId="15996" xr:uid="{00000000-0005-0000-0000-00000B6E0000}"/>
    <cellStyle name="Normal 3 4 4 25 2" xfId="33477" xr:uid="{00000000-0005-0000-0000-00000C6E0000}"/>
    <cellStyle name="Normal 3 4 4 26" xfId="15997" xr:uid="{00000000-0005-0000-0000-00000D6E0000}"/>
    <cellStyle name="Normal 3 4 4 26 2" xfId="33478" xr:uid="{00000000-0005-0000-0000-00000E6E0000}"/>
    <cellStyle name="Normal 3 4 4 27" xfId="15998" xr:uid="{00000000-0005-0000-0000-00000F6E0000}"/>
    <cellStyle name="Normal 3 4 4 27 2" xfId="33479" xr:uid="{00000000-0005-0000-0000-0000106E0000}"/>
    <cellStyle name="Normal 3 4 4 28" xfId="33396" xr:uid="{00000000-0005-0000-0000-0000116E0000}"/>
    <cellStyle name="Normal 3 4 4 3" xfId="15999" xr:uid="{00000000-0005-0000-0000-0000126E0000}"/>
    <cellStyle name="Normal 3 4 4 4" xfId="16000" xr:uid="{00000000-0005-0000-0000-0000136E0000}"/>
    <cellStyle name="Normal 3 4 4 5" xfId="16001" xr:uid="{00000000-0005-0000-0000-0000146E0000}"/>
    <cellStyle name="Normal 3 4 4 6" xfId="16002" xr:uid="{00000000-0005-0000-0000-0000156E0000}"/>
    <cellStyle name="Normal 3 4 4 6 10" xfId="16003" xr:uid="{00000000-0005-0000-0000-0000166E0000}"/>
    <cellStyle name="Normal 3 4 4 6 10 2" xfId="33481" xr:uid="{00000000-0005-0000-0000-0000176E0000}"/>
    <cellStyle name="Normal 3 4 4 6 11" xfId="16004" xr:uid="{00000000-0005-0000-0000-0000186E0000}"/>
    <cellStyle name="Normal 3 4 4 6 11 2" xfId="33482" xr:uid="{00000000-0005-0000-0000-0000196E0000}"/>
    <cellStyle name="Normal 3 4 4 6 12" xfId="16005" xr:uid="{00000000-0005-0000-0000-00001A6E0000}"/>
    <cellStyle name="Normal 3 4 4 6 12 2" xfId="33483" xr:uid="{00000000-0005-0000-0000-00001B6E0000}"/>
    <cellStyle name="Normal 3 4 4 6 13" xfId="16006" xr:uid="{00000000-0005-0000-0000-00001C6E0000}"/>
    <cellStyle name="Normal 3 4 4 6 13 2" xfId="33484" xr:uid="{00000000-0005-0000-0000-00001D6E0000}"/>
    <cellStyle name="Normal 3 4 4 6 14" xfId="16007" xr:uid="{00000000-0005-0000-0000-00001E6E0000}"/>
    <cellStyle name="Normal 3 4 4 6 14 2" xfId="33485" xr:uid="{00000000-0005-0000-0000-00001F6E0000}"/>
    <cellStyle name="Normal 3 4 4 6 15" xfId="16008" xr:uid="{00000000-0005-0000-0000-0000206E0000}"/>
    <cellStyle name="Normal 3 4 4 6 15 2" xfId="33486" xr:uid="{00000000-0005-0000-0000-0000216E0000}"/>
    <cellStyle name="Normal 3 4 4 6 16" xfId="33480" xr:uid="{00000000-0005-0000-0000-0000226E0000}"/>
    <cellStyle name="Normal 3 4 4 6 2" xfId="16009" xr:uid="{00000000-0005-0000-0000-0000236E0000}"/>
    <cellStyle name="Normal 3 4 4 6 2 10" xfId="16010" xr:uid="{00000000-0005-0000-0000-0000246E0000}"/>
    <cellStyle name="Normal 3 4 4 6 2 10 2" xfId="33488" xr:uid="{00000000-0005-0000-0000-0000256E0000}"/>
    <cellStyle name="Normal 3 4 4 6 2 11" xfId="16011" xr:uid="{00000000-0005-0000-0000-0000266E0000}"/>
    <cellStyle name="Normal 3 4 4 6 2 11 2" xfId="33489" xr:uid="{00000000-0005-0000-0000-0000276E0000}"/>
    <cellStyle name="Normal 3 4 4 6 2 12" xfId="16012" xr:uid="{00000000-0005-0000-0000-0000286E0000}"/>
    <cellStyle name="Normal 3 4 4 6 2 12 2" xfId="33490" xr:uid="{00000000-0005-0000-0000-0000296E0000}"/>
    <cellStyle name="Normal 3 4 4 6 2 13" xfId="16013" xr:uid="{00000000-0005-0000-0000-00002A6E0000}"/>
    <cellStyle name="Normal 3 4 4 6 2 13 2" xfId="33491" xr:uid="{00000000-0005-0000-0000-00002B6E0000}"/>
    <cellStyle name="Normal 3 4 4 6 2 14" xfId="16014" xr:uid="{00000000-0005-0000-0000-00002C6E0000}"/>
    <cellStyle name="Normal 3 4 4 6 2 14 2" xfId="33492" xr:uid="{00000000-0005-0000-0000-00002D6E0000}"/>
    <cellStyle name="Normal 3 4 4 6 2 15" xfId="33487" xr:uid="{00000000-0005-0000-0000-00002E6E0000}"/>
    <cellStyle name="Normal 3 4 4 6 2 2" xfId="16015" xr:uid="{00000000-0005-0000-0000-00002F6E0000}"/>
    <cellStyle name="Normal 3 4 4 6 2 2 2" xfId="33493" xr:uid="{00000000-0005-0000-0000-0000306E0000}"/>
    <cellStyle name="Normal 3 4 4 6 2 3" xfId="16016" xr:uid="{00000000-0005-0000-0000-0000316E0000}"/>
    <cellStyle name="Normal 3 4 4 6 2 3 2" xfId="33494" xr:uid="{00000000-0005-0000-0000-0000326E0000}"/>
    <cellStyle name="Normal 3 4 4 6 2 4" xfId="16017" xr:uid="{00000000-0005-0000-0000-0000336E0000}"/>
    <cellStyle name="Normal 3 4 4 6 2 4 2" xfId="33495" xr:uid="{00000000-0005-0000-0000-0000346E0000}"/>
    <cellStyle name="Normal 3 4 4 6 2 5" xfId="16018" xr:uid="{00000000-0005-0000-0000-0000356E0000}"/>
    <cellStyle name="Normal 3 4 4 6 2 5 2" xfId="33496" xr:uid="{00000000-0005-0000-0000-0000366E0000}"/>
    <cellStyle name="Normal 3 4 4 6 2 6" xfId="16019" xr:uid="{00000000-0005-0000-0000-0000376E0000}"/>
    <cellStyle name="Normal 3 4 4 6 2 6 2" xfId="33497" xr:uid="{00000000-0005-0000-0000-0000386E0000}"/>
    <cellStyle name="Normal 3 4 4 6 2 7" xfId="16020" xr:uid="{00000000-0005-0000-0000-0000396E0000}"/>
    <cellStyle name="Normal 3 4 4 6 2 7 2" xfId="33498" xr:uid="{00000000-0005-0000-0000-00003A6E0000}"/>
    <cellStyle name="Normal 3 4 4 6 2 8" xfId="16021" xr:uid="{00000000-0005-0000-0000-00003B6E0000}"/>
    <cellStyle name="Normal 3 4 4 6 2 8 2" xfId="33499" xr:uid="{00000000-0005-0000-0000-00003C6E0000}"/>
    <cellStyle name="Normal 3 4 4 6 2 9" xfId="16022" xr:uid="{00000000-0005-0000-0000-00003D6E0000}"/>
    <cellStyle name="Normal 3 4 4 6 2 9 2" xfId="33500" xr:uid="{00000000-0005-0000-0000-00003E6E0000}"/>
    <cellStyle name="Normal 3 4 4 6 3" xfId="16023" xr:uid="{00000000-0005-0000-0000-00003F6E0000}"/>
    <cellStyle name="Normal 3 4 4 6 3 2" xfId="33501" xr:uid="{00000000-0005-0000-0000-0000406E0000}"/>
    <cellStyle name="Normal 3 4 4 6 4" xfId="16024" xr:uid="{00000000-0005-0000-0000-0000416E0000}"/>
    <cellStyle name="Normal 3 4 4 6 4 2" xfId="33502" xr:uid="{00000000-0005-0000-0000-0000426E0000}"/>
    <cellStyle name="Normal 3 4 4 6 5" xfId="16025" xr:uid="{00000000-0005-0000-0000-0000436E0000}"/>
    <cellStyle name="Normal 3 4 4 6 5 2" xfId="33503" xr:uid="{00000000-0005-0000-0000-0000446E0000}"/>
    <cellStyle name="Normal 3 4 4 6 6" xfId="16026" xr:uid="{00000000-0005-0000-0000-0000456E0000}"/>
    <cellStyle name="Normal 3 4 4 6 6 2" xfId="33504" xr:uid="{00000000-0005-0000-0000-0000466E0000}"/>
    <cellStyle name="Normal 3 4 4 6 7" xfId="16027" xr:uid="{00000000-0005-0000-0000-0000476E0000}"/>
    <cellStyle name="Normal 3 4 4 6 7 2" xfId="33505" xr:uid="{00000000-0005-0000-0000-0000486E0000}"/>
    <cellStyle name="Normal 3 4 4 6 8" xfId="16028" xr:uid="{00000000-0005-0000-0000-0000496E0000}"/>
    <cellStyle name="Normal 3 4 4 6 8 2" xfId="33506" xr:uid="{00000000-0005-0000-0000-00004A6E0000}"/>
    <cellStyle name="Normal 3 4 4 6 9" xfId="16029" xr:uid="{00000000-0005-0000-0000-00004B6E0000}"/>
    <cellStyle name="Normal 3 4 4 6 9 2" xfId="33507" xr:uid="{00000000-0005-0000-0000-00004C6E0000}"/>
    <cellStyle name="Normal 3 4 4 7" xfId="16030" xr:uid="{00000000-0005-0000-0000-00004D6E0000}"/>
    <cellStyle name="Normal 3 4 4 7 10" xfId="16031" xr:uid="{00000000-0005-0000-0000-00004E6E0000}"/>
    <cellStyle name="Normal 3 4 4 7 10 2" xfId="33509" xr:uid="{00000000-0005-0000-0000-00004F6E0000}"/>
    <cellStyle name="Normal 3 4 4 7 11" xfId="16032" xr:uid="{00000000-0005-0000-0000-0000506E0000}"/>
    <cellStyle name="Normal 3 4 4 7 11 2" xfId="33510" xr:uid="{00000000-0005-0000-0000-0000516E0000}"/>
    <cellStyle name="Normal 3 4 4 7 12" xfId="16033" xr:uid="{00000000-0005-0000-0000-0000526E0000}"/>
    <cellStyle name="Normal 3 4 4 7 12 2" xfId="33511" xr:uid="{00000000-0005-0000-0000-0000536E0000}"/>
    <cellStyle name="Normal 3 4 4 7 13" xfId="16034" xr:uid="{00000000-0005-0000-0000-0000546E0000}"/>
    <cellStyle name="Normal 3 4 4 7 13 2" xfId="33512" xr:uid="{00000000-0005-0000-0000-0000556E0000}"/>
    <cellStyle name="Normal 3 4 4 7 14" xfId="16035" xr:uid="{00000000-0005-0000-0000-0000566E0000}"/>
    <cellStyle name="Normal 3 4 4 7 14 2" xfId="33513" xr:uid="{00000000-0005-0000-0000-0000576E0000}"/>
    <cellStyle name="Normal 3 4 4 7 15" xfId="16036" xr:uid="{00000000-0005-0000-0000-0000586E0000}"/>
    <cellStyle name="Normal 3 4 4 7 15 2" xfId="33514" xr:uid="{00000000-0005-0000-0000-0000596E0000}"/>
    <cellStyle name="Normal 3 4 4 7 16" xfId="33508" xr:uid="{00000000-0005-0000-0000-00005A6E0000}"/>
    <cellStyle name="Normal 3 4 4 7 2" xfId="16037" xr:uid="{00000000-0005-0000-0000-00005B6E0000}"/>
    <cellStyle name="Normal 3 4 4 7 2 10" xfId="16038" xr:uid="{00000000-0005-0000-0000-00005C6E0000}"/>
    <cellStyle name="Normal 3 4 4 7 2 10 2" xfId="33516" xr:uid="{00000000-0005-0000-0000-00005D6E0000}"/>
    <cellStyle name="Normal 3 4 4 7 2 11" xfId="16039" xr:uid="{00000000-0005-0000-0000-00005E6E0000}"/>
    <cellStyle name="Normal 3 4 4 7 2 11 2" xfId="33517" xr:uid="{00000000-0005-0000-0000-00005F6E0000}"/>
    <cellStyle name="Normal 3 4 4 7 2 12" xfId="16040" xr:uid="{00000000-0005-0000-0000-0000606E0000}"/>
    <cellStyle name="Normal 3 4 4 7 2 12 2" xfId="33518" xr:uid="{00000000-0005-0000-0000-0000616E0000}"/>
    <cellStyle name="Normal 3 4 4 7 2 13" xfId="16041" xr:uid="{00000000-0005-0000-0000-0000626E0000}"/>
    <cellStyle name="Normal 3 4 4 7 2 13 2" xfId="33519" xr:uid="{00000000-0005-0000-0000-0000636E0000}"/>
    <cellStyle name="Normal 3 4 4 7 2 14" xfId="16042" xr:uid="{00000000-0005-0000-0000-0000646E0000}"/>
    <cellStyle name="Normal 3 4 4 7 2 14 2" xfId="33520" xr:uid="{00000000-0005-0000-0000-0000656E0000}"/>
    <cellStyle name="Normal 3 4 4 7 2 15" xfId="33515" xr:uid="{00000000-0005-0000-0000-0000666E0000}"/>
    <cellStyle name="Normal 3 4 4 7 2 2" xfId="16043" xr:uid="{00000000-0005-0000-0000-0000676E0000}"/>
    <cellStyle name="Normal 3 4 4 7 2 2 2" xfId="33521" xr:uid="{00000000-0005-0000-0000-0000686E0000}"/>
    <cellStyle name="Normal 3 4 4 7 2 3" xfId="16044" xr:uid="{00000000-0005-0000-0000-0000696E0000}"/>
    <cellStyle name="Normal 3 4 4 7 2 3 2" xfId="33522" xr:uid="{00000000-0005-0000-0000-00006A6E0000}"/>
    <cellStyle name="Normal 3 4 4 7 2 4" xfId="16045" xr:uid="{00000000-0005-0000-0000-00006B6E0000}"/>
    <cellStyle name="Normal 3 4 4 7 2 4 2" xfId="33523" xr:uid="{00000000-0005-0000-0000-00006C6E0000}"/>
    <cellStyle name="Normal 3 4 4 7 2 5" xfId="16046" xr:uid="{00000000-0005-0000-0000-00006D6E0000}"/>
    <cellStyle name="Normal 3 4 4 7 2 5 2" xfId="33524" xr:uid="{00000000-0005-0000-0000-00006E6E0000}"/>
    <cellStyle name="Normal 3 4 4 7 2 6" xfId="16047" xr:uid="{00000000-0005-0000-0000-00006F6E0000}"/>
    <cellStyle name="Normal 3 4 4 7 2 6 2" xfId="33525" xr:uid="{00000000-0005-0000-0000-0000706E0000}"/>
    <cellStyle name="Normal 3 4 4 7 2 7" xfId="16048" xr:uid="{00000000-0005-0000-0000-0000716E0000}"/>
    <cellStyle name="Normal 3 4 4 7 2 7 2" xfId="33526" xr:uid="{00000000-0005-0000-0000-0000726E0000}"/>
    <cellStyle name="Normal 3 4 4 7 2 8" xfId="16049" xr:uid="{00000000-0005-0000-0000-0000736E0000}"/>
    <cellStyle name="Normal 3 4 4 7 2 8 2" xfId="33527" xr:uid="{00000000-0005-0000-0000-0000746E0000}"/>
    <cellStyle name="Normal 3 4 4 7 2 9" xfId="16050" xr:uid="{00000000-0005-0000-0000-0000756E0000}"/>
    <cellStyle name="Normal 3 4 4 7 2 9 2" xfId="33528" xr:uid="{00000000-0005-0000-0000-0000766E0000}"/>
    <cellStyle name="Normal 3 4 4 7 3" xfId="16051" xr:uid="{00000000-0005-0000-0000-0000776E0000}"/>
    <cellStyle name="Normal 3 4 4 7 3 2" xfId="33529" xr:uid="{00000000-0005-0000-0000-0000786E0000}"/>
    <cellStyle name="Normal 3 4 4 7 4" xfId="16052" xr:uid="{00000000-0005-0000-0000-0000796E0000}"/>
    <cellStyle name="Normal 3 4 4 7 4 2" xfId="33530" xr:uid="{00000000-0005-0000-0000-00007A6E0000}"/>
    <cellStyle name="Normal 3 4 4 7 5" xfId="16053" xr:uid="{00000000-0005-0000-0000-00007B6E0000}"/>
    <cellStyle name="Normal 3 4 4 7 5 2" xfId="33531" xr:uid="{00000000-0005-0000-0000-00007C6E0000}"/>
    <cellStyle name="Normal 3 4 4 7 6" xfId="16054" xr:uid="{00000000-0005-0000-0000-00007D6E0000}"/>
    <cellStyle name="Normal 3 4 4 7 6 2" xfId="33532" xr:uid="{00000000-0005-0000-0000-00007E6E0000}"/>
    <cellStyle name="Normal 3 4 4 7 7" xfId="16055" xr:uid="{00000000-0005-0000-0000-00007F6E0000}"/>
    <cellStyle name="Normal 3 4 4 7 7 2" xfId="33533" xr:uid="{00000000-0005-0000-0000-0000806E0000}"/>
    <cellStyle name="Normal 3 4 4 7 8" xfId="16056" xr:uid="{00000000-0005-0000-0000-0000816E0000}"/>
    <cellStyle name="Normal 3 4 4 7 8 2" xfId="33534" xr:uid="{00000000-0005-0000-0000-0000826E0000}"/>
    <cellStyle name="Normal 3 4 4 7 9" xfId="16057" xr:uid="{00000000-0005-0000-0000-0000836E0000}"/>
    <cellStyle name="Normal 3 4 4 7 9 2" xfId="33535" xr:uid="{00000000-0005-0000-0000-0000846E0000}"/>
    <cellStyle name="Normal 3 4 4 8" xfId="16058" xr:uid="{00000000-0005-0000-0000-0000856E0000}"/>
    <cellStyle name="Normal 3 4 4 8 10" xfId="16059" xr:uid="{00000000-0005-0000-0000-0000866E0000}"/>
    <cellStyle name="Normal 3 4 4 8 10 2" xfId="33537" xr:uid="{00000000-0005-0000-0000-0000876E0000}"/>
    <cellStyle name="Normal 3 4 4 8 11" xfId="16060" xr:uid="{00000000-0005-0000-0000-0000886E0000}"/>
    <cellStyle name="Normal 3 4 4 8 11 2" xfId="33538" xr:uid="{00000000-0005-0000-0000-0000896E0000}"/>
    <cellStyle name="Normal 3 4 4 8 12" xfId="16061" xr:uid="{00000000-0005-0000-0000-00008A6E0000}"/>
    <cellStyle name="Normal 3 4 4 8 12 2" xfId="33539" xr:uid="{00000000-0005-0000-0000-00008B6E0000}"/>
    <cellStyle name="Normal 3 4 4 8 13" xfId="16062" xr:uid="{00000000-0005-0000-0000-00008C6E0000}"/>
    <cellStyle name="Normal 3 4 4 8 13 2" xfId="33540" xr:uid="{00000000-0005-0000-0000-00008D6E0000}"/>
    <cellStyle name="Normal 3 4 4 8 14" xfId="16063" xr:uid="{00000000-0005-0000-0000-00008E6E0000}"/>
    <cellStyle name="Normal 3 4 4 8 14 2" xfId="33541" xr:uid="{00000000-0005-0000-0000-00008F6E0000}"/>
    <cellStyle name="Normal 3 4 4 8 15" xfId="16064" xr:uid="{00000000-0005-0000-0000-0000906E0000}"/>
    <cellStyle name="Normal 3 4 4 8 15 2" xfId="33542" xr:uid="{00000000-0005-0000-0000-0000916E0000}"/>
    <cellStyle name="Normal 3 4 4 8 16" xfId="33536" xr:uid="{00000000-0005-0000-0000-0000926E0000}"/>
    <cellStyle name="Normal 3 4 4 8 2" xfId="16065" xr:uid="{00000000-0005-0000-0000-0000936E0000}"/>
    <cellStyle name="Normal 3 4 4 8 2 10" xfId="16066" xr:uid="{00000000-0005-0000-0000-0000946E0000}"/>
    <cellStyle name="Normal 3 4 4 8 2 10 2" xfId="33544" xr:uid="{00000000-0005-0000-0000-0000956E0000}"/>
    <cellStyle name="Normal 3 4 4 8 2 11" xfId="16067" xr:uid="{00000000-0005-0000-0000-0000966E0000}"/>
    <cellStyle name="Normal 3 4 4 8 2 11 2" xfId="33545" xr:uid="{00000000-0005-0000-0000-0000976E0000}"/>
    <cellStyle name="Normal 3 4 4 8 2 12" xfId="16068" xr:uid="{00000000-0005-0000-0000-0000986E0000}"/>
    <cellStyle name="Normal 3 4 4 8 2 12 2" xfId="33546" xr:uid="{00000000-0005-0000-0000-0000996E0000}"/>
    <cellStyle name="Normal 3 4 4 8 2 13" xfId="16069" xr:uid="{00000000-0005-0000-0000-00009A6E0000}"/>
    <cellStyle name="Normal 3 4 4 8 2 13 2" xfId="33547" xr:uid="{00000000-0005-0000-0000-00009B6E0000}"/>
    <cellStyle name="Normal 3 4 4 8 2 14" xfId="16070" xr:uid="{00000000-0005-0000-0000-00009C6E0000}"/>
    <cellStyle name="Normal 3 4 4 8 2 14 2" xfId="33548" xr:uid="{00000000-0005-0000-0000-00009D6E0000}"/>
    <cellStyle name="Normal 3 4 4 8 2 15" xfId="33543" xr:uid="{00000000-0005-0000-0000-00009E6E0000}"/>
    <cellStyle name="Normal 3 4 4 8 2 2" xfId="16071" xr:uid="{00000000-0005-0000-0000-00009F6E0000}"/>
    <cellStyle name="Normal 3 4 4 8 2 2 2" xfId="33549" xr:uid="{00000000-0005-0000-0000-0000A06E0000}"/>
    <cellStyle name="Normal 3 4 4 8 2 3" xfId="16072" xr:uid="{00000000-0005-0000-0000-0000A16E0000}"/>
    <cellStyle name="Normal 3 4 4 8 2 3 2" xfId="33550" xr:uid="{00000000-0005-0000-0000-0000A26E0000}"/>
    <cellStyle name="Normal 3 4 4 8 2 4" xfId="16073" xr:uid="{00000000-0005-0000-0000-0000A36E0000}"/>
    <cellStyle name="Normal 3 4 4 8 2 4 2" xfId="33551" xr:uid="{00000000-0005-0000-0000-0000A46E0000}"/>
    <cellStyle name="Normal 3 4 4 8 2 5" xfId="16074" xr:uid="{00000000-0005-0000-0000-0000A56E0000}"/>
    <cellStyle name="Normal 3 4 4 8 2 5 2" xfId="33552" xr:uid="{00000000-0005-0000-0000-0000A66E0000}"/>
    <cellStyle name="Normal 3 4 4 8 2 6" xfId="16075" xr:uid="{00000000-0005-0000-0000-0000A76E0000}"/>
    <cellStyle name="Normal 3 4 4 8 2 6 2" xfId="33553" xr:uid="{00000000-0005-0000-0000-0000A86E0000}"/>
    <cellStyle name="Normal 3 4 4 8 2 7" xfId="16076" xr:uid="{00000000-0005-0000-0000-0000A96E0000}"/>
    <cellStyle name="Normal 3 4 4 8 2 7 2" xfId="33554" xr:uid="{00000000-0005-0000-0000-0000AA6E0000}"/>
    <cellStyle name="Normal 3 4 4 8 2 8" xfId="16077" xr:uid="{00000000-0005-0000-0000-0000AB6E0000}"/>
    <cellStyle name="Normal 3 4 4 8 2 8 2" xfId="33555" xr:uid="{00000000-0005-0000-0000-0000AC6E0000}"/>
    <cellStyle name="Normal 3 4 4 8 2 9" xfId="16078" xr:uid="{00000000-0005-0000-0000-0000AD6E0000}"/>
    <cellStyle name="Normal 3 4 4 8 2 9 2" xfId="33556" xr:uid="{00000000-0005-0000-0000-0000AE6E0000}"/>
    <cellStyle name="Normal 3 4 4 8 3" xfId="16079" xr:uid="{00000000-0005-0000-0000-0000AF6E0000}"/>
    <cellStyle name="Normal 3 4 4 8 3 2" xfId="33557" xr:uid="{00000000-0005-0000-0000-0000B06E0000}"/>
    <cellStyle name="Normal 3 4 4 8 4" xfId="16080" xr:uid="{00000000-0005-0000-0000-0000B16E0000}"/>
    <cellStyle name="Normal 3 4 4 8 4 2" xfId="33558" xr:uid="{00000000-0005-0000-0000-0000B26E0000}"/>
    <cellStyle name="Normal 3 4 4 8 5" xfId="16081" xr:uid="{00000000-0005-0000-0000-0000B36E0000}"/>
    <cellStyle name="Normal 3 4 4 8 5 2" xfId="33559" xr:uid="{00000000-0005-0000-0000-0000B46E0000}"/>
    <cellStyle name="Normal 3 4 4 8 6" xfId="16082" xr:uid="{00000000-0005-0000-0000-0000B56E0000}"/>
    <cellStyle name="Normal 3 4 4 8 6 2" xfId="33560" xr:uid="{00000000-0005-0000-0000-0000B66E0000}"/>
    <cellStyle name="Normal 3 4 4 8 7" xfId="16083" xr:uid="{00000000-0005-0000-0000-0000B76E0000}"/>
    <cellStyle name="Normal 3 4 4 8 7 2" xfId="33561" xr:uid="{00000000-0005-0000-0000-0000B86E0000}"/>
    <cellStyle name="Normal 3 4 4 8 8" xfId="16084" xr:uid="{00000000-0005-0000-0000-0000B96E0000}"/>
    <cellStyle name="Normal 3 4 4 8 8 2" xfId="33562" xr:uid="{00000000-0005-0000-0000-0000BA6E0000}"/>
    <cellStyle name="Normal 3 4 4 8 9" xfId="16085" xr:uid="{00000000-0005-0000-0000-0000BB6E0000}"/>
    <cellStyle name="Normal 3 4 4 8 9 2" xfId="33563" xr:uid="{00000000-0005-0000-0000-0000BC6E0000}"/>
    <cellStyle name="Normal 3 4 4 9" xfId="16086" xr:uid="{00000000-0005-0000-0000-0000BD6E0000}"/>
    <cellStyle name="Normal 3 4 4 9 10" xfId="16087" xr:uid="{00000000-0005-0000-0000-0000BE6E0000}"/>
    <cellStyle name="Normal 3 4 4 9 10 2" xfId="33565" xr:uid="{00000000-0005-0000-0000-0000BF6E0000}"/>
    <cellStyle name="Normal 3 4 4 9 11" xfId="16088" xr:uid="{00000000-0005-0000-0000-0000C06E0000}"/>
    <cellStyle name="Normal 3 4 4 9 11 2" xfId="33566" xr:uid="{00000000-0005-0000-0000-0000C16E0000}"/>
    <cellStyle name="Normal 3 4 4 9 12" xfId="16089" xr:uid="{00000000-0005-0000-0000-0000C26E0000}"/>
    <cellStyle name="Normal 3 4 4 9 12 2" xfId="33567" xr:uid="{00000000-0005-0000-0000-0000C36E0000}"/>
    <cellStyle name="Normal 3 4 4 9 13" xfId="16090" xr:uid="{00000000-0005-0000-0000-0000C46E0000}"/>
    <cellStyle name="Normal 3 4 4 9 13 2" xfId="33568" xr:uid="{00000000-0005-0000-0000-0000C56E0000}"/>
    <cellStyle name="Normal 3 4 4 9 14" xfId="16091" xr:uid="{00000000-0005-0000-0000-0000C66E0000}"/>
    <cellStyle name="Normal 3 4 4 9 14 2" xfId="33569" xr:uid="{00000000-0005-0000-0000-0000C76E0000}"/>
    <cellStyle name="Normal 3 4 4 9 15" xfId="33564" xr:uid="{00000000-0005-0000-0000-0000C86E0000}"/>
    <cellStyle name="Normal 3 4 4 9 2" xfId="16092" xr:uid="{00000000-0005-0000-0000-0000C96E0000}"/>
    <cellStyle name="Normal 3 4 4 9 2 2" xfId="33570" xr:uid="{00000000-0005-0000-0000-0000CA6E0000}"/>
    <cellStyle name="Normal 3 4 4 9 3" xfId="16093" xr:uid="{00000000-0005-0000-0000-0000CB6E0000}"/>
    <cellStyle name="Normal 3 4 4 9 3 2" xfId="33571" xr:uid="{00000000-0005-0000-0000-0000CC6E0000}"/>
    <cellStyle name="Normal 3 4 4 9 4" xfId="16094" xr:uid="{00000000-0005-0000-0000-0000CD6E0000}"/>
    <cellStyle name="Normal 3 4 4 9 4 2" xfId="33572" xr:uid="{00000000-0005-0000-0000-0000CE6E0000}"/>
    <cellStyle name="Normal 3 4 4 9 5" xfId="16095" xr:uid="{00000000-0005-0000-0000-0000CF6E0000}"/>
    <cellStyle name="Normal 3 4 4 9 5 2" xfId="33573" xr:uid="{00000000-0005-0000-0000-0000D06E0000}"/>
    <cellStyle name="Normal 3 4 4 9 6" xfId="16096" xr:uid="{00000000-0005-0000-0000-0000D16E0000}"/>
    <cellStyle name="Normal 3 4 4 9 6 2" xfId="33574" xr:uid="{00000000-0005-0000-0000-0000D26E0000}"/>
    <cellStyle name="Normal 3 4 4 9 7" xfId="16097" xr:uid="{00000000-0005-0000-0000-0000D36E0000}"/>
    <cellStyle name="Normal 3 4 4 9 7 2" xfId="33575" xr:uid="{00000000-0005-0000-0000-0000D46E0000}"/>
    <cellStyle name="Normal 3 4 4 9 8" xfId="16098" xr:uid="{00000000-0005-0000-0000-0000D56E0000}"/>
    <cellStyle name="Normal 3 4 4 9 8 2" xfId="33576" xr:uid="{00000000-0005-0000-0000-0000D66E0000}"/>
    <cellStyle name="Normal 3 4 4 9 9" xfId="16099" xr:uid="{00000000-0005-0000-0000-0000D76E0000}"/>
    <cellStyle name="Normal 3 4 4 9 9 2" xfId="33577" xr:uid="{00000000-0005-0000-0000-0000D86E0000}"/>
    <cellStyle name="Normal 3 4 5" xfId="16100" xr:uid="{00000000-0005-0000-0000-0000D96E0000}"/>
    <cellStyle name="Normal 3 4 5 10" xfId="16101" xr:uid="{00000000-0005-0000-0000-0000DA6E0000}"/>
    <cellStyle name="Normal 3 4 5 10 10" xfId="16102" xr:uid="{00000000-0005-0000-0000-0000DB6E0000}"/>
    <cellStyle name="Normal 3 4 5 10 10 2" xfId="33580" xr:uid="{00000000-0005-0000-0000-0000DC6E0000}"/>
    <cellStyle name="Normal 3 4 5 10 11" xfId="16103" xr:uid="{00000000-0005-0000-0000-0000DD6E0000}"/>
    <cellStyle name="Normal 3 4 5 10 11 2" xfId="33581" xr:uid="{00000000-0005-0000-0000-0000DE6E0000}"/>
    <cellStyle name="Normal 3 4 5 10 12" xfId="16104" xr:uid="{00000000-0005-0000-0000-0000DF6E0000}"/>
    <cellStyle name="Normal 3 4 5 10 12 2" xfId="33582" xr:uid="{00000000-0005-0000-0000-0000E06E0000}"/>
    <cellStyle name="Normal 3 4 5 10 13" xfId="16105" xr:uid="{00000000-0005-0000-0000-0000E16E0000}"/>
    <cellStyle name="Normal 3 4 5 10 13 2" xfId="33583" xr:uid="{00000000-0005-0000-0000-0000E26E0000}"/>
    <cellStyle name="Normal 3 4 5 10 14" xfId="16106" xr:uid="{00000000-0005-0000-0000-0000E36E0000}"/>
    <cellStyle name="Normal 3 4 5 10 14 2" xfId="33584" xr:uid="{00000000-0005-0000-0000-0000E46E0000}"/>
    <cellStyle name="Normal 3 4 5 10 15" xfId="33579" xr:uid="{00000000-0005-0000-0000-0000E56E0000}"/>
    <cellStyle name="Normal 3 4 5 10 2" xfId="16107" xr:uid="{00000000-0005-0000-0000-0000E66E0000}"/>
    <cellStyle name="Normal 3 4 5 10 2 2" xfId="33585" xr:uid="{00000000-0005-0000-0000-0000E76E0000}"/>
    <cellStyle name="Normal 3 4 5 10 3" xfId="16108" xr:uid="{00000000-0005-0000-0000-0000E86E0000}"/>
    <cellStyle name="Normal 3 4 5 10 3 2" xfId="33586" xr:uid="{00000000-0005-0000-0000-0000E96E0000}"/>
    <cellStyle name="Normal 3 4 5 10 4" xfId="16109" xr:uid="{00000000-0005-0000-0000-0000EA6E0000}"/>
    <cellStyle name="Normal 3 4 5 10 4 2" xfId="33587" xr:uid="{00000000-0005-0000-0000-0000EB6E0000}"/>
    <cellStyle name="Normal 3 4 5 10 5" xfId="16110" xr:uid="{00000000-0005-0000-0000-0000EC6E0000}"/>
    <cellStyle name="Normal 3 4 5 10 5 2" xfId="33588" xr:uid="{00000000-0005-0000-0000-0000ED6E0000}"/>
    <cellStyle name="Normal 3 4 5 10 6" xfId="16111" xr:uid="{00000000-0005-0000-0000-0000EE6E0000}"/>
    <cellStyle name="Normal 3 4 5 10 6 2" xfId="33589" xr:uid="{00000000-0005-0000-0000-0000EF6E0000}"/>
    <cellStyle name="Normal 3 4 5 10 7" xfId="16112" xr:uid="{00000000-0005-0000-0000-0000F06E0000}"/>
    <cellStyle name="Normal 3 4 5 10 7 2" xfId="33590" xr:uid="{00000000-0005-0000-0000-0000F16E0000}"/>
    <cellStyle name="Normal 3 4 5 10 8" xfId="16113" xr:uid="{00000000-0005-0000-0000-0000F26E0000}"/>
    <cellStyle name="Normal 3 4 5 10 8 2" xfId="33591" xr:uid="{00000000-0005-0000-0000-0000F36E0000}"/>
    <cellStyle name="Normal 3 4 5 10 9" xfId="16114" xr:uid="{00000000-0005-0000-0000-0000F46E0000}"/>
    <cellStyle name="Normal 3 4 5 10 9 2" xfId="33592" xr:uid="{00000000-0005-0000-0000-0000F56E0000}"/>
    <cellStyle name="Normal 3 4 5 11" xfId="16115" xr:uid="{00000000-0005-0000-0000-0000F66E0000}"/>
    <cellStyle name="Normal 3 4 5 11 10" xfId="16116" xr:uid="{00000000-0005-0000-0000-0000F76E0000}"/>
    <cellStyle name="Normal 3 4 5 11 10 2" xfId="33594" xr:uid="{00000000-0005-0000-0000-0000F86E0000}"/>
    <cellStyle name="Normal 3 4 5 11 11" xfId="16117" xr:uid="{00000000-0005-0000-0000-0000F96E0000}"/>
    <cellStyle name="Normal 3 4 5 11 11 2" xfId="33595" xr:uid="{00000000-0005-0000-0000-0000FA6E0000}"/>
    <cellStyle name="Normal 3 4 5 11 12" xfId="16118" xr:uid="{00000000-0005-0000-0000-0000FB6E0000}"/>
    <cellStyle name="Normal 3 4 5 11 12 2" xfId="33596" xr:uid="{00000000-0005-0000-0000-0000FC6E0000}"/>
    <cellStyle name="Normal 3 4 5 11 13" xfId="16119" xr:uid="{00000000-0005-0000-0000-0000FD6E0000}"/>
    <cellStyle name="Normal 3 4 5 11 13 2" xfId="33597" xr:uid="{00000000-0005-0000-0000-0000FE6E0000}"/>
    <cellStyle name="Normal 3 4 5 11 14" xfId="16120" xr:uid="{00000000-0005-0000-0000-0000FF6E0000}"/>
    <cellStyle name="Normal 3 4 5 11 14 2" xfId="33598" xr:uid="{00000000-0005-0000-0000-0000006F0000}"/>
    <cellStyle name="Normal 3 4 5 11 15" xfId="33593" xr:uid="{00000000-0005-0000-0000-0000016F0000}"/>
    <cellStyle name="Normal 3 4 5 11 2" xfId="16121" xr:uid="{00000000-0005-0000-0000-0000026F0000}"/>
    <cellStyle name="Normal 3 4 5 11 2 2" xfId="33599" xr:uid="{00000000-0005-0000-0000-0000036F0000}"/>
    <cellStyle name="Normal 3 4 5 11 3" xfId="16122" xr:uid="{00000000-0005-0000-0000-0000046F0000}"/>
    <cellStyle name="Normal 3 4 5 11 3 2" xfId="33600" xr:uid="{00000000-0005-0000-0000-0000056F0000}"/>
    <cellStyle name="Normal 3 4 5 11 4" xfId="16123" xr:uid="{00000000-0005-0000-0000-0000066F0000}"/>
    <cellStyle name="Normal 3 4 5 11 4 2" xfId="33601" xr:uid="{00000000-0005-0000-0000-0000076F0000}"/>
    <cellStyle name="Normal 3 4 5 11 5" xfId="16124" xr:uid="{00000000-0005-0000-0000-0000086F0000}"/>
    <cellStyle name="Normal 3 4 5 11 5 2" xfId="33602" xr:uid="{00000000-0005-0000-0000-0000096F0000}"/>
    <cellStyle name="Normal 3 4 5 11 6" xfId="16125" xr:uid="{00000000-0005-0000-0000-00000A6F0000}"/>
    <cellStyle name="Normal 3 4 5 11 6 2" xfId="33603" xr:uid="{00000000-0005-0000-0000-00000B6F0000}"/>
    <cellStyle name="Normal 3 4 5 11 7" xfId="16126" xr:uid="{00000000-0005-0000-0000-00000C6F0000}"/>
    <cellStyle name="Normal 3 4 5 11 7 2" xfId="33604" xr:uid="{00000000-0005-0000-0000-00000D6F0000}"/>
    <cellStyle name="Normal 3 4 5 11 8" xfId="16127" xr:uid="{00000000-0005-0000-0000-00000E6F0000}"/>
    <cellStyle name="Normal 3 4 5 11 8 2" xfId="33605" xr:uid="{00000000-0005-0000-0000-00000F6F0000}"/>
    <cellStyle name="Normal 3 4 5 11 9" xfId="16128" xr:uid="{00000000-0005-0000-0000-0000106F0000}"/>
    <cellStyle name="Normal 3 4 5 11 9 2" xfId="33606" xr:uid="{00000000-0005-0000-0000-0000116F0000}"/>
    <cellStyle name="Normal 3 4 5 12" xfId="16129" xr:uid="{00000000-0005-0000-0000-0000126F0000}"/>
    <cellStyle name="Normal 3 4 5 12 10" xfId="16130" xr:uid="{00000000-0005-0000-0000-0000136F0000}"/>
    <cellStyle name="Normal 3 4 5 12 10 2" xfId="33608" xr:uid="{00000000-0005-0000-0000-0000146F0000}"/>
    <cellStyle name="Normal 3 4 5 12 11" xfId="16131" xr:uid="{00000000-0005-0000-0000-0000156F0000}"/>
    <cellStyle name="Normal 3 4 5 12 11 2" xfId="33609" xr:uid="{00000000-0005-0000-0000-0000166F0000}"/>
    <cellStyle name="Normal 3 4 5 12 12" xfId="16132" xr:uid="{00000000-0005-0000-0000-0000176F0000}"/>
    <cellStyle name="Normal 3 4 5 12 12 2" xfId="33610" xr:uid="{00000000-0005-0000-0000-0000186F0000}"/>
    <cellStyle name="Normal 3 4 5 12 13" xfId="16133" xr:uid="{00000000-0005-0000-0000-0000196F0000}"/>
    <cellStyle name="Normal 3 4 5 12 13 2" xfId="33611" xr:uid="{00000000-0005-0000-0000-00001A6F0000}"/>
    <cellStyle name="Normal 3 4 5 12 14" xfId="16134" xr:uid="{00000000-0005-0000-0000-00001B6F0000}"/>
    <cellStyle name="Normal 3 4 5 12 14 2" xfId="33612" xr:uid="{00000000-0005-0000-0000-00001C6F0000}"/>
    <cellStyle name="Normal 3 4 5 12 15" xfId="33607" xr:uid="{00000000-0005-0000-0000-00001D6F0000}"/>
    <cellStyle name="Normal 3 4 5 12 2" xfId="16135" xr:uid="{00000000-0005-0000-0000-00001E6F0000}"/>
    <cellStyle name="Normal 3 4 5 12 2 2" xfId="33613" xr:uid="{00000000-0005-0000-0000-00001F6F0000}"/>
    <cellStyle name="Normal 3 4 5 12 3" xfId="16136" xr:uid="{00000000-0005-0000-0000-0000206F0000}"/>
    <cellStyle name="Normal 3 4 5 12 3 2" xfId="33614" xr:uid="{00000000-0005-0000-0000-0000216F0000}"/>
    <cellStyle name="Normal 3 4 5 12 4" xfId="16137" xr:uid="{00000000-0005-0000-0000-0000226F0000}"/>
    <cellStyle name="Normal 3 4 5 12 4 2" xfId="33615" xr:uid="{00000000-0005-0000-0000-0000236F0000}"/>
    <cellStyle name="Normal 3 4 5 12 5" xfId="16138" xr:uid="{00000000-0005-0000-0000-0000246F0000}"/>
    <cellStyle name="Normal 3 4 5 12 5 2" xfId="33616" xr:uid="{00000000-0005-0000-0000-0000256F0000}"/>
    <cellStyle name="Normal 3 4 5 12 6" xfId="16139" xr:uid="{00000000-0005-0000-0000-0000266F0000}"/>
    <cellStyle name="Normal 3 4 5 12 6 2" xfId="33617" xr:uid="{00000000-0005-0000-0000-0000276F0000}"/>
    <cellStyle name="Normal 3 4 5 12 7" xfId="16140" xr:uid="{00000000-0005-0000-0000-0000286F0000}"/>
    <cellStyle name="Normal 3 4 5 12 7 2" xfId="33618" xr:uid="{00000000-0005-0000-0000-0000296F0000}"/>
    <cellStyle name="Normal 3 4 5 12 8" xfId="16141" xr:uid="{00000000-0005-0000-0000-00002A6F0000}"/>
    <cellStyle name="Normal 3 4 5 12 8 2" xfId="33619" xr:uid="{00000000-0005-0000-0000-00002B6F0000}"/>
    <cellStyle name="Normal 3 4 5 12 9" xfId="16142" xr:uid="{00000000-0005-0000-0000-00002C6F0000}"/>
    <cellStyle name="Normal 3 4 5 12 9 2" xfId="33620" xr:uid="{00000000-0005-0000-0000-00002D6F0000}"/>
    <cellStyle name="Normal 3 4 5 13" xfId="16143" xr:uid="{00000000-0005-0000-0000-00002E6F0000}"/>
    <cellStyle name="Normal 3 4 5 13 10" xfId="16144" xr:uid="{00000000-0005-0000-0000-00002F6F0000}"/>
    <cellStyle name="Normal 3 4 5 13 10 2" xfId="33622" xr:uid="{00000000-0005-0000-0000-0000306F0000}"/>
    <cellStyle name="Normal 3 4 5 13 11" xfId="16145" xr:uid="{00000000-0005-0000-0000-0000316F0000}"/>
    <cellStyle name="Normal 3 4 5 13 11 2" xfId="33623" xr:uid="{00000000-0005-0000-0000-0000326F0000}"/>
    <cellStyle name="Normal 3 4 5 13 12" xfId="16146" xr:uid="{00000000-0005-0000-0000-0000336F0000}"/>
    <cellStyle name="Normal 3 4 5 13 12 2" xfId="33624" xr:uid="{00000000-0005-0000-0000-0000346F0000}"/>
    <cellStyle name="Normal 3 4 5 13 13" xfId="16147" xr:uid="{00000000-0005-0000-0000-0000356F0000}"/>
    <cellStyle name="Normal 3 4 5 13 13 2" xfId="33625" xr:uid="{00000000-0005-0000-0000-0000366F0000}"/>
    <cellStyle name="Normal 3 4 5 13 14" xfId="16148" xr:uid="{00000000-0005-0000-0000-0000376F0000}"/>
    <cellStyle name="Normal 3 4 5 13 14 2" xfId="33626" xr:uid="{00000000-0005-0000-0000-0000386F0000}"/>
    <cellStyle name="Normal 3 4 5 13 15" xfId="33621" xr:uid="{00000000-0005-0000-0000-0000396F0000}"/>
    <cellStyle name="Normal 3 4 5 13 2" xfId="16149" xr:uid="{00000000-0005-0000-0000-00003A6F0000}"/>
    <cellStyle name="Normal 3 4 5 13 2 2" xfId="33627" xr:uid="{00000000-0005-0000-0000-00003B6F0000}"/>
    <cellStyle name="Normal 3 4 5 13 3" xfId="16150" xr:uid="{00000000-0005-0000-0000-00003C6F0000}"/>
    <cellStyle name="Normal 3 4 5 13 3 2" xfId="33628" xr:uid="{00000000-0005-0000-0000-00003D6F0000}"/>
    <cellStyle name="Normal 3 4 5 13 4" xfId="16151" xr:uid="{00000000-0005-0000-0000-00003E6F0000}"/>
    <cellStyle name="Normal 3 4 5 13 4 2" xfId="33629" xr:uid="{00000000-0005-0000-0000-00003F6F0000}"/>
    <cellStyle name="Normal 3 4 5 13 5" xfId="16152" xr:uid="{00000000-0005-0000-0000-0000406F0000}"/>
    <cellStyle name="Normal 3 4 5 13 5 2" xfId="33630" xr:uid="{00000000-0005-0000-0000-0000416F0000}"/>
    <cellStyle name="Normal 3 4 5 13 6" xfId="16153" xr:uid="{00000000-0005-0000-0000-0000426F0000}"/>
    <cellStyle name="Normal 3 4 5 13 6 2" xfId="33631" xr:uid="{00000000-0005-0000-0000-0000436F0000}"/>
    <cellStyle name="Normal 3 4 5 13 7" xfId="16154" xr:uid="{00000000-0005-0000-0000-0000446F0000}"/>
    <cellStyle name="Normal 3 4 5 13 7 2" xfId="33632" xr:uid="{00000000-0005-0000-0000-0000456F0000}"/>
    <cellStyle name="Normal 3 4 5 13 8" xfId="16155" xr:uid="{00000000-0005-0000-0000-0000466F0000}"/>
    <cellStyle name="Normal 3 4 5 13 8 2" xfId="33633" xr:uid="{00000000-0005-0000-0000-0000476F0000}"/>
    <cellStyle name="Normal 3 4 5 13 9" xfId="16156" xr:uid="{00000000-0005-0000-0000-0000486F0000}"/>
    <cellStyle name="Normal 3 4 5 13 9 2" xfId="33634" xr:uid="{00000000-0005-0000-0000-0000496F0000}"/>
    <cellStyle name="Normal 3 4 5 14" xfId="16157" xr:uid="{00000000-0005-0000-0000-00004A6F0000}"/>
    <cellStyle name="Normal 3 4 5 14 10" xfId="16158" xr:uid="{00000000-0005-0000-0000-00004B6F0000}"/>
    <cellStyle name="Normal 3 4 5 14 10 2" xfId="33636" xr:uid="{00000000-0005-0000-0000-00004C6F0000}"/>
    <cellStyle name="Normal 3 4 5 14 11" xfId="16159" xr:uid="{00000000-0005-0000-0000-00004D6F0000}"/>
    <cellStyle name="Normal 3 4 5 14 11 2" xfId="33637" xr:uid="{00000000-0005-0000-0000-00004E6F0000}"/>
    <cellStyle name="Normal 3 4 5 14 12" xfId="16160" xr:uid="{00000000-0005-0000-0000-00004F6F0000}"/>
    <cellStyle name="Normal 3 4 5 14 12 2" xfId="33638" xr:uid="{00000000-0005-0000-0000-0000506F0000}"/>
    <cellStyle name="Normal 3 4 5 14 13" xfId="16161" xr:uid="{00000000-0005-0000-0000-0000516F0000}"/>
    <cellStyle name="Normal 3 4 5 14 13 2" xfId="33639" xr:uid="{00000000-0005-0000-0000-0000526F0000}"/>
    <cellStyle name="Normal 3 4 5 14 14" xfId="16162" xr:uid="{00000000-0005-0000-0000-0000536F0000}"/>
    <cellStyle name="Normal 3 4 5 14 14 2" xfId="33640" xr:uid="{00000000-0005-0000-0000-0000546F0000}"/>
    <cellStyle name="Normal 3 4 5 14 15" xfId="33635" xr:uid="{00000000-0005-0000-0000-0000556F0000}"/>
    <cellStyle name="Normal 3 4 5 14 2" xfId="16163" xr:uid="{00000000-0005-0000-0000-0000566F0000}"/>
    <cellStyle name="Normal 3 4 5 14 2 2" xfId="33641" xr:uid="{00000000-0005-0000-0000-0000576F0000}"/>
    <cellStyle name="Normal 3 4 5 14 3" xfId="16164" xr:uid="{00000000-0005-0000-0000-0000586F0000}"/>
    <cellStyle name="Normal 3 4 5 14 3 2" xfId="33642" xr:uid="{00000000-0005-0000-0000-0000596F0000}"/>
    <cellStyle name="Normal 3 4 5 14 4" xfId="16165" xr:uid="{00000000-0005-0000-0000-00005A6F0000}"/>
    <cellStyle name="Normal 3 4 5 14 4 2" xfId="33643" xr:uid="{00000000-0005-0000-0000-00005B6F0000}"/>
    <cellStyle name="Normal 3 4 5 14 5" xfId="16166" xr:uid="{00000000-0005-0000-0000-00005C6F0000}"/>
    <cellStyle name="Normal 3 4 5 14 5 2" xfId="33644" xr:uid="{00000000-0005-0000-0000-00005D6F0000}"/>
    <cellStyle name="Normal 3 4 5 14 6" xfId="16167" xr:uid="{00000000-0005-0000-0000-00005E6F0000}"/>
    <cellStyle name="Normal 3 4 5 14 6 2" xfId="33645" xr:uid="{00000000-0005-0000-0000-00005F6F0000}"/>
    <cellStyle name="Normal 3 4 5 14 7" xfId="16168" xr:uid="{00000000-0005-0000-0000-0000606F0000}"/>
    <cellStyle name="Normal 3 4 5 14 7 2" xfId="33646" xr:uid="{00000000-0005-0000-0000-0000616F0000}"/>
    <cellStyle name="Normal 3 4 5 14 8" xfId="16169" xr:uid="{00000000-0005-0000-0000-0000626F0000}"/>
    <cellStyle name="Normal 3 4 5 14 8 2" xfId="33647" xr:uid="{00000000-0005-0000-0000-0000636F0000}"/>
    <cellStyle name="Normal 3 4 5 14 9" xfId="16170" xr:uid="{00000000-0005-0000-0000-0000646F0000}"/>
    <cellStyle name="Normal 3 4 5 14 9 2" xfId="33648" xr:uid="{00000000-0005-0000-0000-0000656F0000}"/>
    <cellStyle name="Normal 3 4 5 15" xfId="16171" xr:uid="{00000000-0005-0000-0000-0000666F0000}"/>
    <cellStyle name="Normal 3 4 5 15 2" xfId="33649" xr:uid="{00000000-0005-0000-0000-0000676F0000}"/>
    <cellStyle name="Normal 3 4 5 16" xfId="16172" xr:uid="{00000000-0005-0000-0000-0000686F0000}"/>
    <cellStyle name="Normal 3 4 5 16 2" xfId="33650" xr:uid="{00000000-0005-0000-0000-0000696F0000}"/>
    <cellStyle name="Normal 3 4 5 17" xfId="16173" xr:uid="{00000000-0005-0000-0000-00006A6F0000}"/>
    <cellStyle name="Normal 3 4 5 17 2" xfId="33651" xr:uid="{00000000-0005-0000-0000-00006B6F0000}"/>
    <cellStyle name="Normal 3 4 5 18" xfId="16174" xr:uid="{00000000-0005-0000-0000-00006C6F0000}"/>
    <cellStyle name="Normal 3 4 5 18 2" xfId="33652" xr:uid="{00000000-0005-0000-0000-00006D6F0000}"/>
    <cellStyle name="Normal 3 4 5 19" xfId="16175" xr:uid="{00000000-0005-0000-0000-00006E6F0000}"/>
    <cellStyle name="Normal 3 4 5 19 2" xfId="33653" xr:uid="{00000000-0005-0000-0000-00006F6F0000}"/>
    <cellStyle name="Normal 3 4 5 2" xfId="16176" xr:uid="{00000000-0005-0000-0000-0000706F0000}"/>
    <cellStyle name="Normal 3 4 5 20" xfId="16177" xr:uid="{00000000-0005-0000-0000-0000716F0000}"/>
    <cellStyle name="Normal 3 4 5 20 2" xfId="33654" xr:uid="{00000000-0005-0000-0000-0000726F0000}"/>
    <cellStyle name="Normal 3 4 5 21" xfId="16178" xr:uid="{00000000-0005-0000-0000-0000736F0000}"/>
    <cellStyle name="Normal 3 4 5 21 2" xfId="33655" xr:uid="{00000000-0005-0000-0000-0000746F0000}"/>
    <cellStyle name="Normal 3 4 5 22" xfId="16179" xr:uid="{00000000-0005-0000-0000-0000756F0000}"/>
    <cellStyle name="Normal 3 4 5 22 2" xfId="33656" xr:uid="{00000000-0005-0000-0000-0000766F0000}"/>
    <cellStyle name="Normal 3 4 5 23" xfId="16180" xr:uid="{00000000-0005-0000-0000-0000776F0000}"/>
    <cellStyle name="Normal 3 4 5 23 2" xfId="33657" xr:uid="{00000000-0005-0000-0000-0000786F0000}"/>
    <cellStyle name="Normal 3 4 5 24" xfId="16181" xr:uid="{00000000-0005-0000-0000-0000796F0000}"/>
    <cellStyle name="Normal 3 4 5 24 2" xfId="33658" xr:uid="{00000000-0005-0000-0000-00007A6F0000}"/>
    <cellStyle name="Normal 3 4 5 25" xfId="16182" xr:uid="{00000000-0005-0000-0000-00007B6F0000}"/>
    <cellStyle name="Normal 3 4 5 25 2" xfId="33659" xr:uid="{00000000-0005-0000-0000-00007C6F0000}"/>
    <cellStyle name="Normal 3 4 5 26" xfId="16183" xr:uid="{00000000-0005-0000-0000-00007D6F0000}"/>
    <cellStyle name="Normal 3 4 5 26 2" xfId="33660" xr:uid="{00000000-0005-0000-0000-00007E6F0000}"/>
    <cellStyle name="Normal 3 4 5 27" xfId="16184" xr:uid="{00000000-0005-0000-0000-00007F6F0000}"/>
    <cellStyle name="Normal 3 4 5 27 2" xfId="33661" xr:uid="{00000000-0005-0000-0000-0000806F0000}"/>
    <cellStyle name="Normal 3 4 5 28" xfId="33578" xr:uid="{00000000-0005-0000-0000-0000816F0000}"/>
    <cellStyle name="Normal 3 4 5 3" xfId="16185" xr:uid="{00000000-0005-0000-0000-0000826F0000}"/>
    <cellStyle name="Normal 3 4 5 4" xfId="16186" xr:uid="{00000000-0005-0000-0000-0000836F0000}"/>
    <cellStyle name="Normal 3 4 5 5" xfId="16187" xr:uid="{00000000-0005-0000-0000-0000846F0000}"/>
    <cellStyle name="Normal 3 4 5 6" xfId="16188" xr:uid="{00000000-0005-0000-0000-0000856F0000}"/>
    <cellStyle name="Normal 3 4 5 6 10" xfId="16189" xr:uid="{00000000-0005-0000-0000-0000866F0000}"/>
    <cellStyle name="Normal 3 4 5 6 10 2" xfId="33663" xr:uid="{00000000-0005-0000-0000-0000876F0000}"/>
    <cellStyle name="Normal 3 4 5 6 11" xfId="16190" xr:uid="{00000000-0005-0000-0000-0000886F0000}"/>
    <cellStyle name="Normal 3 4 5 6 11 2" xfId="33664" xr:uid="{00000000-0005-0000-0000-0000896F0000}"/>
    <cellStyle name="Normal 3 4 5 6 12" xfId="16191" xr:uid="{00000000-0005-0000-0000-00008A6F0000}"/>
    <cellStyle name="Normal 3 4 5 6 12 2" xfId="33665" xr:uid="{00000000-0005-0000-0000-00008B6F0000}"/>
    <cellStyle name="Normal 3 4 5 6 13" xfId="16192" xr:uid="{00000000-0005-0000-0000-00008C6F0000}"/>
    <cellStyle name="Normal 3 4 5 6 13 2" xfId="33666" xr:uid="{00000000-0005-0000-0000-00008D6F0000}"/>
    <cellStyle name="Normal 3 4 5 6 14" xfId="16193" xr:uid="{00000000-0005-0000-0000-00008E6F0000}"/>
    <cellStyle name="Normal 3 4 5 6 14 2" xfId="33667" xr:uid="{00000000-0005-0000-0000-00008F6F0000}"/>
    <cellStyle name="Normal 3 4 5 6 15" xfId="16194" xr:uid="{00000000-0005-0000-0000-0000906F0000}"/>
    <cellStyle name="Normal 3 4 5 6 15 2" xfId="33668" xr:uid="{00000000-0005-0000-0000-0000916F0000}"/>
    <cellStyle name="Normal 3 4 5 6 16" xfId="33662" xr:uid="{00000000-0005-0000-0000-0000926F0000}"/>
    <cellStyle name="Normal 3 4 5 6 2" xfId="16195" xr:uid="{00000000-0005-0000-0000-0000936F0000}"/>
    <cellStyle name="Normal 3 4 5 6 2 10" xfId="16196" xr:uid="{00000000-0005-0000-0000-0000946F0000}"/>
    <cellStyle name="Normal 3 4 5 6 2 10 2" xfId="33670" xr:uid="{00000000-0005-0000-0000-0000956F0000}"/>
    <cellStyle name="Normal 3 4 5 6 2 11" xfId="16197" xr:uid="{00000000-0005-0000-0000-0000966F0000}"/>
    <cellStyle name="Normal 3 4 5 6 2 11 2" xfId="33671" xr:uid="{00000000-0005-0000-0000-0000976F0000}"/>
    <cellStyle name="Normal 3 4 5 6 2 12" xfId="16198" xr:uid="{00000000-0005-0000-0000-0000986F0000}"/>
    <cellStyle name="Normal 3 4 5 6 2 12 2" xfId="33672" xr:uid="{00000000-0005-0000-0000-0000996F0000}"/>
    <cellStyle name="Normal 3 4 5 6 2 13" xfId="16199" xr:uid="{00000000-0005-0000-0000-00009A6F0000}"/>
    <cellStyle name="Normal 3 4 5 6 2 13 2" xfId="33673" xr:uid="{00000000-0005-0000-0000-00009B6F0000}"/>
    <cellStyle name="Normal 3 4 5 6 2 14" xfId="16200" xr:uid="{00000000-0005-0000-0000-00009C6F0000}"/>
    <cellStyle name="Normal 3 4 5 6 2 14 2" xfId="33674" xr:uid="{00000000-0005-0000-0000-00009D6F0000}"/>
    <cellStyle name="Normal 3 4 5 6 2 15" xfId="33669" xr:uid="{00000000-0005-0000-0000-00009E6F0000}"/>
    <cellStyle name="Normal 3 4 5 6 2 2" xfId="16201" xr:uid="{00000000-0005-0000-0000-00009F6F0000}"/>
    <cellStyle name="Normal 3 4 5 6 2 2 2" xfId="33675" xr:uid="{00000000-0005-0000-0000-0000A06F0000}"/>
    <cellStyle name="Normal 3 4 5 6 2 3" xfId="16202" xr:uid="{00000000-0005-0000-0000-0000A16F0000}"/>
    <cellStyle name="Normal 3 4 5 6 2 3 2" xfId="33676" xr:uid="{00000000-0005-0000-0000-0000A26F0000}"/>
    <cellStyle name="Normal 3 4 5 6 2 4" xfId="16203" xr:uid="{00000000-0005-0000-0000-0000A36F0000}"/>
    <cellStyle name="Normal 3 4 5 6 2 4 2" xfId="33677" xr:uid="{00000000-0005-0000-0000-0000A46F0000}"/>
    <cellStyle name="Normal 3 4 5 6 2 5" xfId="16204" xr:uid="{00000000-0005-0000-0000-0000A56F0000}"/>
    <cellStyle name="Normal 3 4 5 6 2 5 2" xfId="33678" xr:uid="{00000000-0005-0000-0000-0000A66F0000}"/>
    <cellStyle name="Normal 3 4 5 6 2 6" xfId="16205" xr:uid="{00000000-0005-0000-0000-0000A76F0000}"/>
    <cellStyle name="Normal 3 4 5 6 2 6 2" xfId="33679" xr:uid="{00000000-0005-0000-0000-0000A86F0000}"/>
    <cellStyle name="Normal 3 4 5 6 2 7" xfId="16206" xr:uid="{00000000-0005-0000-0000-0000A96F0000}"/>
    <cellStyle name="Normal 3 4 5 6 2 7 2" xfId="33680" xr:uid="{00000000-0005-0000-0000-0000AA6F0000}"/>
    <cellStyle name="Normal 3 4 5 6 2 8" xfId="16207" xr:uid="{00000000-0005-0000-0000-0000AB6F0000}"/>
    <cellStyle name="Normal 3 4 5 6 2 8 2" xfId="33681" xr:uid="{00000000-0005-0000-0000-0000AC6F0000}"/>
    <cellStyle name="Normal 3 4 5 6 2 9" xfId="16208" xr:uid="{00000000-0005-0000-0000-0000AD6F0000}"/>
    <cellStyle name="Normal 3 4 5 6 2 9 2" xfId="33682" xr:uid="{00000000-0005-0000-0000-0000AE6F0000}"/>
    <cellStyle name="Normal 3 4 5 6 3" xfId="16209" xr:uid="{00000000-0005-0000-0000-0000AF6F0000}"/>
    <cellStyle name="Normal 3 4 5 6 3 2" xfId="33683" xr:uid="{00000000-0005-0000-0000-0000B06F0000}"/>
    <cellStyle name="Normal 3 4 5 6 4" xfId="16210" xr:uid="{00000000-0005-0000-0000-0000B16F0000}"/>
    <cellStyle name="Normal 3 4 5 6 4 2" xfId="33684" xr:uid="{00000000-0005-0000-0000-0000B26F0000}"/>
    <cellStyle name="Normal 3 4 5 6 5" xfId="16211" xr:uid="{00000000-0005-0000-0000-0000B36F0000}"/>
    <cellStyle name="Normal 3 4 5 6 5 2" xfId="33685" xr:uid="{00000000-0005-0000-0000-0000B46F0000}"/>
    <cellStyle name="Normal 3 4 5 6 6" xfId="16212" xr:uid="{00000000-0005-0000-0000-0000B56F0000}"/>
    <cellStyle name="Normal 3 4 5 6 6 2" xfId="33686" xr:uid="{00000000-0005-0000-0000-0000B66F0000}"/>
    <cellStyle name="Normal 3 4 5 6 7" xfId="16213" xr:uid="{00000000-0005-0000-0000-0000B76F0000}"/>
    <cellStyle name="Normal 3 4 5 6 7 2" xfId="33687" xr:uid="{00000000-0005-0000-0000-0000B86F0000}"/>
    <cellStyle name="Normal 3 4 5 6 8" xfId="16214" xr:uid="{00000000-0005-0000-0000-0000B96F0000}"/>
    <cellStyle name="Normal 3 4 5 6 8 2" xfId="33688" xr:uid="{00000000-0005-0000-0000-0000BA6F0000}"/>
    <cellStyle name="Normal 3 4 5 6 9" xfId="16215" xr:uid="{00000000-0005-0000-0000-0000BB6F0000}"/>
    <cellStyle name="Normal 3 4 5 6 9 2" xfId="33689" xr:uid="{00000000-0005-0000-0000-0000BC6F0000}"/>
    <cellStyle name="Normal 3 4 5 7" xfId="16216" xr:uid="{00000000-0005-0000-0000-0000BD6F0000}"/>
    <cellStyle name="Normal 3 4 5 7 10" xfId="16217" xr:uid="{00000000-0005-0000-0000-0000BE6F0000}"/>
    <cellStyle name="Normal 3 4 5 7 10 2" xfId="33691" xr:uid="{00000000-0005-0000-0000-0000BF6F0000}"/>
    <cellStyle name="Normal 3 4 5 7 11" xfId="16218" xr:uid="{00000000-0005-0000-0000-0000C06F0000}"/>
    <cellStyle name="Normal 3 4 5 7 11 2" xfId="33692" xr:uid="{00000000-0005-0000-0000-0000C16F0000}"/>
    <cellStyle name="Normal 3 4 5 7 12" xfId="16219" xr:uid="{00000000-0005-0000-0000-0000C26F0000}"/>
    <cellStyle name="Normal 3 4 5 7 12 2" xfId="33693" xr:uid="{00000000-0005-0000-0000-0000C36F0000}"/>
    <cellStyle name="Normal 3 4 5 7 13" xfId="16220" xr:uid="{00000000-0005-0000-0000-0000C46F0000}"/>
    <cellStyle name="Normal 3 4 5 7 13 2" xfId="33694" xr:uid="{00000000-0005-0000-0000-0000C56F0000}"/>
    <cellStyle name="Normal 3 4 5 7 14" xfId="16221" xr:uid="{00000000-0005-0000-0000-0000C66F0000}"/>
    <cellStyle name="Normal 3 4 5 7 14 2" xfId="33695" xr:uid="{00000000-0005-0000-0000-0000C76F0000}"/>
    <cellStyle name="Normal 3 4 5 7 15" xfId="16222" xr:uid="{00000000-0005-0000-0000-0000C86F0000}"/>
    <cellStyle name="Normal 3 4 5 7 15 2" xfId="33696" xr:uid="{00000000-0005-0000-0000-0000C96F0000}"/>
    <cellStyle name="Normal 3 4 5 7 16" xfId="33690" xr:uid="{00000000-0005-0000-0000-0000CA6F0000}"/>
    <cellStyle name="Normal 3 4 5 7 2" xfId="16223" xr:uid="{00000000-0005-0000-0000-0000CB6F0000}"/>
    <cellStyle name="Normal 3 4 5 7 2 10" xfId="16224" xr:uid="{00000000-0005-0000-0000-0000CC6F0000}"/>
    <cellStyle name="Normal 3 4 5 7 2 10 2" xfId="33698" xr:uid="{00000000-0005-0000-0000-0000CD6F0000}"/>
    <cellStyle name="Normal 3 4 5 7 2 11" xfId="16225" xr:uid="{00000000-0005-0000-0000-0000CE6F0000}"/>
    <cellStyle name="Normal 3 4 5 7 2 11 2" xfId="33699" xr:uid="{00000000-0005-0000-0000-0000CF6F0000}"/>
    <cellStyle name="Normal 3 4 5 7 2 12" xfId="16226" xr:uid="{00000000-0005-0000-0000-0000D06F0000}"/>
    <cellStyle name="Normal 3 4 5 7 2 12 2" xfId="33700" xr:uid="{00000000-0005-0000-0000-0000D16F0000}"/>
    <cellStyle name="Normal 3 4 5 7 2 13" xfId="16227" xr:uid="{00000000-0005-0000-0000-0000D26F0000}"/>
    <cellStyle name="Normal 3 4 5 7 2 13 2" xfId="33701" xr:uid="{00000000-0005-0000-0000-0000D36F0000}"/>
    <cellStyle name="Normal 3 4 5 7 2 14" xfId="16228" xr:uid="{00000000-0005-0000-0000-0000D46F0000}"/>
    <cellStyle name="Normal 3 4 5 7 2 14 2" xfId="33702" xr:uid="{00000000-0005-0000-0000-0000D56F0000}"/>
    <cellStyle name="Normal 3 4 5 7 2 15" xfId="33697" xr:uid="{00000000-0005-0000-0000-0000D66F0000}"/>
    <cellStyle name="Normal 3 4 5 7 2 2" xfId="16229" xr:uid="{00000000-0005-0000-0000-0000D76F0000}"/>
    <cellStyle name="Normal 3 4 5 7 2 2 2" xfId="33703" xr:uid="{00000000-0005-0000-0000-0000D86F0000}"/>
    <cellStyle name="Normal 3 4 5 7 2 3" xfId="16230" xr:uid="{00000000-0005-0000-0000-0000D96F0000}"/>
    <cellStyle name="Normal 3 4 5 7 2 3 2" xfId="33704" xr:uid="{00000000-0005-0000-0000-0000DA6F0000}"/>
    <cellStyle name="Normal 3 4 5 7 2 4" xfId="16231" xr:uid="{00000000-0005-0000-0000-0000DB6F0000}"/>
    <cellStyle name="Normal 3 4 5 7 2 4 2" xfId="33705" xr:uid="{00000000-0005-0000-0000-0000DC6F0000}"/>
    <cellStyle name="Normal 3 4 5 7 2 5" xfId="16232" xr:uid="{00000000-0005-0000-0000-0000DD6F0000}"/>
    <cellStyle name="Normal 3 4 5 7 2 5 2" xfId="33706" xr:uid="{00000000-0005-0000-0000-0000DE6F0000}"/>
    <cellStyle name="Normal 3 4 5 7 2 6" xfId="16233" xr:uid="{00000000-0005-0000-0000-0000DF6F0000}"/>
    <cellStyle name="Normal 3 4 5 7 2 6 2" xfId="33707" xr:uid="{00000000-0005-0000-0000-0000E06F0000}"/>
    <cellStyle name="Normal 3 4 5 7 2 7" xfId="16234" xr:uid="{00000000-0005-0000-0000-0000E16F0000}"/>
    <cellStyle name="Normal 3 4 5 7 2 7 2" xfId="33708" xr:uid="{00000000-0005-0000-0000-0000E26F0000}"/>
    <cellStyle name="Normal 3 4 5 7 2 8" xfId="16235" xr:uid="{00000000-0005-0000-0000-0000E36F0000}"/>
    <cellStyle name="Normal 3 4 5 7 2 8 2" xfId="33709" xr:uid="{00000000-0005-0000-0000-0000E46F0000}"/>
    <cellStyle name="Normal 3 4 5 7 2 9" xfId="16236" xr:uid="{00000000-0005-0000-0000-0000E56F0000}"/>
    <cellStyle name="Normal 3 4 5 7 2 9 2" xfId="33710" xr:uid="{00000000-0005-0000-0000-0000E66F0000}"/>
    <cellStyle name="Normal 3 4 5 7 3" xfId="16237" xr:uid="{00000000-0005-0000-0000-0000E76F0000}"/>
    <cellStyle name="Normal 3 4 5 7 3 2" xfId="33711" xr:uid="{00000000-0005-0000-0000-0000E86F0000}"/>
    <cellStyle name="Normal 3 4 5 7 4" xfId="16238" xr:uid="{00000000-0005-0000-0000-0000E96F0000}"/>
    <cellStyle name="Normal 3 4 5 7 4 2" xfId="33712" xr:uid="{00000000-0005-0000-0000-0000EA6F0000}"/>
    <cellStyle name="Normal 3 4 5 7 5" xfId="16239" xr:uid="{00000000-0005-0000-0000-0000EB6F0000}"/>
    <cellStyle name="Normal 3 4 5 7 5 2" xfId="33713" xr:uid="{00000000-0005-0000-0000-0000EC6F0000}"/>
    <cellStyle name="Normal 3 4 5 7 6" xfId="16240" xr:uid="{00000000-0005-0000-0000-0000ED6F0000}"/>
    <cellStyle name="Normal 3 4 5 7 6 2" xfId="33714" xr:uid="{00000000-0005-0000-0000-0000EE6F0000}"/>
    <cellStyle name="Normal 3 4 5 7 7" xfId="16241" xr:uid="{00000000-0005-0000-0000-0000EF6F0000}"/>
    <cellStyle name="Normal 3 4 5 7 7 2" xfId="33715" xr:uid="{00000000-0005-0000-0000-0000F06F0000}"/>
    <cellStyle name="Normal 3 4 5 7 8" xfId="16242" xr:uid="{00000000-0005-0000-0000-0000F16F0000}"/>
    <cellStyle name="Normal 3 4 5 7 8 2" xfId="33716" xr:uid="{00000000-0005-0000-0000-0000F26F0000}"/>
    <cellStyle name="Normal 3 4 5 7 9" xfId="16243" xr:uid="{00000000-0005-0000-0000-0000F36F0000}"/>
    <cellStyle name="Normal 3 4 5 7 9 2" xfId="33717" xr:uid="{00000000-0005-0000-0000-0000F46F0000}"/>
    <cellStyle name="Normal 3 4 5 8" xfId="16244" xr:uid="{00000000-0005-0000-0000-0000F56F0000}"/>
    <cellStyle name="Normal 3 4 5 8 10" xfId="16245" xr:uid="{00000000-0005-0000-0000-0000F66F0000}"/>
    <cellStyle name="Normal 3 4 5 8 10 2" xfId="33719" xr:uid="{00000000-0005-0000-0000-0000F76F0000}"/>
    <cellStyle name="Normal 3 4 5 8 11" xfId="16246" xr:uid="{00000000-0005-0000-0000-0000F86F0000}"/>
    <cellStyle name="Normal 3 4 5 8 11 2" xfId="33720" xr:uid="{00000000-0005-0000-0000-0000F96F0000}"/>
    <cellStyle name="Normal 3 4 5 8 12" xfId="16247" xr:uid="{00000000-0005-0000-0000-0000FA6F0000}"/>
    <cellStyle name="Normal 3 4 5 8 12 2" xfId="33721" xr:uid="{00000000-0005-0000-0000-0000FB6F0000}"/>
    <cellStyle name="Normal 3 4 5 8 13" xfId="16248" xr:uid="{00000000-0005-0000-0000-0000FC6F0000}"/>
    <cellStyle name="Normal 3 4 5 8 13 2" xfId="33722" xr:uid="{00000000-0005-0000-0000-0000FD6F0000}"/>
    <cellStyle name="Normal 3 4 5 8 14" xfId="16249" xr:uid="{00000000-0005-0000-0000-0000FE6F0000}"/>
    <cellStyle name="Normal 3 4 5 8 14 2" xfId="33723" xr:uid="{00000000-0005-0000-0000-0000FF6F0000}"/>
    <cellStyle name="Normal 3 4 5 8 15" xfId="16250" xr:uid="{00000000-0005-0000-0000-000000700000}"/>
    <cellStyle name="Normal 3 4 5 8 15 2" xfId="33724" xr:uid="{00000000-0005-0000-0000-000001700000}"/>
    <cellStyle name="Normal 3 4 5 8 16" xfId="33718" xr:uid="{00000000-0005-0000-0000-000002700000}"/>
    <cellStyle name="Normal 3 4 5 8 2" xfId="16251" xr:uid="{00000000-0005-0000-0000-000003700000}"/>
    <cellStyle name="Normal 3 4 5 8 2 10" xfId="16252" xr:uid="{00000000-0005-0000-0000-000004700000}"/>
    <cellStyle name="Normal 3 4 5 8 2 10 2" xfId="33726" xr:uid="{00000000-0005-0000-0000-000005700000}"/>
    <cellStyle name="Normal 3 4 5 8 2 11" xfId="16253" xr:uid="{00000000-0005-0000-0000-000006700000}"/>
    <cellStyle name="Normal 3 4 5 8 2 11 2" xfId="33727" xr:uid="{00000000-0005-0000-0000-000007700000}"/>
    <cellStyle name="Normal 3 4 5 8 2 12" xfId="16254" xr:uid="{00000000-0005-0000-0000-000008700000}"/>
    <cellStyle name="Normal 3 4 5 8 2 12 2" xfId="33728" xr:uid="{00000000-0005-0000-0000-000009700000}"/>
    <cellStyle name="Normal 3 4 5 8 2 13" xfId="16255" xr:uid="{00000000-0005-0000-0000-00000A700000}"/>
    <cellStyle name="Normal 3 4 5 8 2 13 2" xfId="33729" xr:uid="{00000000-0005-0000-0000-00000B700000}"/>
    <cellStyle name="Normal 3 4 5 8 2 14" xfId="16256" xr:uid="{00000000-0005-0000-0000-00000C700000}"/>
    <cellStyle name="Normal 3 4 5 8 2 14 2" xfId="33730" xr:uid="{00000000-0005-0000-0000-00000D700000}"/>
    <cellStyle name="Normal 3 4 5 8 2 15" xfId="33725" xr:uid="{00000000-0005-0000-0000-00000E700000}"/>
    <cellStyle name="Normal 3 4 5 8 2 2" xfId="16257" xr:uid="{00000000-0005-0000-0000-00000F700000}"/>
    <cellStyle name="Normal 3 4 5 8 2 2 2" xfId="33731" xr:uid="{00000000-0005-0000-0000-000010700000}"/>
    <cellStyle name="Normal 3 4 5 8 2 3" xfId="16258" xr:uid="{00000000-0005-0000-0000-000011700000}"/>
    <cellStyle name="Normal 3 4 5 8 2 3 2" xfId="33732" xr:uid="{00000000-0005-0000-0000-000012700000}"/>
    <cellStyle name="Normal 3 4 5 8 2 4" xfId="16259" xr:uid="{00000000-0005-0000-0000-000013700000}"/>
    <cellStyle name="Normal 3 4 5 8 2 4 2" xfId="33733" xr:uid="{00000000-0005-0000-0000-000014700000}"/>
    <cellStyle name="Normal 3 4 5 8 2 5" xfId="16260" xr:uid="{00000000-0005-0000-0000-000015700000}"/>
    <cellStyle name="Normal 3 4 5 8 2 5 2" xfId="33734" xr:uid="{00000000-0005-0000-0000-000016700000}"/>
    <cellStyle name="Normal 3 4 5 8 2 6" xfId="16261" xr:uid="{00000000-0005-0000-0000-000017700000}"/>
    <cellStyle name="Normal 3 4 5 8 2 6 2" xfId="33735" xr:uid="{00000000-0005-0000-0000-000018700000}"/>
    <cellStyle name="Normal 3 4 5 8 2 7" xfId="16262" xr:uid="{00000000-0005-0000-0000-000019700000}"/>
    <cellStyle name="Normal 3 4 5 8 2 7 2" xfId="33736" xr:uid="{00000000-0005-0000-0000-00001A700000}"/>
    <cellStyle name="Normal 3 4 5 8 2 8" xfId="16263" xr:uid="{00000000-0005-0000-0000-00001B700000}"/>
    <cellStyle name="Normal 3 4 5 8 2 8 2" xfId="33737" xr:uid="{00000000-0005-0000-0000-00001C700000}"/>
    <cellStyle name="Normal 3 4 5 8 2 9" xfId="16264" xr:uid="{00000000-0005-0000-0000-00001D700000}"/>
    <cellStyle name="Normal 3 4 5 8 2 9 2" xfId="33738" xr:uid="{00000000-0005-0000-0000-00001E700000}"/>
    <cellStyle name="Normal 3 4 5 8 3" xfId="16265" xr:uid="{00000000-0005-0000-0000-00001F700000}"/>
    <cellStyle name="Normal 3 4 5 8 3 2" xfId="33739" xr:uid="{00000000-0005-0000-0000-000020700000}"/>
    <cellStyle name="Normal 3 4 5 8 4" xfId="16266" xr:uid="{00000000-0005-0000-0000-000021700000}"/>
    <cellStyle name="Normal 3 4 5 8 4 2" xfId="33740" xr:uid="{00000000-0005-0000-0000-000022700000}"/>
    <cellStyle name="Normal 3 4 5 8 5" xfId="16267" xr:uid="{00000000-0005-0000-0000-000023700000}"/>
    <cellStyle name="Normal 3 4 5 8 5 2" xfId="33741" xr:uid="{00000000-0005-0000-0000-000024700000}"/>
    <cellStyle name="Normal 3 4 5 8 6" xfId="16268" xr:uid="{00000000-0005-0000-0000-000025700000}"/>
    <cellStyle name="Normal 3 4 5 8 6 2" xfId="33742" xr:uid="{00000000-0005-0000-0000-000026700000}"/>
    <cellStyle name="Normal 3 4 5 8 7" xfId="16269" xr:uid="{00000000-0005-0000-0000-000027700000}"/>
    <cellStyle name="Normal 3 4 5 8 7 2" xfId="33743" xr:uid="{00000000-0005-0000-0000-000028700000}"/>
    <cellStyle name="Normal 3 4 5 8 8" xfId="16270" xr:uid="{00000000-0005-0000-0000-000029700000}"/>
    <cellStyle name="Normal 3 4 5 8 8 2" xfId="33744" xr:uid="{00000000-0005-0000-0000-00002A700000}"/>
    <cellStyle name="Normal 3 4 5 8 9" xfId="16271" xr:uid="{00000000-0005-0000-0000-00002B700000}"/>
    <cellStyle name="Normal 3 4 5 8 9 2" xfId="33745" xr:uid="{00000000-0005-0000-0000-00002C700000}"/>
    <cellStyle name="Normal 3 4 5 9" xfId="16272" xr:uid="{00000000-0005-0000-0000-00002D700000}"/>
    <cellStyle name="Normal 3 4 5 9 10" xfId="16273" xr:uid="{00000000-0005-0000-0000-00002E700000}"/>
    <cellStyle name="Normal 3 4 5 9 10 2" xfId="33747" xr:uid="{00000000-0005-0000-0000-00002F700000}"/>
    <cellStyle name="Normal 3 4 5 9 11" xfId="16274" xr:uid="{00000000-0005-0000-0000-000030700000}"/>
    <cellStyle name="Normal 3 4 5 9 11 2" xfId="33748" xr:uid="{00000000-0005-0000-0000-000031700000}"/>
    <cellStyle name="Normal 3 4 5 9 12" xfId="16275" xr:uid="{00000000-0005-0000-0000-000032700000}"/>
    <cellStyle name="Normal 3 4 5 9 12 2" xfId="33749" xr:uid="{00000000-0005-0000-0000-000033700000}"/>
    <cellStyle name="Normal 3 4 5 9 13" xfId="16276" xr:uid="{00000000-0005-0000-0000-000034700000}"/>
    <cellStyle name="Normal 3 4 5 9 13 2" xfId="33750" xr:uid="{00000000-0005-0000-0000-000035700000}"/>
    <cellStyle name="Normal 3 4 5 9 14" xfId="16277" xr:uid="{00000000-0005-0000-0000-000036700000}"/>
    <cellStyle name="Normal 3 4 5 9 14 2" xfId="33751" xr:uid="{00000000-0005-0000-0000-000037700000}"/>
    <cellStyle name="Normal 3 4 5 9 15" xfId="33746" xr:uid="{00000000-0005-0000-0000-000038700000}"/>
    <cellStyle name="Normal 3 4 5 9 2" xfId="16278" xr:uid="{00000000-0005-0000-0000-000039700000}"/>
    <cellStyle name="Normal 3 4 5 9 2 2" xfId="33752" xr:uid="{00000000-0005-0000-0000-00003A700000}"/>
    <cellStyle name="Normal 3 4 5 9 3" xfId="16279" xr:uid="{00000000-0005-0000-0000-00003B700000}"/>
    <cellStyle name="Normal 3 4 5 9 3 2" xfId="33753" xr:uid="{00000000-0005-0000-0000-00003C700000}"/>
    <cellStyle name="Normal 3 4 5 9 4" xfId="16280" xr:uid="{00000000-0005-0000-0000-00003D700000}"/>
    <cellStyle name="Normal 3 4 5 9 4 2" xfId="33754" xr:uid="{00000000-0005-0000-0000-00003E700000}"/>
    <cellStyle name="Normal 3 4 5 9 5" xfId="16281" xr:uid="{00000000-0005-0000-0000-00003F700000}"/>
    <cellStyle name="Normal 3 4 5 9 5 2" xfId="33755" xr:uid="{00000000-0005-0000-0000-000040700000}"/>
    <cellStyle name="Normal 3 4 5 9 6" xfId="16282" xr:uid="{00000000-0005-0000-0000-000041700000}"/>
    <cellStyle name="Normal 3 4 5 9 6 2" xfId="33756" xr:uid="{00000000-0005-0000-0000-000042700000}"/>
    <cellStyle name="Normal 3 4 5 9 7" xfId="16283" xr:uid="{00000000-0005-0000-0000-000043700000}"/>
    <cellStyle name="Normal 3 4 5 9 7 2" xfId="33757" xr:uid="{00000000-0005-0000-0000-000044700000}"/>
    <cellStyle name="Normal 3 4 5 9 8" xfId="16284" xr:uid="{00000000-0005-0000-0000-000045700000}"/>
    <cellStyle name="Normal 3 4 5 9 8 2" xfId="33758" xr:uid="{00000000-0005-0000-0000-000046700000}"/>
    <cellStyle name="Normal 3 4 5 9 9" xfId="16285" xr:uid="{00000000-0005-0000-0000-000047700000}"/>
    <cellStyle name="Normal 3 4 5 9 9 2" xfId="33759" xr:uid="{00000000-0005-0000-0000-000048700000}"/>
    <cellStyle name="Normal 3 4 6" xfId="16286" xr:uid="{00000000-0005-0000-0000-000049700000}"/>
    <cellStyle name="Normal 3 4 6 10" xfId="16287" xr:uid="{00000000-0005-0000-0000-00004A700000}"/>
    <cellStyle name="Normal 3 4 6 10 10" xfId="16288" xr:uid="{00000000-0005-0000-0000-00004B700000}"/>
    <cellStyle name="Normal 3 4 6 10 10 2" xfId="33762" xr:uid="{00000000-0005-0000-0000-00004C700000}"/>
    <cellStyle name="Normal 3 4 6 10 11" xfId="16289" xr:uid="{00000000-0005-0000-0000-00004D700000}"/>
    <cellStyle name="Normal 3 4 6 10 11 2" xfId="33763" xr:uid="{00000000-0005-0000-0000-00004E700000}"/>
    <cellStyle name="Normal 3 4 6 10 12" xfId="16290" xr:uid="{00000000-0005-0000-0000-00004F700000}"/>
    <cellStyle name="Normal 3 4 6 10 12 2" xfId="33764" xr:uid="{00000000-0005-0000-0000-000050700000}"/>
    <cellStyle name="Normal 3 4 6 10 13" xfId="16291" xr:uid="{00000000-0005-0000-0000-000051700000}"/>
    <cellStyle name="Normal 3 4 6 10 13 2" xfId="33765" xr:uid="{00000000-0005-0000-0000-000052700000}"/>
    <cellStyle name="Normal 3 4 6 10 14" xfId="16292" xr:uid="{00000000-0005-0000-0000-000053700000}"/>
    <cellStyle name="Normal 3 4 6 10 14 2" xfId="33766" xr:uid="{00000000-0005-0000-0000-000054700000}"/>
    <cellStyle name="Normal 3 4 6 10 15" xfId="33761" xr:uid="{00000000-0005-0000-0000-000055700000}"/>
    <cellStyle name="Normal 3 4 6 10 2" xfId="16293" xr:uid="{00000000-0005-0000-0000-000056700000}"/>
    <cellStyle name="Normal 3 4 6 10 2 2" xfId="33767" xr:uid="{00000000-0005-0000-0000-000057700000}"/>
    <cellStyle name="Normal 3 4 6 10 3" xfId="16294" xr:uid="{00000000-0005-0000-0000-000058700000}"/>
    <cellStyle name="Normal 3 4 6 10 3 2" xfId="33768" xr:uid="{00000000-0005-0000-0000-000059700000}"/>
    <cellStyle name="Normal 3 4 6 10 4" xfId="16295" xr:uid="{00000000-0005-0000-0000-00005A700000}"/>
    <cellStyle name="Normal 3 4 6 10 4 2" xfId="33769" xr:uid="{00000000-0005-0000-0000-00005B700000}"/>
    <cellStyle name="Normal 3 4 6 10 5" xfId="16296" xr:uid="{00000000-0005-0000-0000-00005C700000}"/>
    <cellStyle name="Normal 3 4 6 10 5 2" xfId="33770" xr:uid="{00000000-0005-0000-0000-00005D700000}"/>
    <cellStyle name="Normal 3 4 6 10 6" xfId="16297" xr:uid="{00000000-0005-0000-0000-00005E700000}"/>
    <cellStyle name="Normal 3 4 6 10 6 2" xfId="33771" xr:uid="{00000000-0005-0000-0000-00005F700000}"/>
    <cellStyle name="Normal 3 4 6 10 7" xfId="16298" xr:uid="{00000000-0005-0000-0000-000060700000}"/>
    <cellStyle name="Normal 3 4 6 10 7 2" xfId="33772" xr:uid="{00000000-0005-0000-0000-000061700000}"/>
    <cellStyle name="Normal 3 4 6 10 8" xfId="16299" xr:uid="{00000000-0005-0000-0000-000062700000}"/>
    <cellStyle name="Normal 3 4 6 10 8 2" xfId="33773" xr:uid="{00000000-0005-0000-0000-000063700000}"/>
    <cellStyle name="Normal 3 4 6 10 9" xfId="16300" xr:uid="{00000000-0005-0000-0000-000064700000}"/>
    <cellStyle name="Normal 3 4 6 10 9 2" xfId="33774" xr:uid="{00000000-0005-0000-0000-000065700000}"/>
    <cellStyle name="Normal 3 4 6 11" xfId="16301" xr:uid="{00000000-0005-0000-0000-000066700000}"/>
    <cellStyle name="Normal 3 4 6 11 10" xfId="16302" xr:uid="{00000000-0005-0000-0000-000067700000}"/>
    <cellStyle name="Normal 3 4 6 11 10 2" xfId="33776" xr:uid="{00000000-0005-0000-0000-000068700000}"/>
    <cellStyle name="Normal 3 4 6 11 11" xfId="16303" xr:uid="{00000000-0005-0000-0000-000069700000}"/>
    <cellStyle name="Normal 3 4 6 11 11 2" xfId="33777" xr:uid="{00000000-0005-0000-0000-00006A700000}"/>
    <cellStyle name="Normal 3 4 6 11 12" xfId="16304" xr:uid="{00000000-0005-0000-0000-00006B700000}"/>
    <cellStyle name="Normal 3 4 6 11 12 2" xfId="33778" xr:uid="{00000000-0005-0000-0000-00006C700000}"/>
    <cellStyle name="Normal 3 4 6 11 13" xfId="16305" xr:uid="{00000000-0005-0000-0000-00006D700000}"/>
    <cellStyle name="Normal 3 4 6 11 13 2" xfId="33779" xr:uid="{00000000-0005-0000-0000-00006E700000}"/>
    <cellStyle name="Normal 3 4 6 11 14" xfId="16306" xr:uid="{00000000-0005-0000-0000-00006F700000}"/>
    <cellStyle name="Normal 3 4 6 11 14 2" xfId="33780" xr:uid="{00000000-0005-0000-0000-000070700000}"/>
    <cellStyle name="Normal 3 4 6 11 15" xfId="33775" xr:uid="{00000000-0005-0000-0000-000071700000}"/>
    <cellStyle name="Normal 3 4 6 11 2" xfId="16307" xr:uid="{00000000-0005-0000-0000-000072700000}"/>
    <cellStyle name="Normal 3 4 6 11 2 2" xfId="33781" xr:uid="{00000000-0005-0000-0000-000073700000}"/>
    <cellStyle name="Normal 3 4 6 11 3" xfId="16308" xr:uid="{00000000-0005-0000-0000-000074700000}"/>
    <cellStyle name="Normal 3 4 6 11 3 2" xfId="33782" xr:uid="{00000000-0005-0000-0000-000075700000}"/>
    <cellStyle name="Normal 3 4 6 11 4" xfId="16309" xr:uid="{00000000-0005-0000-0000-000076700000}"/>
    <cellStyle name="Normal 3 4 6 11 4 2" xfId="33783" xr:uid="{00000000-0005-0000-0000-000077700000}"/>
    <cellStyle name="Normal 3 4 6 11 5" xfId="16310" xr:uid="{00000000-0005-0000-0000-000078700000}"/>
    <cellStyle name="Normal 3 4 6 11 5 2" xfId="33784" xr:uid="{00000000-0005-0000-0000-000079700000}"/>
    <cellStyle name="Normal 3 4 6 11 6" xfId="16311" xr:uid="{00000000-0005-0000-0000-00007A700000}"/>
    <cellStyle name="Normal 3 4 6 11 6 2" xfId="33785" xr:uid="{00000000-0005-0000-0000-00007B700000}"/>
    <cellStyle name="Normal 3 4 6 11 7" xfId="16312" xr:uid="{00000000-0005-0000-0000-00007C700000}"/>
    <cellStyle name="Normal 3 4 6 11 7 2" xfId="33786" xr:uid="{00000000-0005-0000-0000-00007D700000}"/>
    <cellStyle name="Normal 3 4 6 11 8" xfId="16313" xr:uid="{00000000-0005-0000-0000-00007E700000}"/>
    <cellStyle name="Normal 3 4 6 11 8 2" xfId="33787" xr:uid="{00000000-0005-0000-0000-00007F700000}"/>
    <cellStyle name="Normal 3 4 6 11 9" xfId="16314" xr:uid="{00000000-0005-0000-0000-000080700000}"/>
    <cellStyle name="Normal 3 4 6 11 9 2" xfId="33788" xr:uid="{00000000-0005-0000-0000-000081700000}"/>
    <cellStyle name="Normal 3 4 6 12" xfId="16315" xr:uid="{00000000-0005-0000-0000-000082700000}"/>
    <cellStyle name="Normal 3 4 6 12 10" xfId="16316" xr:uid="{00000000-0005-0000-0000-000083700000}"/>
    <cellStyle name="Normal 3 4 6 12 10 2" xfId="33790" xr:uid="{00000000-0005-0000-0000-000084700000}"/>
    <cellStyle name="Normal 3 4 6 12 11" xfId="16317" xr:uid="{00000000-0005-0000-0000-000085700000}"/>
    <cellStyle name="Normal 3 4 6 12 11 2" xfId="33791" xr:uid="{00000000-0005-0000-0000-000086700000}"/>
    <cellStyle name="Normal 3 4 6 12 12" xfId="16318" xr:uid="{00000000-0005-0000-0000-000087700000}"/>
    <cellStyle name="Normal 3 4 6 12 12 2" xfId="33792" xr:uid="{00000000-0005-0000-0000-000088700000}"/>
    <cellStyle name="Normal 3 4 6 12 13" xfId="16319" xr:uid="{00000000-0005-0000-0000-000089700000}"/>
    <cellStyle name="Normal 3 4 6 12 13 2" xfId="33793" xr:uid="{00000000-0005-0000-0000-00008A700000}"/>
    <cellStyle name="Normal 3 4 6 12 14" xfId="16320" xr:uid="{00000000-0005-0000-0000-00008B700000}"/>
    <cellStyle name="Normal 3 4 6 12 14 2" xfId="33794" xr:uid="{00000000-0005-0000-0000-00008C700000}"/>
    <cellStyle name="Normal 3 4 6 12 15" xfId="33789" xr:uid="{00000000-0005-0000-0000-00008D700000}"/>
    <cellStyle name="Normal 3 4 6 12 2" xfId="16321" xr:uid="{00000000-0005-0000-0000-00008E700000}"/>
    <cellStyle name="Normal 3 4 6 12 2 2" xfId="33795" xr:uid="{00000000-0005-0000-0000-00008F700000}"/>
    <cellStyle name="Normal 3 4 6 12 3" xfId="16322" xr:uid="{00000000-0005-0000-0000-000090700000}"/>
    <cellStyle name="Normal 3 4 6 12 3 2" xfId="33796" xr:uid="{00000000-0005-0000-0000-000091700000}"/>
    <cellStyle name="Normal 3 4 6 12 4" xfId="16323" xr:uid="{00000000-0005-0000-0000-000092700000}"/>
    <cellStyle name="Normal 3 4 6 12 4 2" xfId="33797" xr:uid="{00000000-0005-0000-0000-000093700000}"/>
    <cellStyle name="Normal 3 4 6 12 5" xfId="16324" xr:uid="{00000000-0005-0000-0000-000094700000}"/>
    <cellStyle name="Normal 3 4 6 12 5 2" xfId="33798" xr:uid="{00000000-0005-0000-0000-000095700000}"/>
    <cellStyle name="Normal 3 4 6 12 6" xfId="16325" xr:uid="{00000000-0005-0000-0000-000096700000}"/>
    <cellStyle name="Normal 3 4 6 12 6 2" xfId="33799" xr:uid="{00000000-0005-0000-0000-000097700000}"/>
    <cellStyle name="Normal 3 4 6 12 7" xfId="16326" xr:uid="{00000000-0005-0000-0000-000098700000}"/>
    <cellStyle name="Normal 3 4 6 12 7 2" xfId="33800" xr:uid="{00000000-0005-0000-0000-000099700000}"/>
    <cellStyle name="Normal 3 4 6 12 8" xfId="16327" xr:uid="{00000000-0005-0000-0000-00009A700000}"/>
    <cellStyle name="Normal 3 4 6 12 8 2" xfId="33801" xr:uid="{00000000-0005-0000-0000-00009B700000}"/>
    <cellStyle name="Normal 3 4 6 12 9" xfId="16328" xr:uid="{00000000-0005-0000-0000-00009C700000}"/>
    <cellStyle name="Normal 3 4 6 12 9 2" xfId="33802" xr:uid="{00000000-0005-0000-0000-00009D700000}"/>
    <cellStyle name="Normal 3 4 6 13" xfId="16329" xr:uid="{00000000-0005-0000-0000-00009E700000}"/>
    <cellStyle name="Normal 3 4 6 13 10" xfId="16330" xr:uid="{00000000-0005-0000-0000-00009F700000}"/>
    <cellStyle name="Normal 3 4 6 13 10 2" xfId="33804" xr:uid="{00000000-0005-0000-0000-0000A0700000}"/>
    <cellStyle name="Normal 3 4 6 13 11" xfId="16331" xr:uid="{00000000-0005-0000-0000-0000A1700000}"/>
    <cellStyle name="Normal 3 4 6 13 11 2" xfId="33805" xr:uid="{00000000-0005-0000-0000-0000A2700000}"/>
    <cellStyle name="Normal 3 4 6 13 12" xfId="16332" xr:uid="{00000000-0005-0000-0000-0000A3700000}"/>
    <cellStyle name="Normal 3 4 6 13 12 2" xfId="33806" xr:uid="{00000000-0005-0000-0000-0000A4700000}"/>
    <cellStyle name="Normal 3 4 6 13 13" xfId="16333" xr:uid="{00000000-0005-0000-0000-0000A5700000}"/>
    <cellStyle name="Normal 3 4 6 13 13 2" xfId="33807" xr:uid="{00000000-0005-0000-0000-0000A6700000}"/>
    <cellStyle name="Normal 3 4 6 13 14" xfId="16334" xr:uid="{00000000-0005-0000-0000-0000A7700000}"/>
    <cellStyle name="Normal 3 4 6 13 14 2" xfId="33808" xr:uid="{00000000-0005-0000-0000-0000A8700000}"/>
    <cellStyle name="Normal 3 4 6 13 15" xfId="33803" xr:uid="{00000000-0005-0000-0000-0000A9700000}"/>
    <cellStyle name="Normal 3 4 6 13 2" xfId="16335" xr:uid="{00000000-0005-0000-0000-0000AA700000}"/>
    <cellStyle name="Normal 3 4 6 13 2 2" xfId="33809" xr:uid="{00000000-0005-0000-0000-0000AB700000}"/>
    <cellStyle name="Normal 3 4 6 13 3" xfId="16336" xr:uid="{00000000-0005-0000-0000-0000AC700000}"/>
    <cellStyle name="Normal 3 4 6 13 3 2" xfId="33810" xr:uid="{00000000-0005-0000-0000-0000AD700000}"/>
    <cellStyle name="Normal 3 4 6 13 4" xfId="16337" xr:uid="{00000000-0005-0000-0000-0000AE700000}"/>
    <cellStyle name="Normal 3 4 6 13 4 2" xfId="33811" xr:uid="{00000000-0005-0000-0000-0000AF700000}"/>
    <cellStyle name="Normal 3 4 6 13 5" xfId="16338" xr:uid="{00000000-0005-0000-0000-0000B0700000}"/>
    <cellStyle name="Normal 3 4 6 13 5 2" xfId="33812" xr:uid="{00000000-0005-0000-0000-0000B1700000}"/>
    <cellStyle name="Normal 3 4 6 13 6" xfId="16339" xr:uid="{00000000-0005-0000-0000-0000B2700000}"/>
    <cellStyle name="Normal 3 4 6 13 6 2" xfId="33813" xr:uid="{00000000-0005-0000-0000-0000B3700000}"/>
    <cellStyle name="Normal 3 4 6 13 7" xfId="16340" xr:uid="{00000000-0005-0000-0000-0000B4700000}"/>
    <cellStyle name="Normal 3 4 6 13 7 2" xfId="33814" xr:uid="{00000000-0005-0000-0000-0000B5700000}"/>
    <cellStyle name="Normal 3 4 6 13 8" xfId="16341" xr:uid="{00000000-0005-0000-0000-0000B6700000}"/>
    <cellStyle name="Normal 3 4 6 13 8 2" xfId="33815" xr:uid="{00000000-0005-0000-0000-0000B7700000}"/>
    <cellStyle name="Normal 3 4 6 13 9" xfId="16342" xr:uid="{00000000-0005-0000-0000-0000B8700000}"/>
    <cellStyle name="Normal 3 4 6 13 9 2" xfId="33816" xr:uid="{00000000-0005-0000-0000-0000B9700000}"/>
    <cellStyle name="Normal 3 4 6 14" xfId="16343" xr:uid="{00000000-0005-0000-0000-0000BA700000}"/>
    <cellStyle name="Normal 3 4 6 14 10" xfId="16344" xr:uid="{00000000-0005-0000-0000-0000BB700000}"/>
    <cellStyle name="Normal 3 4 6 14 10 2" xfId="33818" xr:uid="{00000000-0005-0000-0000-0000BC700000}"/>
    <cellStyle name="Normal 3 4 6 14 11" xfId="16345" xr:uid="{00000000-0005-0000-0000-0000BD700000}"/>
    <cellStyle name="Normal 3 4 6 14 11 2" xfId="33819" xr:uid="{00000000-0005-0000-0000-0000BE700000}"/>
    <cellStyle name="Normal 3 4 6 14 12" xfId="16346" xr:uid="{00000000-0005-0000-0000-0000BF700000}"/>
    <cellStyle name="Normal 3 4 6 14 12 2" xfId="33820" xr:uid="{00000000-0005-0000-0000-0000C0700000}"/>
    <cellStyle name="Normal 3 4 6 14 13" xfId="16347" xr:uid="{00000000-0005-0000-0000-0000C1700000}"/>
    <cellStyle name="Normal 3 4 6 14 13 2" xfId="33821" xr:uid="{00000000-0005-0000-0000-0000C2700000}"/>
    <cellStyle name="Normal 3 4 6 14 14" xfId="16348" xr:uid="{00000000-0005-0000-0000-0000C3700000}"/>
    <cellStyle name="Normal 3 4 6 14 14 2" xfId="33822" xr:uid="{00000000-0005-0000-0000-0000C4700000}"/>
    <cellStyle name="Normal 3 4 6 14 15" xfId="33817" xr:uid="{00000000-0005-0000-0000-0000C5700000}"/>
    <cellStyle name="Normal 3 4 6 14 2" xfId="16349" xr:uid="{00000000-0005-0000-0000-0000C6700000}"/>
    <cellStyle name="Normal 3 4 6 14 2 2" xfId="33823" xr:uid="{00000000-0005-0000-0000-0000C7700000}"/>
    <cellStyle name="Normal 3 4 6 14 3" xfId="16350" xr:uid="{00000000-0005-0000-0000-0000C8700000}"/>
    <cellStyle name="Normal 3 4 6 14 3 2" xfId="33824" xr:uid="{00000000-0005-0000-0000-0000C9700000}"/>
    <cellStyle name="Normal 3 4 6 14 4" xfId="16351" xr:uid="{00000000-0005-0000-0000-0000CA700000}"/>
    <cellStyle name="Normal 3 4 6 14 4 2" xfId="33825" xr:uid="{00000000-0005-0000-0000-0000CB700000}"/>
    <cellStyle name="Normal 3 4 6 14 5" xfId="16352" xr:uid="{00000000-0005-0000-0000-0000CC700000}"/>
    <cellStyle name="Normal 3 4 6 14 5 2" xfId="33826" xr:uid="{00000000-0005-0000-0000-0000CD700000}"/>
    <cellStyle name="Normal 3 4 6 14 6" xfId="16353" xr:uid="{00000000-0005-0000-0000-0000CE700000}"/>
    <cellStyle name="Normal 3 4 6 14 6 2" xfId="33827" xr:uid="{00000000-0005-0000-0000-0000CF700000}"/>
    <cellStyle name="Normal 3 4 6 14 7" xfId="16354" xr:uid="{00000000-0005-0000-0000-0000D0700000}"/>
    <cellStyle name="Normal 3 4 6 14 7 2" xfId="33828" xr:uid="{00000000-0005-0000-0000-0000D1700000}"/>
    <cellStyle name="Normal 3 4 6 14 8" xfId="16355" xr:uid="{00000000-0005-0000-0000-0000D2700000}"/>
    <cellStyle name="Normal 3 4 6 14 8 2" xfId="33829" xr:uid="{00000000-0005-0000-0000-0000D3700000}"/>
    <cellStyle name="Normal 3 4 6 14 9" xfId="16356" xr:uid="{00000000-0005-0000-0000-0000D4700000}"/>
    <cellStyle name="Normal 3 4 6 14 9 2" xfId="33830" xr:uid="{00000000-0005-0000-0000-0000D5700000}"/>
    <cellStyle name="Normal 3 4 6 15" xfId="16357" xr:uid="{00000000-0005-0000-0000-0000D6700000}"/>
    <cellStyle name="Normal 3 4 6 15 2" xfId="33831" xr:uid="{00000000-0005-0000-0000-0000D7700000}"/>
    <cellStyle name="Normal 3 4 6 16" xfId="16358" xr:uid="{00000000-0005-0000-0000-0000D8700000}"/>
    <cellStyle name="Normal 3 4 6 16 2" xfId="33832" xr:uid="{00000000-0005-0000-0000-0000D9700000}"/>
    <cellStyle name="Normal 3 4 6 17" xfId="16359" xr:uid="{00000000-0005-0000-0000-0000DA700000}"/>
    <cellStyle name="Normal 3 4 6 17 2" xfId="33833" xr:uid="{00000000-0005-0000-0000-0000DB700000}"/>
    <cellStyle name="Normal 3 4 6 18" xfId="16360" xr:uid="{00000000-0005-0000-0000-0000DC700000}"/>
    <cellStyle name="Normal 3 4 6 18 2" xfId="33834" xr:uid="{00000000-0005-0000-0000-0000DD700000}"/>
    <cellStyle name="Normal 3 4 6 19" xfId="16361" xr:uid="{00000000-0005-0000-0000-0000DE700000}"/>
    <cellStyle name="Normal 3 4 6 19 2" xfId="33835" xr:uid="{00000000-0005-0000-0000-0000DF700000}"/>
    <cellStyle name="Normal 3 4 6 2" xfId="16362" xr:uid="{00000000-0005-0000-0000-0000E0700000}"/>
    <cellStyle name="Normal 3 4 6 20" xfId="16363" xr:uid="{00000000-0005-0000-0000-0000E1700000}"/>
    <cellStyle name="Normal 3 4 6 20 2" xfId="33836" xr:uid="{00000000-0005-0000-0000-0000E2700000}"/>
    <cellStyle name="Normal 3 4 6 21" xfId="16364" xr:uid="{00000000-0005-0000-0000-0000E3700000}"/>
    <cellStyle name="Normal 3 4 6 21 2" xfId="33837" xr:uid="{00000000-0005-0000-0000-0000E4700000}"/>
    <cellStyle name="Normal 3 4 6 22" xfId="16365" xr:uid="{00000000-0005-0000-0000-0000E5700000}"/>
    <cellStyle name="Normal 3 4 6 22 2" xfId="33838" xr:uid="{00000000-0005-0000-0000-0000E6700000}"/>
    <cellStyle name="Normal 3 4 6 23" xfId="16366" xr:uid="{00000000-0005-0000-0000-0000E7700000}"/>
    <cellStyle name="Normal 3 4 6 23 2" xfId="33839" xr:uid="{00000000-0005-0000-0000-0000E8700000}"/>
    <cellStyle name="Normal 3 4 6 24" xfId="16367" xr:uid="{00000000-0005-0000-0000-0000E9700000}"/>
    <cellStyle name="Normal 3 4 6 24 2" xfId="33840" xr:uid="{00000000-0005-0000-0000-0000EA700000}"/>
    <cellStyle name="Normal 3 4 6 25" xfId="16368" xr:uid="{00000000-0005-0000-0000-0000EB700000}"/>
    <cellStyle name="Normal 3 4 6 25 2" xfId="33841" xr:uid="{00000000-0005-0000-0000-0000EC700000}"/>
    <cellStyle name="Normal 3 4 6 26" xfId="16369" xr:uid="{00000000-0005-0000-0000-0000ED700000}"/>
    <cellStyle name="Normal 3 4 6 26 2" xfId="33842" xr:uid="{00000000-0005-0000-0000-0000EE700000}"/>
    <cellStyle name="Normal 3 4 6 27" xfId="16370" xr:uid="{00000000-0005-0000-0000-0000EF700000}"/>
    <cellStyle name="Normal 3 4 6 27 2" xfId="33843" xr:uid="{00000000-0005-0000-0000-0000F0700000}"/>
    <cellStyle name="Normal 3 4 6 28" xfId="33760" xr:uid="{00000000-0005-0000-0000-0000F1700000}"/>
    <cellStyle name="Normal 3 4 6 3" xfId="16371" xr:uid="{00000000-0005-0000-0000-0000F2700000}"/>
    <cellStyle name="Normal 3 4 6 4" xfId="16372" xr:uid="{00000000-0005-0000-0000-0000F3700000}"/>
    <cellStyle name="Normal 3 4 6 5" xfId="16373" xr:uid="{00000000-0005-0000-0000-0000F4700000}"/>
    <cellStyle name="Normal 3 4 6 6" xfId="16374" xr:uid="{00000000-0005-0000-0000-0000F5700000}"/>
    <cellStyle name="Normal 3 4 6 6 10" xfId="16375" xr:uid="{00000000-0005-0000-0000-0000F6700000}"/>
    <cellStyle name="Normal 3 4 6 6 10 2" xfId="33845" xr:uid="{00000000-0005-0000-0000-0000F7700000}"/>
    <cellStyle name="Normal 3 4 6 6 11" xfId="16376" xr:uid="{00000000-0005-0000-0000-0000F8700000}"/>
    <cellStyle name="Normal 3 4 6 6 11 2" xfId="33846" xr:uid="{00000000-0005-0000-0000-0000F9700000}"/>
    <cellStyle name="Normal 3 4 6 6 12" xfId="16377" xr:uid="{00000000-0005-0000-0000-0000FA700000}"/>
    <cellStyle name="Normal 3 4 6 6 12 2" xfId="33847" xr:uid="{00000000-0005-0000-0000-0000FB700000}"/>
    <cellStyle name="Normal 3 4 6 6 13" xfId="16378" xr:uid="{00000000-0005-0000-0000-0000FC700000}"/>
    <cellStyle name="Normal 3 4 6 6 13 2" xfId="33848" xr:uid="{00000000-0005-0000-0000-0000FD700000}"/>
    <cellStyle name="Normal 3 4 6 6 14" xfId="16379" xr:uid="{00000000-0005-0000-0000-0000FE700000}"/>
    <cellStyle name="Normal 3 4 6 6 14 2" xfId="33849" xr:uid="{00000000-0005-0000-0000-0000FF700000}"/>
    <cellStyle name="Normal 3 4 6 6 15" xfId="16380" xr:uid="{00000000-0005-0000-0000-000000710000}"/>
    <cellStyle name="Normal 3 4 6 6 15 2" xfId="33850" xr:uid="{00000000-0005-0000-0000-000001710000}"/>
    <cellStyle name="Normal 3 4 6 6 16" xfId="33844" xr:uid="{00000000-0005-0000-0000-000002710000}"/>
    <cellStyle name="Normal 3 4 6 6 2" xfId="16381" xr:uid="{00000000-0005-0000-0000-000003710000}"/>
    <cellStyle name="Normal 3 4 6 6 2 10" xfId="16382" xr:uid="{00000000-0005-0000-0000-000004710000}"/>
    <cellStyle name="Normal 3 4 6 6 2 10 2" xfId="33852" xr:uid="{00000000-0005-0000-0000-000005710000}"/>
    <cellStyle name="Normal 3 4 6 6 2 11" xfId="16383" xr:uid="{00000000-0005-0000-0000-000006710000}"/>
    <cellStyle name="Normal 3 4 6 6 2 11 2" xfId="33853" xr:uid="{00000000-0005-0000-0000-000007710000}"/>
    <cellStyle name="Normal 3 4 6 6 2 12" xfId="16384" xr:uid="{00000000-0005-0000-0000-000008710000}"/>
    <cellStyle name="Normal 3 4 6 6 2 12 2" xfId="33854" xr:uid="{00000000-0005-0000-0000-000009710000}"/>
    <cellStyle name="Normal 3 4 6 6 2 13" xfId="16385" xr:uid="{00000000-0005-0000-0000-00000A710000}"/>
    <cellStyle name="Normal 3 4 6 6 2 13 2" xfId="33855" xr:uid="{00000000-0005-0000-0000-00000B710000}"/>
    <cellStyle name="Normal 3 4 6 6 2 14" xfId="16386" xr:uid="{00000000-0005-0000-0000-00000C710000}"/>
    <cellStyle name="Normal 3 4 6 6 2 14 2" xfId="33856" xr:uid="{00000000-0005-0000-0000-00000D710000}"/>
    <cellStyle name="Normal 3 4 6 6 2 15" xfId="33851" xr:uid="{00000000-0005-0000-0000-00000E710000}"/>
    <cellStyle name="Normal 3 4 6 6 2 2" xfId="16387" xr:uid="{00000000-0005-0000-0000-00000F710000}"/>
    <cellStyle name="Normal 3 4 6 6 2 2 2" xfId="33857" xr:uid="{00000000-0005-0000-0000-000010710000}"/>
    <cellStyle name="Normal 3 4 6 6 2 3" xfId="16388" xr:uid="{00000000-0005-0000-0000-000011710000}"/>
    <cellStyle name="Normal 3 4 6 6 2 3 2" xfId="33858" xr:uid="{00000000-0005-0000-0000-000012710000}"/>
    <cellStyle name="Normal 3 4 6 6 2 4" xfId="16389" xr:uid="{00000000-0005-0000-0000-000013710000}"/>
    <cellStyle name="Normal 3 4 6 6 2 4 2" xfId="33859" xr:uid="{00000000-0005-0000-0000-000014710000}"/>
    <cellStyle name="Normal 3 4 6 6 2 5" xfId="16390" xr:uid="{00000000-0005-0000-0000-000015710000}"/>
    <cellStyle name="Normal 3 4 6 6 2 5 2" xfId="33860" xr:uid="{00000000-0005-0000-0000-000016710000}"/>
    <cellStyle name="Normal 3 4 6 6 2 6" xfId="16391" xr:uid="{00000000-0005-0000-0000-000017710000}"/>
    <cellStyle name="Normal 3 4 6 6 2 6 2" xfId="33861" xr:uid="{00000000-0005-0000-0000-000018710000}"/>
    <cellStyle name="Normal 3 4 6 6 2 7" xfId="16392" xr:uid="{00000000-0005-0000-0000-000019710000}"/>
    <cellStyle name="Normal 3 4 6 6 2 7 2" xfId="33862" xr:uid="{00000000-0005-0000-0000-00001A710000}"/>
    <cellStyle name="Normal 3 4 6 6 2 8" xfId="16393" xr:uid="{00000000-0005-0000-0000-00001B710000}"/>
    <cellStyle name="Normal 3 4 6 6 2 8 2" xfId="33863" xr:uid="{00000000-0005-0000-0000-00001C710000}"/>
    <cellStyle name="Normal 3 4 6 6 2 9" xfId="16394" xr:uid="{00000000-0005-0000-0000-00001D710000}"/>
    <cellStyle name="Normal 3 4 6 6 2 9 2" xfId="33864" xr:uid="{00000000-0005-0000-0000-00001E710000}"/>
    <cellStyle name="Normal 3 4 6 6 3" xfId="16395" xr:uid="{00000000-0005-0000-0000-00001F710000}"/>
    <cellStyle name="Normal 3 4 6 6 3 2" xfId="33865" xr:uid="{00000000-0005-0000-0000-000020710000}"/>
    <cellStyle name="Normal 3 4 6 6 4" xfId="16396" xr:uid="{00000000-0005-0000-0000-000021710000}"/>
    <cellStyle name="Normal 3 4 6 6 4 2" xfId="33866" xr:uid="{00000000-0005-0000-0000-000022710000}"/>
    <cellStyle name="Normal 3 4 6 6 5" xfId="16397" xr:uid="{00000000-0005-0000-0000-000023710000}"/>
    <cellStyle name="Normal 3 4 6 6 5 2" xfId="33867" xr:uid="{00000000-0005-0000-0000-000024710000}"/>
    <cellStyle name="Normal 3 4 6 6 6" xfId="16398" xr:uid="{00000000-0005-0000-0000-000025710000}"/>
    <cellStyle name="Normal 3 4 6 6 6 2" xfId="33868" xr:uid="{00000000-0005-0000-0000-000026710000}"/>
    <cellStyle name="Normal 3 4 6 6 7" xfId="16399" xr:uid="{00000000-0005-0000-0000-000027710000}"/>
    <cellStyle name="Normal 3 4 6 6 7 2" xfId="33869" xr:uid="{00000000-0005-0000-0000-000028710000}"/>
    <cellStyle name="Normal 3 4 6 6 8" xfId="16400" xr:uid="{00000000-0005-0000-0000-000029710000}"/>
    <cellStyle name="Normal 3 4 6 6 8 2" xfId="33870" xr:uid="{00000000-0005-0000-0000-00002A710000}"/>
    <cellStyle name="Normal 3 4 6 6 9" xfId="16401" xr:uid="{00000000-0005-0000-0000-00002B710000}"/>
    <cellStyle name="Normal 3 4 6 6 9 2" xfId="33871" xr:uid="{00000000-0005-0000-0000-00002C710000}"/>
    <cellStyle name="Normal 3 4 6 7" xfId="16402" xr:uid="{00000000-0005-0000-0000-00002D710000}"/>
    <cellStyle name="Normal 3 4 6 7 10" xfId="16403" xr:uid="{00000000-0005-0000-0000-00002E710000}"/>
    <cellStyle name="Normal 3 4 6 7 10 2" xfId="33873" xr:uid="{00000000-0005-0000-0000-00002F710000}"/>
    <cellStyle name="Normal 3 4 6 7 11" xfId="16404" xr:uid="{00000000-0005-0000-0000-000030710000}"/>
    <cellStyle name="Normal 3 4 6 7 11 2" xfId="33874" xr:uid="{00000000-0005-0000-0000-000031710000}"/>
    <cellStyle name="Normal 3 4 6 7 12" xfId="16405" xr:uid="{00000000-0005-0000-0000-000032710000}"/>
    <cellStyle name="Normal 3 4 6 7 12 2" xfId="33875" xr:uid="{00000000-0005-0000-0000-000033710000}"/>
    <cellStyle name="Normal 3 4 6 7 13" xfId="16406" xr:uid="{00000000-0005-0000-0000-000034710000}"/>
    <cellStyle name="Normal 3 4 6 7 13 2" xfId="33876" xr:uid="{00000000-0005-0000-0000-000035710000}"/>
    <cellStyle name="Normal 3 4 6 7 14" xfId="16407" xr:uid="{00000000-0005-0000-0000-000036710000}"/>
    <cellStyle name="Normal 3 4 6 7 14 2" xfId="33877" xr:uid="{00000000-0005-0000-0000-000037710000}"/>
    <cellStyle name="Normal 3 4 6 7 15" xfId="16408" xr:uid="{00000000-0005-0000-0000-000038710000}"/>
    <cellStyle name="Normal 3 4 6 7 15 2" xfId="33878" xr:uid="{00000000-0005-0000-0000-000039710000}"/>
    <cellStyle name="Normal 3 4 6 7 16" xfId="33872" xr:uid="{00000000-0005-0000-0000-00003A710000}"/>
    <cellStyle name="Normal 3 4 6 7 2" xfId="16409" xr:uid="{00000000-0005-0000-0000-00003B710000}"/>
    <cellStyle name="Normal 3 4 6 7 2 10" xfId="16410" xr:uid="{00000000-0005-0000-0000-00003C710000}"/>
    <cellStyle name="Normal 3 4 6 7 2 10 2" xfId="33880" xr:uid="{00000000-0005-0000-0000-00003D710000}"/>
    <cellStyle name="Normal 3 4 6 7 2 11" xfId="16411" xr:uid="{00000000-0005-0000-0000-00003E710000}"/>
    <cellStyle name="Normal 3 4 6 7 2 11 2" xfId="33881" xr:uid="{00000000-0005-0000-0000-00003F710000}"/>
    <cellStyle name="Normal 3 4 6 7 2 12" xfId="16412" xr:uid="{00000000-0005-0000-0000-000040710000}"/>
    <cellStyle name="Normal 3 4 6 7 2 12 2" xfId="33882" xr:uid="{00000000-0005-0000-0000-000041710000}"/>
    <cellStyle name="Normal 3 4 6 7 2 13" xfId="16413" xr:uid="{00000000-0005-0000-0000-000042710000}"/>
    <cellStyle name="Normal 3 4 6 7 2 13 2" xfId="33883" xr:uid="{00000000-0005-0000-0000-000043710000}"/>
    <cellStyle name="Normal 3 4 6 7 2 14" xfId="16414" xr:uid="{00000000-0005-0000-0000-000044710000}"/>
    <cellStyle name="Normal 3 4 6 7 2 14 2" xfId="33884" xr:uid="{00000000-0005-0000-0000-000045710000}"/>
    <cellStyle name="Normal 3 4 6 7 2 15" xfId="33879" xr:uid="{00000000-0005-0000-0000-000046710000}"/>
    <cellStyle name="Normal 3 4 6 7 2 2" xfId="16415" xr:uid="{00000000-0005-0000-0000-000047710000}"/>
    <cellStyle name="Normal 3 4 6 7 2 2 2" xfId="33885" xr:uid="{00000000-0005-0000-0000-000048710000}"/>
    <cellStyle name="Normal 3 4 6 7 2 3" xfId="16416" xr:uid="{00000000-0005-0000-0000-000049710000}"/>
    <cellStyle name="Normal 3 4 6 7 2 3 2" xfId="33886" xr:uid="{00000000-0005-0000-0000-00004A710000}"/>
    <cellStyle name="Normal 3 4 6 7 2 4" xfId="16417" xr:uid="{00000000-0005-0000-0000-00004B710000}"/>
    <cellStyle name="Normal 3 4 6 7 2 4 2" xfId="33887" xr:uid="{00000000-0005-0000-0000-00004C710000}"/>
    <cellStyle name="Normal 3 4 6 7 2 5" xfId="16418" xr:uid="{00000000-0005-0000-0000-00004D710000}"/>
    <cellStyle name="Normal 3 4 6 7 2 5 2" xfId="33888" xr:uid="{00000000-0005-0000-0000-00004E710000}"/>
    <cellStyle name="Normal 3 4 6 7 2 6" xfId="16419" xr:uid="{00000000-0005-0000-0000-00004F710000}"/>
    <cellStyle name="Normal 3 4 6 7 2 6 2" xfId="33889" xr:uid="{00000000-0005-0000-0000-000050710000}"/>
    <cellStyle name="Normal 3 4 6 7 2 7" xfId="16420" xr:uid="{00000000-0005-0000-0000-000051710000}"/>
    <cellStyle name="Normal 3 4 6 7 2 7 2" xfId="33890" xr:uid="{00000000-0005-0000-0000-000052710000}"/>
    <cellStyle name="Normal 3 4 6 7 2 8" xfId="16421" xr:uid="{00000000-0005-0000-0000-000053710000}"/>
    <cellStyle name="Normal 3 4 6 7 2 8 2" xfId="33891" xr:uid="{00000000-0005-0000-0000-000054710000}"/>
    <cellStyle name="Normal 3 4 6 7 2 9" xfId="16422" xr:uid="{00000000-0005-0000-0000-000055710000}"/>
    <cellStyle name="Normal 3 4 6 7 2 9 2" xfId="33892" xr:uid="{00000000-0005-0000-0000-000056710000}"/>
    <cellStyle name="Normal 3 4 6 7 3" xfId="16423" xr:uid="{00000000-0005-0000-0000-000057710000}"/>
    <cellStyle name="Normal 3 4 6 7 3 2" xfId="33893" xr:uid="{00000000-0005-0000-0000-000058710000}"/>
    <cellStyle name="Normal 3 4 6 7 4" xfId="16424" xr:uid="{00000000-0005-0000-0000-000059710000}"/>
    <cellStyle name="Normal 3 4 6 7 4 2" xfId="33894" xr:uid="{00000000-0005-0000-0000-00005A710000}"/>
    <cellStyle name="Normal 3 4 6 7 5" xfId="16425" xr:uid="{00000000-0005-0000-0000-00005B710000}"/>
    <cellStyle name="Normal 3 4 6 7 5 2" xfId="33895" xr:uid="{00000000-0005-0000-0000-00005C710000}"/>
    <cellStyle name="Normal 3 4 6 7 6" xfId="16426" xr:uid="{00000000-0005-0000-0000-00005D710000}"/>
    <cellStyle name="Normal 3 4 6 7 6 2" xfId="33896" xr:uid="{00000000-0005-0000-0000-00005E710000}"/>
    <cellStyle name="Normal 3 4 6 7 7" xfId="16427" xr:uid="{00000000-0005-0000-0000-00005F710000}"/>
    <cellStyle name="Normal 3 4 6 7 7 2" xfId="33897" xr:uid="{00000000-0005-0000-0000-000060710000}"/>
    <cellStyle name="Normal 3 4 6 7 8" xfId="16428" xr:uid="{00000000-0005-0000-0000-000061710000}"/>
    <cellStyle name="Normal 3 4 6 7 8 2" xfId="33898" xr:uid="{00000000-0005-0000-0000-000062710000}"/>
    <cellStyle name="Normal 3 4 6 7 9" xfId="16429" xr:uid="{00000000-0005-0000-0000-000063710000}"/>
    <cellStyle name="Normal 3 4 6 7 9 2" xfId="33899" xr:uid="{00000000-0005-0000-0000-000064710000}"/>
    <cellStyle name="Normal 3 4 6 8" xfId="16430" xr:uid="{00000000-0005-0000-0000-000065710000}"/>
    <cellStyle name="Normal 3 4 6 8 10" xfId="16431" xr:uid="{00000000-0005-0000-0000-000066710000}"/>
    <cellStyle name="Normal 3 4 6 8 10 2" xfId="33901" xr:uid="{00000000-0005-0000-0000-000067710000}"/>
    <cellStyle name="Normal 3 4 6 8 11" xfId="16432" xr:uid="{00000000-0005-0000-0000-000068710000}"/>
    <cellStyle name="Normal 3 4 6 8 11 2" xfId="33902" xr:uid="{00000000-0005-0000-0000-000069710000}"/>
    <cellStyle name="Normal 3 4 6 8 12" xfId="16433" xr:uid="{00000000-0005-0000-0000-00006A710000}"/>
    <cellStyle name="Normal 3 4 6 8 12 2" xfId="33903" xr:uid="{00000000-0005-0000-0000-00006B710000}"/>
    <cellStyle name="Normal 3 4 6 8 13" xfId="16434" xr:uid="{00000000-0005-0000-0000-00006C710000}"/>
    <cellStyle name="Normal 3 4 6 8 13 2" xfId="33904" xr:uid="{00000000-0005-0000-0000-00006D710000}"/>
    <cellStyle name="Normal 3 4 6 8 14" xfId="16435" xr:uid="{00000000-0005-0000-0000-00006E710000}"/>
    <cellStyle name="Normal 3 4 6 8 14 2" xfId="33905" xr:uid="{00000000-0005-0000-0000-00006F710000}"/>
    <cellStyle name="Normal 3 4 6 8 15" xfId="16436" xr:uid="{00000000-0005-0000-0000-000070710000}"/>
    <cellStyle name="Normal 3 4 6 8 15 2" xfId="33906" xr:uid="{00000000-0005-0000-0000-000071710000}"/>
    <cellStyle name="Normal 3 4 6 8 16" xfId="33900" xr:uid="{00000000-0005-0000-0000-000072710000}"/>
    <cellStyle name="Normal 3 4 6 8 2" xfId="16437" xr:uid="{00000000-0005-0000-0000-000073710000}"/>
    <cellStyle name="Normal 3 4 6 8 2 10" xfId="16438" xr:uid="{00000000-0005-0000-0000-000074710000}"/>
    <cellStyle name="Normal 3 4 6 8 2 10 2" xfId="33908" xr:uid="{00000000-0005-0000-0000-000075710000}"/>
    <cellStyle name="Normal 3 4 6 8 2 11" xfId="16439" xr:uid="{00000000-0005-0000-0000-000076710000}"/>
    <cellStyle name="Normal 3 4 6 8 2 11 2" xfId="33909" xr:uid="{00000000-0005-0000-0000-000077710000}"/>
    <cellStyle name="Normal 3 4 6 8 2 12" xfId="16440" xr:uid="{00000000-0005-0000-0000-000078710000}"/>
    <cellStyle name="Normal 3 4 6 8 2 12 2" xfId="33910" xr:uid="{00000000-0005-0000-0000-000079710000}"/>
    <cellStyle name="Normal 3 4 6 8 2 13" xfId="16441" xr:uid="{00000000-0005-0000-0000-00007A710000}"/>
    <cellStyle name="Normal 3 4 6 8 2 13 2" xfId="33911" xr:uid="{00000000-0005-0000-0000-00007B710000}"/>
    <cellStyle name="Normal 3 4 6 8 2 14" xfId="16442" xr:uid="{00000000-0005-0000-0000-00007C710000}"/>
    <cellStyle name="Normal 3 4 6 8 2 14 2" xfId="33912" xr:uid="{00000000-0005-0000-0000-00007D710000}"/>
    <cellStyle name="Normal 3 4 6 8 2 15" xfId="33907" xr:uid="{00000000-0005-0000-0000-00007E710000}"/>
    <cellStyle name="Normal 3 4 6 8 2 2" xfId="16443" xr:uid="{00000000-0005-0000-0000-00007F710000}"/>
    <cellStyle name="Normal 3 4 6 8 2 2 2" xfId="33913" xr:uid="{00000000-0005-0000-0000-000080710000}"/>
    <cellStyle name="Normal 3 4 6 8 2 3" xfId="16444" xr:uid="{00000000-0005-0000-0000-000081710000}"/>
    <cellStyle name="Normal 3 4 6 8 2 3 2" xfId="33914" xr:uid="{00000000-0005-0000-0000-000082710000}"/>
    <cellStyle name="Normal 3 4 6 8 2 4" xfId="16445" xr:uid="{00000000-0005-0000-0000-000083710000}"/>
    <cellStyle name="Normal 3 4 6 8 2 4 2" xfId="33915" xr:uid="{00000000-0005-0000-0000-000084710000}"/>
    <cellStyle name="Normal 3 4 6 8 2 5" xfId="16446" xr:uid="{00000000-0005-0000-0000-000085710000}"/>
    <cellStyle name="Normal 3 4 6 8 2 5 2" xfId="33916" xr:uid="{00000000-0005-0000-0000-000086710000}"/>
    <cellStyle name="Normal 3 4 6 8 2 6" xfId="16447" xr:uid="{00000000-0005-0000-0000-000087710000}"/>
    <cellStyle name="Normal 3 4 6 8 2 6 2" xfId="33917" xr:uid="{00000000-0005-0000-0000-000088710000}"/>
    <cellStyle name="Normal 3 4 6 8 2 7" xfId="16448" xr:uid="{00000000-0005-0000-0000-000089710000}"/>
    <cellStyle name="Normal 3 4 6 8 2 7 2" xfId="33918" xr:uid="{00000000-0005-0000-0000-00008A710000}"/>
    <cellStyle name="Normal 3 4 6 8 2 8" xfId="16449" xr:uid="{00000000-0005-0000-0000-00008B710000}"/>
    <cellStyle name="Normal 3 4 6 8 2 8 2" xfId="33919" xr:uid="{00000000-0005-0000-0000-00008C710000}"/>
    <cellStyle name="Normal 3 4 6 8 2 9" xfId="16450" xr:uid="{00000000-0005-0000-0000-00008D710000}"/>
    <cellStyle name="Normal 3 4 6 8 2 9 2" xfId="33920" xr:uid="{00000000-0005-0000-0000-00008E710000}"/>
    <cellStyle name="Normal 3 4 6 8 3" xfId="16451" xr:uid="{00000000-0005-0000-0000-00008F710000}"/>
    <cellStyle name="Normal 3 4 6 8 3 2" xfId="33921" xr:uid="{00000000-0005-0000-0000-000090710000}"/>
    <cellStyle name="Normal 3 4 6 8 4" xfId="16452" xr:uid="{00000000-0005-0000-0000-000091710000}"/>
    <cellStyle name="Normal 3 4 6 8 4 2" xfId="33922" xr:uid="{00000000-0005-0000-0000-000092710000}"/>
    <cellStyle name="Normal 3 4 6 8 5" xfId="16453" xr:uid="{00000000-0005-0000-0000-000093710000}"/>
    <cellStyle name="Normal 3 4 6 8 5 2" xfId="33923" xr:uid="{00000000-0005-0000-0000-000094710000}"/>
    <cellStyle name="Normal 3 4 6 8 6" xfId="16454" xr:uid="{00000000-0005-0000-0000-000095710000}"/>
    <cellStyle name="Normal 3 4 6 8 6 2" xfId="33924" xr:uid="{00000000-0005-0000-0000-000096710000}"/>
    <cellStyle name="Normal 3 4 6 8 7" xfId="16455" xr:uid="{00000000-0005-0000-0000-000097710000}"/>
    <cellStyle name="Normal 3 4 6 8 7 2" xfId="33925" xr:uid="{00000000-0005-0000-0000-000098710000}"/>
    <cellStyle name="Normal 3 4 6 8 8" xfId="16456" xr:uid="{00000000-0005-0000-0000-000099710000}"/>
    <cellStyle name="Normal 3 4 6 8 8 2" xfId="33926" xr:uid="{00000000-0005-0000-0000-00009A710000}"/>
    <cellStyle name="Normal 3 4 6 8 9" xfId="16457" xr:uid="{00000000-0005-0000-0000-00009B710000}"/>
    <cellStyle name="Normal 3 4 6 8 9 2" xfId="33927" xr:uid="{00000000-0005-0000-0000-00009C710000}"/>
    <cellStyle name="Normal 3 4 6 9" xfId="16458" xr:uid="{00000000-0005-0000-0000-00009D710000}"/>
    <cellStyle name="Normal 3 4 6 9 10" xfId="16459" xr:uid="{00000000-0005-0000-0000-00009E710000}"/>
    <cellStyle name="Normal 3 4 6 9 10 2" xfId="33929" xr:uid="{00000000-0005-0000-0000-00009F710000}"/>
    <cellStyle name="Normal 3 4 6 9 11" xfId="16460" xr:uid="{00000000-0005-0000-0000-0000A0710000}"/>
    <cellStyle name="Normal 3 4 6 9 11 2" xfId="33930" xr:uid="{00000000-0005-0000-0000-0000A1710000}"/>
    <cellStyle name="Normal 3 4 6 9 12" xfId="16461" xr:uid="{00000000-0005-0000-0000-0000A2710000}"/>
    <cellStyle name="Normal 3 4 6 9 12 2" xfId="33931" xr:uid="{00000000-0005-0000-0000-0000A3710000}"/>
    <cellStyle name="Normal 3 4 6 9 13" xfId="16462" xr:uid="{00000000-0005-0000-0000-0000A4710000}"/>
    <cellStyle name="Normal 3 4 6 9 13 2" xfId="33932" xr:uid="{00000000-0005-0000-0000-0000A5710000}"/>
    <cellStyle name="Normal 3 4 6 9 14" xfId="16463" xr:uid="{00000000-0005-0000-0000-0000A6710000}"/>
    <cellStyle name="Normal 3 4 6 9 14 2" xfId="33933" xr:uid="{00000000-0005-0000-0000-0000A7710000}"/>
    <cellStyle name="Normal 3 4 6 9 15" xfId="33928" xr:uid="{00000000-0005-0000-0000-0000A8710000}"/>
    <cellStyle name="Normal 3 4 6 9 2" xfId="16464" xr:uid="{00000000-0005-0000-0000-0000A9710000}"/>
    <cellStyle name="Normal 3 4 6 9 2 2" xfId="33934" xr:uid="{00000000-0005-0000-0000-0000AA710000}"/>
    <cellStyle name="Normal 3 4 6 9 3" xfId="16465" xr:uid="{00000000-0005-0000-0000-0000AB710000}"/>
    <cellStyle name="Normal 3 4 6 9 3 2" xfId="33935" xr:uid="{00000000-0005-0000-0000-0000AC710000}"/>
    <cellStyle name="Normal 3 4 6 9 4" xfId="16466" xr:uid="{00000000-0005-0000-0000-0000AD710000}"/>
    <cellStyle name="Normal 3 4 6 9 4 2" xfId="33936" xr:uid="{00000000-0005-0000-0000-0000AE710000}"/>
    <cellStyle name="Normal 3 4 6 9 5" xfId="16467" xr:uid="{00000000-0005-0000-0000-0000AF710000}"/>
    <cellStyle name="Normal 3 4 6 9 5 2" xfId="33937" xr:uid="{00000000-0005-0000-0000-0000B0710000}"/>
    <cellStyle name="Normal 3 4 6 9 6" xfId="16468" xr:uid="{00000000-0005-0000-0000-0000B1710000}"/>
    <cellStyle name="Normal 3 4 6 9 6 2" xfId="33938" xr:uid="{00000000-0005-0000-0000-0000B2710000}"/>
    <cellStyle name="Normal 3 4 6 9 7" xfId="16469" xr:uid="{00000000-0005-0000-0000-0000B3710000}"/>
    <cellStyle name="Normal 3 4 6 9 7 2" xfId="33939" xr:uid="{00000000-0005-0000-0000-0000B4710000}"/>
    <cellStyle name="Normal 3 4 6 9 8" xfId="16470" xr:uid="{00000000-0005-0000-0000-0000B5710000}"/>
    <cellStyle name="Normal 3 4 6 9 8 2" xfId="33940" xr:uid="{00000000-0005-0000-0000-0000B6710000}"/>
    <cellStyle name="Normal 3 4 6 9 9" xfId="16471" xr:uid="{00000000-0005-0000-0000-0000B7710000}"/>
    <cellStyle name="Normal 3 4 6 9 9 2" xfId="33941" xr:uid="{00000000-0005-0000-0000-0000B8710000}"/>
    <cellStyle name="Normal 3 4 7" xfId="16472" xr:uid="{00000000-0005-0000-0000-0000B9710000}"/>
    <cellStyle name="Normal 3 4 7 10" xfId="16473" xr:uid="{00000000-0005-0000-0000-0000BA710000}"/>
    <cellStyle name="Normal 3 4 7 10 10" xfId="16474" xr:uid="{00000000-0005-0000-0000-0000BB710000}"/>
    <cellStyle name="Normal 3 4 7 10 10 2" xfId="33944" xr:uid="{00000000-0005-0000-0000-0000BC710000}"/>
    <cellStyle name="Normal 3 4 7 10 11" xfId="16475" xr:uid="{00000000-0005-0000-0000-0000BD710000}"/>
    <cellStyle name="Normal 3 4 7 10 11 2" xfId="33945" xr:uid="{00000000-0005-0000-0000-0000BE710000}"/>
    <cellStyle name="Normal 3 4 7 10 12" xfId="16476" xr:uid="{00000000-0005-0000-0000-0000BF710000}"/>
    <cellStyle name="Normal 3 4 7 10 12 2" xfId="33946" xr:uid="{00000000-0005-0000-0000-0000C0710000}"/>
    <cellStyle name="Normal 3 4 7 10 13" xfId="16477" xr:uid="{00000000-0005-0000-0000-0000C1710000}"/>
    <cellStyle name="Normal 3 4 7 10 13 2" xfId="33947" xr:uid="{00000000-0005-0000-0000-0000C2710000}"/>
    <cellStyle name="Normal 3 4 7 10 14" xfId="16478" xr:uid="{00000000-0005-0000-0000-0000C3710000}"/>
    <cellStyle name="Normal 3 4 7 10 14 2" xfId="33948" xr:uid="{00000000-0005-0000-0000-0000C4710000}"/>
    <cellStyle name="Normal 3 4 7 10 15" xfId="33943" xr:uid="{00000000-0005-0000-0000-0000C5710000}"/>
    <cellStyle name="Normal 3 4 7 10 2" xfId="16479" xr:uid="{00000000-0005-0000-0000-0000C6710000}"/>
    <cellStyle name="Normal 3 4 7 10 2 2" xfId="33949" xr:uid="{00000000-0005-0000-0000-0000C7710000}"/>
    <cellStyle name="Normal 3 4 7 10 3" xfId="16480" xr:uid="{00000000-0005-0000-0000-0000C8710000}"/>
    <cellStyle name="Normal 3 4 7 10 3 2" xfId="33950" xr:uid="{00000000-0005-0000-0000-0000C9710000}"/>
    <cellStyle name="Normal 3 4 7 10 4" xfId="16481" xr:uid="{00000000-0005-0000-0000-0000CA710000}"/>
    <cellStyle name="Normal 3 4 7 10 4 2" xfId="33951" xr:uid="{00000000-0005-0000-0000-0000CB710000}"/>
    <cellStyle name="Normal 3 4 7 10 5" xfId="16482" xr:uid="{00000000-0005-0000-0000-0000CC710000}"/>
    <cellStyle name="Normal 3 4 7 10 5 2" xfId="33952" xr:uid="{00000000-0005-0000-0000-0000CD710000}"/>
    <cellStyle name="Normal 3 4 7 10 6" xfId="16483" xr:uid="{00000000-0005-0000-0000-0000CE710000}"/>
    <cellStyle name="Normal 3 4 7 10 6 2" xfId="33953" xr:uid="{00000000-0005-0000-0000-0000CF710000}"/>
    <cellStyle name="Normal 3 4 7 10 7" xfId="16484" xr:uid="{00000000-0005-0000-0000-0000D0710000}"/>
    <cellStyle name="Normal 3 4 7 10 7 2" xfId="33954" xr:uid="{00000000-0005-0000-0000-0000D1710000}"/>
    <cellStyle name="Normal 3 4 7 10 8" xfId="16485" xr:uid="{00000000-0005-0000-0000-0000D2710000}"/>
    <cellStyle name="Normal 3 4 7 10 8 2" xfId="33955" xr:uid="{00000000-0005-0000-0000-0000D3710000}"/>
    <cellStyle name="Normal 3 4 7 10 9" xfId="16486" xr:uid="{00000000-0005-0000-0000-0000D4710000}"/>
    <cellStyle name="Normal 3 4 7 10 9 2" xfId="33956" xr:uid="{00000000-0005-0000-0000-0000D5710000}"/>
    <cellStyle name="Normal 3 4 7 11" xfId="16487" xr:uid="{00000000-0005-0000-0000-0000D6710000}"/>
    <cellStyle name="Normal 3 4 7 11 2" xfId="33957" xr:uid="{00000000-0005-0000-0000-0000D7710000}"/>
    <cellStyle name="Normal 3 4 7 12" xfId="16488" xr:uid="{00000000-0005-0000-0000-0000D8710000}"/>
    <cellStyle name="Normal 3 4 7 12 2" xfId="33958" xr:uid="{00000000-0005-0000-0000-0000D9710000}"/>
    <cellStyle name="Normal 3 4 7 13" xfId="16489" xr:uid="{00000000-0005-0000-0000-0000DA710000}"/>
    <cellStyle name="Normal 3 4 7 13 2" xfId="33959" xr:uid="{00000000-0005-0000-0000-0000DB710000}"/>
    <cellStyle name="Normal 3 4 7 14" xfId="16490" xr:uid="{00000000-0005-0000-0000-0000DC710000}"/>
    <cellStyle name="Normal 3 4 7 14 2" xfId="33960" xr:uid="{00000000-0005-0000-0000-0000DD710000}"/>
    <cellStyle name="Normal 3 4 7 15" xfId="16491" xr:uid="{00000000-0005-0000-0000-0000DE710000}"/>
    <cellStyle name="Normal 3 4 7 15 2" xfId="33961" xr:uid="{00000000-0005-0000-0000-0000DF710000}"/>
    <cellStyle name="Normal 3 4 7 16" xfId="16492" xr:uid="{00000000-0005-0000-0000-0000E0710000}"/>
    <cellStyle name="Normal 3 4 7 16 2" xfId="33962" xr:uid="{00000000-0005-0000-0000-0000E1710000}"/>
    <cellStyle name="Normal 3 4 7 17" xfId="16493" xr:uid="{00000000-0005-0000-0000-0000E2710000}"/>
    <cellStyle name="Normal 3 4 7 17 2" xfId="33963" xr:uid="{00000000-0005-0000-0000-0000E3710000}"/>
    <cellStyle name="Normal 3 4 7 18" xfId="16494" xr:uid="{00000000-0005-0000-0000-0000E4710000}"/>
    <cellStyle name="Normal 3 4 7 18 2" xfId="33964" xr:uid="{00000000-0005-0000-0000-0000E5710000}"/>
    <cellStyle name="Normal 3 4 7 19" xfId="16495" xr:uid="{00000000-0005-0000-0000-0000E6710000}"/>
    <cellStyle name="Normal 3 4 7 19 2" xfId="33965" xr:uid="{00000000-0005-0000-0000-0000E7710000}"/>
    <cellStyle name="Normal 3 4 7 2" xfId="16496" xr:uid="{00000000-0005-0000-0000-0000E8710000}"/>
    <cellStyle name="Normal 3 4 7 2 10" xfId="16497" xr:uid="{00000000-0005-0000-0000-0000E9710000}"/>
    <cellStyle name="Normal 3 4 7 2 10 2" xfId="33967" xr:uid="{00000000-0005-0000-0000-0000EA710000}"/>
    <cellStyle name="Normal 3 4 7 2 11" xfId="16498" xr:uid="{00000000-0005-0000-0000-0000EB710000}"/>
    <cellStyle name="Normal 3 4 7 2 11 2" xfId="33968" xr:uid="{00000000-0005-0000-0000-0000EC710000}"/>
    <cellStyle name="Normal 3 4 7 2 12" xfId="16499" xr:uid="{00000000-0005-0000-0000-0000ED710000}"/>
    <cellStyle name="Normal 3 4 7 2 12 2" xfId="33969" xr:uid="{00000000-0005-0000-0000-0000EE710000}"/>
    <cellStyle name="Normal 3 4 7 2 13" xfId="16500" xr:uid="{00000000-0005-0000-0000-0000EF710000}"/>
    <cellStyle name="Normal 3 4 7 2 13 2" xfId="33970" xr:uid="{00000000-0005-0000-0000-0000F0710000}"/>
    <cellStyle name="Normal 3 4 7 2 14" xfId="16501" xr:uid="{00000000-0005-0000-0000-0000F1710000}"/>
    <cellStyle name="Normal 3 4 7 2 14 2" xfId="33971" xr:uid="{00000000-0005-0000-0000-0000F2710000}"/>
    <cellStyle name="Normal 3 4 7 2 15" xfId="16502" xr:uid="{00000000-0005-0000-0000-0000F3710000}"/>
    <cellStyle name="Normal 3 4 7 2 15 2" xfId="33972" xr:uid="{00000000-0005-0000-0000-0000F4710000}"/>
    <cellStyle name="Normal 3 4 7 2 16" xfId="33966" xr:uid="{00000000-0005-0000-0000-0000F5710000}"/>
    <cellStyle name="Normal 3 4 7 2 2" xfId="16503" xr:uid="{00000000-0005-0000-0000-0000F6710000}"/>
    <cellStyle name="Normal 3 4 7 2 2 10" xfId="16504" xr:uid="{00000000-0005-0000-0000-0000F7710000}"/>
    <cellStyle name="Normal 3 4 7 2 2 10 2" xfId="33974" xr:uid="{00000000-0005-0000-0000-0000F8710000}"/>
    <cellStyle name="Normal 3 4 7 2 2 11" xfId="16505" xr:uid="{00000000-0005-0000-0000-0000F9710000}"/>
    <cellStyle name="Normal 3 4 7 2 2 11 2" xfId="33975" xr:uid="{00000000-0005-0000-0000-0000FA710000}"/>
    <cellStyle name="Normal 3 4 7 2 2 12" xfId="16506" xr:uid="{00000000-0005-0000-0000-0000FB710000}"/>
    <cellStyle name="Normal 3 4 7 2 2 12 2" xfId="33976" xr:uid="{00000000-0005-0000-0000-0000FC710000}"/>
    <cellStyle name="Normal 3 4 7 2 2 13" xfId="16507" xr:uid="{00000000-0005-0000-0000-0000FD710000}"/>
    <cellStyle name="Normal 3 4 7 2 2 13 2" xfId="33977" xr:uid="{00000000-0005-0000-0000-0000FE710000}"/>
    <cellStyle name="Normal 3 4 7 2 2 14" xfId="16508" xr:uid="{00000000-0005-0000-0000-0000FF710000}"/>
    <cellStyle name="Normal 3 4 7 2 2 14 2" xfId="33978" xr:uid="{00000000-0005-0000-0000-000000720000}"/>
    <cellStyle name="Normal 3 4 7 2 2 15" xfId="33973" xr:uid="{00000000-0005-0000-0000-000001720000}"/>
    <cellStyle name="Normal 3 4 7 2 2 2" xfId="16509" xr:uid="{00000000-0005-0000-0000-000002720000}"/>
    <cellStyle name="Normal 3 4 7 2 2 2 2" xfId="33979" xr:uid="{00000000-0005-0000-0000-000003720000}"/>
    <cellStyle name="Normal 3 4 7 2 2 3" xfId="16510" xr:uid="{00000000-0005-0000-0000-000004720000}"/>
    <cellStyle name="Normal 3 4 7 2 2 3 2" xfId="33980" xr:uid="{00000000-0005-0000-0000-000005720000}"/>
    <cellStyle name="Normal 3 4 7 2 2 4" xfId="16511" xr:uid="{00000000-0005-0000-0000-000006720000}"/>
    <cellStyle name="Normal 3 4 7 2 2 4 2" xfId="33981" xr:uid="{00000000-0005-0000-0000-000007720000}"/>
    <cellStyle name="Normal 3 4 7 2 2 5" xfId="16512" xr:uid="{00000000-0005-0000-0000-000008720000}"/>
    <cellStyle name="Normal 3 4 7 2 2 5 2" xfId="33982" xr:uid="{00000000-0005-0000-0000-000009720000}"/>
    <cellStyle name="Normal 3 4 7 2 2 6" xfId="16513" xr:uid="{00000000-0005-0000-0000-00000A720000}"/>
    <cellStyle name="Normal 3 4 7 2 2 6 2" xfId="33983" xr:uid="{00000000-0005-0000-0000-00000B720000}"/>
    <cellStyle name="Normal 3 4 7 2 2 7" xfId="16514" xr:uid="{00000000-0005-0000-0000-00000C720000}"/>
    <cellStyle name="Normal 3 4 7 2 2 7 2" xfId="33984" xr:uid="{00000000-0005-0000-0000-00000D720000}"/>
    <cellStyle name="Normal 3 4 7 2 2 8" xfId="16515" xr:uid="{00000000-0005-0000-0000-00000E720000}"/>
    <cellStyle name="Normal 3 4 7 2 2 8 2" xfId="33985" xr:uid="{00000000-0005-0000-0000-00000F720000}"/>
    <cellStyle name="Normal 3 4 7 2 2 9" xfId="16516" xr:uid="{00000000-0005-0000-0000-000010720000}"/>
    <cellStyle name="Normal 3 4 7 2 2 9 2" xfId="33986" xr:uid="{00000000-0005-0000-0000-000011720000}"/>
    <cellStyle name="Normal 3 4 7 2 3" xfId="16517" xr:uid="{00000000-0005-0000-0000-000012720000}"/>
    <cellStyle name="Normal 3 4 7 2 3 2" xfId="33987" xr:uid="{00000000-0005-0000-0000-000013720000}"/>
    <cellStyle name="Normal 3 4 7 2 4" xfId="16518" xr:uid="{00000000-0005-0000-0000-000014720000}"/>
    <cellStyle name="Normal 3 4 7 2 4 2" xfId="33988" xr:uid="{00000000-0005-0000-0000-000015720000}"/>
    <cellStyle name="Normal 3 4 7 2 5" xfId="16519" xr:uid="{00000000-0005-0000-0000-000016720000}"/>
    <cellStyle name="Normal 3 4 7 2 5 2" xfId="33989" xr:uid="{00000000-0005-0000-0000-000017720000}"/>
    <cellStyle name="Normal 3 4 7 2 6" xfId="16520" xr:uid="{00000000-0005-0000-0000-000018720000}"/>
    <cellStyle name="Normal 3 4 7 2 6 2" xfId="33990" xr:uid="{00000000-0005-0000-0000-000019720000}"/>
    <cellStyle name="Normal 3 4 7 2 7" xfId="16521" xr:uid="{00000000-0005-0000-0000-00001A720000}"/>
    <cellStyle name="Normal 3 4 7 2 7 2" xfId="33991" xr:uid="{00000000-0005-0000-0000-00001B720000}"/>
    <cellStyle name="Normal 3 4 7 2 8" xfId="16522" xr:uid="{00000000-0005-0000-0000-00001C720000}"/>
    <cellStyle name="Normal 3 4 7 2 8 2" xfId="33992" xr:uid="{00000000-0005-0000-0000-00001D720000}"/>
    <cellStyle name="Normal 3 4 7 2 9" xfId="16523" xr:uid="{00000000-0005-0000-0000-00001E720000}"/>
    <cellStyle name="Normal 3 4 7 2 9 2" xfId="33993" xr:uid="{00000000-0005-0000-0000-00001F720000}"/>
    <cellStyle name="Normal 3 4 7 20" xfId="16524" xr:uid="{00000000-0005-0000-0000-000020720000}"/>
    <cellStyle name="Normal 3 4 7 20 2" xfId="33994" xr:uid="{00000000-0005-0000-0000-000021720000}"/>
    <cellStyle name="Normal 3 4 7 21" xfId="16525" xr:uid="{00000000-0005-0000-0000-000022720000}"/>
    <cellStyle name="Normal 3 4 7 21 2" xfId="33995" xr:uid="{00000000-0005-0000-0000-000023720000}"/>
    <cellStyle name="Normal 3 4 7 22" xfId="16526" xr:uid="{00000000-0005-0000-0000-000024720000}"/>
    <cellStyle name="Normal 3 4 7 22 2" xfId="33996" xr:uid="{00000000-0005-0000-0000-000025720000}"/>
    <cellStyle name="Normal 3 4 7 23" xfId="16527" xr:uid="{00000000-0005-0000-0000-000026720000}"/>
    <cellStyle name="Normal 3 4 7 23 2" xfId="33997" xr:uid="{00000000-0005-0000-0000-000027720000}"/>
    <cellStyle name="Normal 3 4 7 24" xfId="33942" xr:uid="{00000000-0005-0000-0000-000028720000}"/>
    <cellStyle name="Normal 3 4 7 3" xfId="16528" xr:uid="{00000000-0005-0000-0000-000029720000}"/>
    <cellStyle name="Normal 3 4 7 3 10" xfId="16529" xr:uid="{00000000-0005-0000-0000-00002A720000}"/>
    <cellStyle name="Normal 3 4 7 3 10 2" xfId="33999" xr:uid="{00000000-0005-0000-0000-00002B720000}"/>
    <cellStyle name="Normal 3 4 7 3 11" xfId="16530" xr:uid="{00000000-0005-0000-0000-00002C720000}"/>
    <cellStyle name="Normal 3 4 7 3 11 2" xfId="34000" xr:uid="{00000000-0005-0000-0000-00002D720000}"/>
    <cellStyle name="Normal 3 4 7 3 12" xfId="16531" xr:uid="{00000000-0005-0000-0000-00002E720000}"/>
    <cellStyle name="Normal 3 4 7 3 12 2" xfId="34001" xr:uid="{00000000-0005-0000-0000-00002F720000}"/>
    <cellStyle name="Normal 3 4 7 3 13" xfId="16532" xr:uid="{00000000-0005-0000-0000-000030720000}"/>
    <cellStyle name="Normal 3 4 7 3 13 2" xfId="34002" xr:uid="{00000000-0005-0000-0000-000031720000}"/>
    <cellStyle name="Normal 3 4 7 3 14" xfId="16533" xr:uid="{00000000-0005-0000-0000-000032720000}"/>
    <cellStyle name="Normal 3 4 7 3 14 2" xfId="34003" xr:uid="{00000000-0005-0000-0000-000033720000}"/>
    <cellStyle name="Normal 3 4 7 3 15" xfId="16534" xr:uid="{00000000-0005-0000-0000-000034720000}"/>
    <cellStyle name="Normal 3 4 7 3 15 2" xfId="34004" xr:uid="{00000000-0005-0000-0000-000035720000}"/>
    <cellStyle name="Normal 3 4 7 3 16" xfId="33998" xr:uid="{00000000-0005-0000-0000-000036720000}"/>
    <cellStyle name="Normal 3 4 7 3 2" xfId="16535" xr:uid="{00000000-0005-0000-0000-000037720000}"/>
    <cellStyle name="Normal 3 4 7 3 2 10" xfId="16536" xr:uid="{00000000-0005-0000-0000-000038720000}"/>
    <cellStyle name="Normal 3 4 7 3 2 10 2" xfId="34006" xr:uid="{00000000-0005-0000-0000-000039720000}"/>
    <cellStyle name="Normal 3 4 7 3 2 11" xfId="16537" xr:uid="{00000000-0005-0000-0000-00003A720000}"/>
    <cellStyle name="Normal 3 4 7 3 2 11 2" xfId="34007" xr:uid="{00000000-0005-0000-0000-00003B720000}"/>
    <cellStyle name="Normal 3 4 7 3 2 12" xfId="16538" xr:uid="{00000000-0005-0000-0000-00003C720000}"/>
    <cellStyle name="Normal 3 4 7 3 2 12 2" xfId="34008" xr:uid="{00000000-0005-0000-0000-00003D720000}"/>
    <cellStyle name="Normal 3 4 7 3 2 13" xfId="16539" xr:uid="{00000000-0005-0000-0000-00003E720000}"/>
    <cellStyle name="Normal 3 4 7 3 2 13 2" xfId="34009" xr:uid="{00000000-0005-0000-0000-00003F720000}"/>
    <cellStyle name="Normal 3 4 7 3 2 14" xfId="16540" xr:uid="{00000000-0005-0000-0000-000040720000}"/>
    <cellStyle name="Normal 3 4 7 3 2 14 2" xfId="34010" xr:uid="{00000000-0005-0000-0000-000041720000}"/>
    <cellStyle name="Normal 3 4 7 3 2 15" xfId="34005" xr:uid="{00000000-0005-0000-0000-000042720000}"/>
    <cellStyle name="Normal 3 4 7 3 2 2" xfId="16541" xr:uid="{00000000-0005-0000-0000-000043720000}"/>
    <cellStyle name="Normal 3 4 7 3 2 2 2" xfId="34011" xr:uid="{00000000-0005-0000-0000-000044720000}"/>
    <cellStyle name="Normal 3 4 7 3 2 3" xfId="16542" xr:uid="{00000000-0005-0000-0000-000045720000}"/>
    <cellStyle name="Normal 3 4 7 3 2 3 2" xfId="34012" xr:uid="{00000000-0005-0000-0000-000046720000}"/>
    <cellStyle name="Normal 3 4 7 3 2 4" xfId="16543" xr:uid="{00000000-0005-0000-0000-000047720000}"/>
    <cellStyle name="Normal 3 4 7 3 2 4 2" xfId="34013" xr:uid="{00000000-0005-0000-0000-000048720000}"/>
    <cellStyle name="Normal 3 4 7 3 2 5" xfId="16544" xr:uid="{00000000-0005-0000-0000-000049720000}"/>
    <cellStyle name="Normal 3 4 7 3 2 5 2" xfId="34014" xr:uid="{00000000-0005-0000-0000-00004A720000}"/>
    <cellStyle name="Normal 3 4 7 3 2 6" xfId="16545" xr:uid="{00000000-0005-0000-0000-00004B720000}"/>
    <cellStyle name="Normal 3 4 7 3 2 6 2" xfId="34015" xr:uid="{00000000-0005-0000-0000-00004C720000}"/>
    <cellStyle name="Normal 3 4 7 3 2 7" xfId="16546" xr:uid="{00000000-0005-0000-0000-00004D720000}"/>
    <cellStyle name="Normal 3 4 7 3 2 7 2" xfId="34016" xr:uid="{00000000-0005-0000-0000-00004E720000}"/>
    <cellStyle name="Normal 3 4 7 3 2 8" xfId="16547" xr:uid="{00000000-0005-0000-0000-00004F720000}"/>
    <cellStyle name="Normal 3 4 7 3 2 8 2" xfId="34017" xr:uid="{00000000-0005-0000-0000-000050720000}"/>
    <cellStyle name="Normal 3 4 7 3 2 9" xfId="16548" xr:uid="{00000000-0005-0000-0000-000051720000}"/>
    <cellStyle name="Normal 3 4 7 3 2 9 2" xfId="34018" xr:uid="{00000000-0005-0000-0000-000052720000}"/>
    <cellStyle name="Normal 3 4 7 3 3" xfId="16549" xr:uid="{00000000-0005-0000-0000-000053720000}"/>
    <cellStyle name="Normal 3 4 7 3 3 2" xfId="34019" xr:uid="{00000000-0005-0000-0000-000054720000}"/>
    <cellStyle name="Normal 3 4 7 3 4" xfId="16550" xr:uid="{00000000-0005-0000-0000-000055720000}"/>
    <cellStyle name="Normal 3 4 7 3 4 2" xfId="34020" xr:uid="{00000000-0005-0000-0000-000056720000}"/>
    <cellStyle name="Normal 3 4 7 3 5" xfId="16551" xr:uid="{00000000-0005-0000-0000-000057720000}"/>
    <cellStyle name="Normal 3 4 7 3 5 2" xfId="34021" xr:uid="{00000000-0005-0000-0000-000058720000}"/>
    <cellStyle name="Normal 3 4 7 3 6" xfId="16552" xr:uid="{00000000-0005-0000-0000-000059720000}"/>
    <cellStyle name="Normal 3 4 7 3 6 2" xfId="34022" xr:uid="{00000000-0005-0000-0000-00005A720000}"/>
    <cellStyle name="Normal 3 4 7 3 7" xfId="16553" xr:uid="{00000000-0005-0000-0000-00005B720000}"/>
    <cellStyle name="Normal 3 4 7 3 7 2" xfId="34023" xr:uid="{00000000-0005-0000-0000-00005C720000}"/>
    <cellStyle name="Normal 3 4 7 3 8" xfId="16554" xr:uid="{00000000-0005-0000-0000-00005D720000}"/>
    <cellStyle name="Normal 3 4 7 3 8 2" xfId="34024" xr:uid="{00000000-0005-0000-0000-00005E720000}"/>
    <cellStyle name="Normal 3 4 7 3 9" xfId="16555" xr:uid="{00000000-0005-0000-0000-00005F720000}"/>
    <cellStyle name="Normal 3 4 7 3 9 2" xfId="34025" xr:uid="{00000000-0005-0000-0000-000060720000}"/>
    <cellStyle name="Normal 3 4 7 4" xfId="16556" xr:uid="{00000000-0005-0000-0000-000061720000}"/>
    <cellStyle name="Normal 3 4 7 4 10" xfId="16557" xr:uid="{00000000-0005-0000-0000-000062720000}"/>
    <cellStyle name="Normal 3 4 7 4 10 2" xfId="34027" xr:uid="{00000000-0005-0000-0000-000063720000}"/>
    <cellStyle name="Normal 3 4 7 4 11" xfId="16558" xr:uid="{00000000-0005-0000-0000-000064720000}"/>
    <cellStyle name="Normal 3 4 7 4 11 2" xfId="34028" xr:uid="{00000000-0005-0000-0000-000065720000}"/>
    <cellStyle name="Normal 3 4 7 4 12" xfId="16559" xr:uid="{00000000-0005-0000-0000-000066720000}"/>
    <cellStyle name="Normal 3 4 7 4 12 2" xfId="34029" xr:uid="{00000000-0005-0000-0000-000067720000}"/>
    <cellStyle name="Normal 3 4 7 4 13" xfId="16560" xr:uid="{00000000-0005-0000-0000-000068720000}"/>
    <cellStyle name="Normal 3 4 7 4 13 2" xfId="34030" xr:uid="{00000000-0005-0000-0000-000069720000}"/>
    <cellStyle name="Normal 3 4 7 4 14" xfId="16561" xr:uid="{00000000-0005-0000-0000-00006A720000}"/>
    <cellStyle name="Normal 3 4 7 4 14 2" xfId="34031" xr:uid="{00000000-0005-0000-0000-00006B720000}"/>
    <cellStyle name="Normal 3 4 7 4 15" xfId="16562" xr:uid="{00000000-0005-0000-0000-00006C720000}"/>
    <cellStyle name="Normal 3 4 7 4 15 2" xfId="34032" xr:uid="{00000000-0005-0000-0000-00006D720000}"/>
    <cellStyle name="Normal 3 4 7 4 16" xfId="34026" xr:uid="{00000000-0005-0000-0000-00006E720000}"/>
    <cellStyle name="Normal 3 4 7 4 2" xfId="16563" xr:uid="{00000000-0005-0000-0000-00006F720000}"/>
    <cellStyle name="Normal 3 4 7 4 2 10" xfId="16564" xr:uid="{00000000-0005-0000-0000-000070720000}"/>
    <cellStyle name="Normal 3 4 7 4 2 10 2" xfId="34034" xr:uid="{00000000-0005-0000-0000-000071720000}"/>
    <cellStyle name="Normal 3 4 7 4 2 11" xfId="16565" xr:uid="{00000000-0005-0000-0000-000072720000}"/>
    <cellStyle name="Normal 3 4 7 4 2 11 2" xfId="34035" xr:uid="{00000000-0005-0000-0000-000073720000}"/>
    <cellStyle name="Normal 3 4 7 4 2 12" xfId="16566" xr:uid="{00000000-0005-0000-0000-000074720000}"/>
    <cellStyle name="Normal 3 4 7 4 2 12 2" xfId="34036" xr:uid="{00000000-0005-0000-0000-000075720000}"/>
    <cellStyle name="Normal 3 4 7 4 2 13" xfId="16567" xr:uid="{00000000-0005-0000-0000-000076720000}"/>
    <cellStyle name="Normal 3 4 7 4 2 13 2" xfId="34037" xr:uid="{00000000-0005-0000-0000-000077720000}"/>
    <cellStyle name="Normal 3 4 7 4 2 14" xfId="16568" xr:uid="{00000000-0005-0000-0000-000078720000}"/>
    <cellStyle name="Normal 3 4 7 4 2 14 2" xfId="34038" xr:uid="{00000000-0005-0000-0000-000079720000}"/>
    <cellStyle name="Normal 3 4 7 4 2 15" xfId="34033" xr:uid="{00000000-0005-0000-0000-00007A720000}"/>
    <cellStyle name="Normal 3 4 7 4 2 2" xfId="16569" xr:uid="{00000000-0005-0000-0000-00007B720000}"/>
    <cellStyle name="Normal 3 4 7 4 2 2 2" xfId="34039" xr:uid="{00000000-0005-0000-0000-00007C720000}"/>
    <cellStyle name="Normal 3 4 7 4 2 3" xfId="16570" xr:uid="{00000000-0005-0000-0000-00007D720000}"/>
    <cellStyle name="Normal 3 4 7 4 2 3 2" xfId="34040" xr:uid="{00000000-0005-0000-0000-00007E720000}"/>
    <cellStyle name="Normal 3 4 7 4 2 4" xfId="16571" xr:uid="{00000000-0005-0000-0000-00007F720000}"/>
    <cellStyle name="Normal 3 4 7 4 2 4 2" xfId="34041" xr:uid="{00000000-0005-0000-0000-000080720000}"/>
    <cellStyle name="Normal 3 4 7 4 2 5" xfId="16572" xr:uid="{00000000-0005-0000-0000-000081720000}"/>
    <cellStyle name="Normal 3 4 7 4 2 5 2" xfId="34042" xr:uid="{00000000-0005-0000-0000-000082720000}"/>
    <cellStyle name="Normal 3 4 7 4 2 6" xfId="16573" xr:uid="{00000000-0005-0000-0000-000083720000}"/>
    <cellStyle name="Normal 3 4 7 4 2 6 2" xfId="34043" xr:uid="{00000000-0005-0000-0000-000084720000}"/>
    <cellStyle name="Normal 3 4 7 4 2 7" xfId="16574" xr:uid="{00000000-0005-0000-0000-000085720000}"/>
    <cellStyle name="Normal 3 4 7 4 2 7 2" xfId="34044" xr:uid="{00000000-0005-0000-0000-000086720000}"/>
    <cellStyle name="Normal 3 4 7 4 2 8" xfId="16575" xr:uid="{00000000-0005-0000-0000-000087720000}"/>
    <cellStyle name="Normal 3 4 7 4 2 8 2" xfId="34045" xr:uid="{00000000-0005-0000-0000-000088720000}"/>
    <cellStyle name="Normal 3 4 7 4 2 9" xfId="16576" xr:uid="{00000000-0005-0000-0000-000089720000}"/>
    <cellStyle name="Normal 3 4 7 4 2 9 2" xfId="34046" xr:uid="{00000000-0005-0000-0000-00008A720000}"/>
    <cellStyle name="Normal 3 4 7 4 3" xfId="16577" xr:uid="{00000000-0005-0000-0000-00008B720000}"/>
    <cellStyle name="Normal 3 4 7 4 3 2" xfId="34047" xr:uid="{00000000-0005-0000-0000-00008C720000}"/>
    <cellStyle name="Normal 3 4 7 4 4" xfId="16578" xr:uid="{00000000-0005-0000-0000-00008D720000}"/>
    <cellStyle name="Normal 3 4 7 4 4 2" xfId="34048" xr:uid="{00000000-0005-0000-0000-00008E720000}"/>
    <cellStyle name="Normal 3 4 7 4 5" xfId="16579" xr:uid="{00000000-0005-0000-0000-00008F720000}"/>
    <cellStyle name="Normal 3 4 7 4 5 2" xfId="34049" xr:uid="{00000000-0005-0000-0000-000090720000}"/>
    <cellStyle name="Normal 3 4 7 4 6" xfId="16580" xr:uid="{00000000-0005-0000-0000-000091720000}"/>
    <cellStyle name="Normal 3 4 7 4 6 2" xfId="34050" xr:uid="{00000000-0005-0000-0000-000092720000}"/>
    <cellStyle name="Normal 3 4 7 4 7" xfId="16581" xr:uid="{00000000-0005-0000-0000-000093720000}"/>
    <cellStyle name="Normal 3 4 7 4 7 2" xfId="34051" xr:uid="{00000000-0005-0000-0000-000094720000}"/>
    <cellStyle name="Normal 3 4 7 4 8" xfId="16582" xr:uid="{00000000-0005-0000-0000-000095720000}"/>
    <cellStyle name="Normal 3 4 7 4 8 2" xfId="34052" xr:uid="{00000000-0005-0000-0000-000096720000}"/>
    <cellStyle name="Normal 3 4 7 4 9" xfId="16583" xr:uid="{00000000-0005-0000-0000-000097720000}"/>
    <cellStyle name="Normal 3 4 7 4 9 2" xfId="34053" xr:uid="{00000000-0005-0000-0000-000098720000}"/>
    <cellStyle name="Normal 3 4 7 5" xfId="16584" xr:uid="{00000000-0005-0000-0000-000099720000}"/>
    <cellStyle name="Normal 3 4 7 5 10" xfId="16585" xr:uid="{00000000-0005-0000-0000-00009A720000}"/>
    <cellStyle name="Normal 3 4 7 5 10 2" xfId="34055" xr:uid="{00000000-0005-0000-0000-00009B720000}"/>
    <cellStyle name="Normal 3 4 7 5 11" xfId="16586" xr:uid="{00000000-0005-0000-0000-00009C720000}"/>
    <cellStyle name="Normal 3 4 7 5 11 2" xfId="34056" xr:uid="{00000000-0005-0000-0000-00009D720000}"/>
    <cellStyle name="Normal 3 4 7 5 12" xfId="16587" xr:uid="{00000000-0005-0000-0000-00009E720000}"/>
    <cellStyle name="Normal 3 4 7 5 12 2" xfId="34057" xr:uid="{00000000-0005-0000-0000-00009F720000}"/>
    <cellStyle name="Normal 3 4 7 5 13" xfId="16588" xr:uid="{00000000-0005-0000-0000-0000A0720000}"/>
    <cellStyle name="Normal 3 4 7 5 13 2" xfId="34058" xr:uid="{00000000-0005-0000-0000-0000A1720000}"/>
    <cellStyle name="Normal 3 4 7 5 14" xfId="16589" xr:uid="{00000000-0005-0000-0000-0000A2720000}"/>
    <cellStyle name="Normal 3 4 7 5 14 2" xfId="34059" xr:uid="{00000000-0005-0000-0000-0000A3720000}"/>
    <cellStyle name="Normal 3 4 7 5 15" xfId="34054" xr:uid="{00000000-0005-0000-0000-0000A4720000}"/>
    <cellStyle name="Normal 3 4 7 5 2" xfId="16590" xr:uid="{00000000-0005-0000-0000-0000A5720000}"/>
    <cellStyle name="Normal 3 4 7 5 2 2" xfId="34060" xr:uid="{00000000-0005-0000-0000-0000A6720000}"/>
    <cellStyle name="Normal 3 4 7 5 3" xfId="16591" xr:uid="{00000000-0005-0000-0000-0000A7720000}"/>
    <cellStyle name="Normal 3 4 7 5 3 2" xfId="34061" xr:uid="{00000000-0005-0000-0000-0000A8720000}"/>
    <cellStyle name="Normal 3 4 7 5 4" xfId="16592" xr:uid="{00000000-0005-0000-0000-0000A9720000}"/>
    <cellStyle name="Normal 3 4 7 5 4 2" xfId="34062" xr:uid="{00000000-0005-0000-0000-0000AA720000}"/>
    <cellStyle name="Normal 3 4 7 5 5" xfId="16593" xr:uid="{00000000-0005-0000-0000-0000AB720000}"/>
    <cellStyle name="Normal 3 4 7 5 5 2" xfId="34063" xr:uid="{00000000-0005-0000-0000-0000AC720000}"/>
    <cellStyle name="Normal 3 4 7 5 6" xfId="16594" xr:uid="{00000000-0005-0000-0000-0000AD720000}"/>
    <cellStyle name="Normal 3 4 7 5 6 2" xfId="34064" xr:uid="{00000000-0005-0000-0000-0000AE720000}"/>
    <cellStyle name="Normal 3 4 7 5 7" xfId="16595" xr:uid="{00000000-0005-0000-0000-0000AF720000}"/>
    <cellStyle name="Normal 3 4 7 5 7 2" xfId="34065" xr:uid="{00000000-0005-0000-0000-0000B0720000}"/>
    <cellStyle name="Normal 3 4 7 5 8" xfId="16596" xr:uid="{00000000-0005-0000-0000-0000B1720000}"/>
    <cellStyle name="Normal 3 4 7 5 8 2" xfId="34066" xr:uid="{00000000-0005-0000-0000-0000B2720000}"/>
    <cellStyle name="Normal 3 4 7 5 9" xfId="16597" xr:uid="{00000000-0005-0000-0000-0000B3720000}"/>
    <cellStyle name="Normal 3 4 7 5 9 2" xfId="34067" xr:uid="{00000000-0005-0000-0000-0000B4720000}"/>
    <cellStyle name="Normal 3 4 7 6" xfId="16598" xr:uid="{00000000-0005-0000-0000-0000B5720000}"/>
    <cellStyle name="Normal 3 4 7 6 10" xfId="16599" xr:uid="{00000000-0005-0000-0000-0000B6720000}"/>
    <cellStyle name="Normal 3 4 7 6 10 2" xfId="34069" xr:uid="{00000000-0005-0000-0000-0000B7720000}"/>
    <cellStyle name="Normal 3 4 7 6 11" xfId="16600" xr:uid="{00000000-0005-0000-0000-0000B8720000}"/>
    <cellStyle name="Normal 3 4 7 6 11 2" xfId="34070" xr:uid="{00000000-0005-0000-0000-0000B9720000}"/>
    <cellStyle name="Normal 3 4 7 6 12" xfId="16601" xr:uid="{00000000-0005-0000-0000-0000BA720000}"/>
    <cellStyle name="Normal 3 4 7 6 12 2" xfId="34071" xr:uid="{00000000-0005-0000-0000-0000BB720000}"/>
    <cellStyle name="Normal 3 4 7 6 13" xfId="16602" xr:uid="{00000000-0005-0000-0000-0000BC720000}"/>
    <cellStyle name="Normal 3 4 7 6 13 2" xfId="34072" xr:uid="{00000000-0005-0000-0000-0000BD720000}"/>
    <cellStyle name="Normal 3 4 7 6 14" xfId="16603" xr:uid="{00000000-0005-0000-0000-0000BE720000}"/>
    <cellStyle name="Normal 3 4 7 6 14 2" xfId="34073" xr:uid="{00000000-0005-0000-0000-0000BF720000}"/>
    <cellStyle name="Normal 3 4 7 6 15" xfId="34068" xr:uid="{00000000-0005-0000-0000-0000C0720000}"/>
    <cellStyle name="Normal 3 4 7 6 2" xfId="16604" xr:uid="{00000000-0005-0000-0000-0000C1720000}"/>
    <cellStyle name="Normal 3 4 7 6 2 2" xfId="34074" xr:uid="{00000000-0005-0000-0000-0000C2720000}"/>
    <cellStyle name="Normal 3 4 7 6 3" xfId="16605" xr:uid="{00000000-0005-0000-0000-0000C3720000}"/>
    <cellStyle name="Normal 3 4 7 6 3 2" xfId="34075" xr:uid="{00000000-0005-0000-0000-0000C4720000}"/>
    <cellStyle name="Normal 3 4 7 6 4" xfId="16606" xr:uid="{00000000-0005-0000-0000-0000C5720000}"/>
    <cellStyle name="Normal 3 4 7 6 4 2" xfId="34076" xr:uid="{00000000-0005-0000-0000-0000C6720000}"/>
    <cellStyle name="Normal 3 4 7 6 5" xfId="16607" xr:uid="{00000000-0005-0000-0000-0000C7720000}"/>
    <cellStyle name="Normal 3 4 7 6 5 2" xfId="34077" xr:uid="{00000000-0005-0000-0000-0000C8720000}"/>
    <cellStyle name="Normal 3 4 7 6 6" xfId="16608" xr:uid="{00000000-0005-0000-0000-0000C9720000}"/>
    <cellStyle name="Normal 3 4 7 6 6 2" xfId="34078" xr:uid="{00000000-0005-0000-0000-0000CA720000}"/>
    <cellStyle name="Normal 3 4 7 6 7" xfId="16609" xr:uid="{00000000-0005-0000-0000-0000CB720000}"/>
    <cellStyle name="Normal 3 4 7 6 7 2" xfId="34079" xr:uid="{00000000-0005-0000-0000-0000CC720000}"/>
    <cellStyle name="Normal 3 4 7 6 8" xfId="16610" xr:uid="{00000000-0005-0000-0000-0000CD720000}"/>
    <cellStyle name="Normal 3 4 7 6 8 2" xfId="34080" xr:uid="{00000000-0005-0000-0000-0000CE720000}"/>
    <cellStyle name="Normal 3 4 7 6 9" xfId="16611" xr:uid="{00000000-0005-0000-0000-0000CF720000}"/>
    <cellStyle name="Normal 3 4 7 6 9 2" xfId="34081" xr:uid="{00000000-0005-0000-0000-0000D0720000}"/>
    <cellStyle name="Normal 3 4 7 7" xfId="16612" xr:uid="{00000000-0005-0000-0000-0000D1720000}"/>
    <cellStyle name="Normal 3 4 7 7 10" xfId="16613" xr:uid="{00000000-0005-0000-0000-0000D2720000}"/>
    <cellStyle name="Normal 3 4 7 7 10 2" xfId="34083" xr:uid="{00000000-0005-0000-0000-0000D3720000}"/>
    <cellStyle name="Normal 3 4 7 7 11" xfId="16614" xr:uid="{00000000-0005-0000-0000-0000D4720000}"/>
    <cellStyle name="Normal 3 4 7 7 11 2" xfId="34084" xr:uid="{00000000-0005-0000-0000-0000D5720000}"/>
    <cellStyle name="Normal 3 4 7 7 12" xfId="16615" xr:uid="{00000000-0005-0000-0000-0000D6720000}"/>
    <cellStyle name="Normal 3 4 7 7 12 2" xfId="34085" xr:uid="{00000000-0005-0000-0000-0000D7720000}"/>
    <cellStyle name="Normal 3 4 7 7 13" xfId="16616" xr:uid="{00000000-0005-0000-0000-0000D8720000}"/>
    <cellStyle name="Normal 3 4 7 7 13 2" xfId="34086" xr:uid="{00000000-0005-0000-0000-0000D9720000}"/>
    <cellStyle name="Normal 3 4 7 7 14" xfId="16617" xr:uid="{00000000-0005-0000-0000-0000DA720000}"/>
    <cellStyle name="Normal 3 4 7 7 14 2" xfId="34087" xr:uid="{00000000-0005-0000-0000-0000DB720000}"/>
    <cellStyle name="Normal 3 4 7 7 15" xfId="34082" xr:uid="{00000000-0005-0000-0000-0000DC720000}"/>
    <cellStyle name="Normal 3 4 7 7 2" xfId="16618" xr:uid="{00000000-0005-0000-0000-0000DD720000}"/>
    <cellStyle name="Normal 3 4 7 7 2 2" xfId="34088" xr:uid="{00000000-0005-0000-0000-0000DE720000}"/>
    <cellStyle name="Normal 3 4 7 7 3" xfId="16619" xr:uid="{00000000-0005-0000-0000-0000DF720000}"/>
    <cellStyle name="Normal 3 4 7 7 3 2" xfId="34089" xr:uid="{00000000-0005-0000-0000-0000E0720000}"/>
    <cellStyle name="Normal 3 4 7 7 4" xfId="16620" xr:uid="{00000000-0005-0000-0000-0000E1720000}"/>
    <cellStyle name="Normal 3 4 7 7 4 2" xfId="34090" xr:uid="{00000000-0005-0000-0000-0000E2720000}"/>
    <cellStyle name="Normal 3 4 7 7 5" xfId="16621" xr:uid="{00000000-0005-0000-0000-0000E3720000}"/>
    <cellStyle name="Normal 3 4 7 7 5 2" xfId="34091" xr:uid="{00000000-0005-0000-0000-0000E4720000}"/>
    <cellStyle name="Normal 3 4 7 7 6" xfId="16622" xr:uid="{00000000-0005-0000-0000-0000E5720000}"/>
    <cellStyle name="Normal 3 4 7 7 6 2" xfId="34092" xr:uid="{00000000-0005-0000-0000-0000E6720000}"/>
    <cellStyle name="Normal 3 4 7 7 7" xfId="16623" xr:uid="{00000000-0005-0000-0000-0000E7720000}"/>
    <cellStyle name="Normal 3 4 7 7 7 2" xfId="34093" xr:uid="{00000000-0005-0000-0000-0000E8720000}"/>
    <cellStyle name="Normal 3 4 7 7 8" xfId="16624" xr:uid="{00000000-0005-0000-0000-0000E9720000}"/>
    <cellStyle name="Normal 3 4 7 7 8 2" xfId="34094" xr:uid="{00000000-0005-0000-0000-0000EA720000}"/>
    <cellStyle name="Normal 3 4 7 7 9" xfId="16625" xr:uid="{00000000-0005-0000-0000-0000EB720000}"/>
    <cellStyle name="Normal 3 4 7 7 9 2" xfId="34095" xr:uid="{00000000-0005-0000-0000-0000EC720000}"/>
    <cellStyle name="Normal 3 4 7 8" xfId="16626" xr:uid="{00000000-0005-0000-0000-0000ED720000}"/>
    <cellStyle name="Normal 3 4 7 8 10" xfId="16627" xr:uid="{00000000-0005-0000-0000-0000EE720000}"/>
    <cellStyle name="Normal 3 4 7 8 10 2" xfId="34097" xr:uid="{00000000-0005-0000-0000-0000EF720000}"/>
    <cellStyle name="Normal 3 4 7 8 11" xfId="16628" xr:uid="{00000000-0005-0000-0000-0000F0720000}"/>
    <cellStyle name="Normal 3 4 7 8 11 2" xfId="34098" xr:uid="{00000000-0005-0000-0000-0000F1720000}"/>
    <cellStyle name="Normal 3 4 7 8 12" xfId="16629" xr:uid="{00000000-0005-0000-0000-0000F2720000}"/>
    <cellStyle name="Normal 3 4 7 8 12 2" xfId="34099" xr:uid="{00000000-0005-0000-0000-0000F3720000}"/>
    <cellStyle name="Normal 3 4 7 8 13" xfId="16630" xr:uid="{00000000-0005-0000-0000-0000F4720000}"/>
    <cellStyle name="Normal 3 4 7 8 13 2" xfId="34100" xr:uid="{00000000-0005-0000-0000-0000F5720000}"/>
    <cellStyle name="Normal 3 4 7 8 14" xfId="16631" xr:uid="{00000000-0005-0000-0000-0000F6720000}"/>
    <cellStyle name="Normal 3 4 7 8 14 2" xfId="34101" xr:uid="{00000000-0005-0000-0000-0000F7720000}"/>
    <cellStyle name="Normal 3 4 7 8 15" xfId="34096" xr:uid="{00000000-0005-0000-0000-0000F8720000}"/>
    <cellStyle name="Normal 3 4 7 8 2" xfId="16632" xr:uid="{00000000-0005-0000-0000-0000F9720000}"/>
    <cellStyle name="Normal 3 4 7 8 2 2" xfId="34102" xr:uid="{00000000-0005-0000-0000-0000FA720000}"/>
    <cellStyle name="Normal 3 4 7 8 3" xfId="16633" xr:uid="{00000000-0005-0000-0000-0000FB720000}"/>
    <cellStyle name="Normal 3 4 7 8 3 2" xfId="34103" xr:uid="{00000000-0005-0000-0000-0000FC720000}"/>
    <cellStyle name="Normal 3 4 7 8 4" xfId="16634" xr:uid="{00000000-0005-0000-0000-0000FD720000}"/>
    <cellStyle name="Normal 3 4 7 8 4 2" xfId="34104" xr:uid="{00000000-0005-0000-0000-0000FE720000}"/>
    <cellStyle name="Normal 3 4 7 8 5" xfId="16635" xr:uid="{00000000-0005-0000-0000-0000FF720000}"/>
    <cellStyle name="Normal 3 4 7 8 5 2" xfId="34105" xr:uid="{00000000-0005-0000-0000-000000730000}"/>
    <cellStyle name="Normal 3 4 7 8 6" xfId="16636" xr:uid="{00000000-0005-0000-0000-000001730000}"/>
    <cellStyle name="Normal 3 4 7 8 6 2" xfId="34106" xr:uid="{00000000-0005-0000-0000-000002730000}"/>
    <cellStyle name="Normal 3 4 7 8 7" xfId="16637" xr:uid="{00000000-0005-0000-0000-000003730000}"/>
    <cellStyle name="Normal 3 4 7 8 7 2" xfId="34107" xr:uid="{00000000-0005-0000-0000-000004730000}"/>
    <cellStyle name="Normal 3 4 7 8 8" xfId="16638" xr:uid="{00000000-0005-0000-0000-000005730000}"/>
    <cellStyle name="Normal 3 4 7 8 8 2" xfId="34108" xr:uid="{00000000-0005-0000-0000-000006730000}"/>
    <cellStyle name="Normal 3 4 7 8 9" xfId="16639" xr:uid="{00000000-0005-0000-0000-000007730000}"/>
    <cellStyle name="Normal 3 4 7 8 9 2" xfId="34109" xr:uid="{00000000-0005-0000-0000-000008730000}"/>
    <cellStyle name="Normal 3 4 7 9" xfId="16640" xr:uid="{00000000-0005-0000-0000-000009730000}"/>
    <cellStyle name="Normal 3 4 7 9 10" xfId="16641" xr:uid="{00000000-0005-0000-0000-00000A730000}"/>
    <cellStyle name="Normal 3 4 7 9 10 2" xfId="34111" xr:uid="{00000000-0005-0000-0000-00000B730000}"/>
    <cellStyle name="Normal 3 4 7 9 11" xfId="16642" xr:uid="{00000000-0005-0000-0000-00000C730000}"/>
    <cellStyle name="Normal 3 4 7 9 11 2" xfId="34112" xr:uid="{00000000-0005-0000-0000-00000D730000}"/>
    <cellStyle name="Normal 3 4 7 9 12" xfId="16643" xr:uid="{00000000-0005-0000-0000-00000E730000}"/>
    <cellStyle name="Normal 3 4 7 9 12 2" xfId="34113" xr:uid="{00000000-0005-0000-0000-00000F730000}"/>
    <cellStyle name="Normal 3 4 7 9 13" xfId="16644" xr:uid="{00000000-0005-0000-0000-000010730000}"/>
    <cellStyle name="Normal 3 4 7 9 13 2" xfId="34114" xr:uid="{00000000-0005-0000-0000-000011730000}"/>
    <cellStyle name="Normal 3 4 7 9 14" xfId="16645" xr:uid="{00000000-0005-0000-0000-000012730000}"/>
    <cellStyle name="Normal 3 4 7 9 14 2" xfId="34115" xr:uid="{00000000-0005-0000-0000-000013730000}"/>
    <cellStyle name="Normal 3 4 7 9 15" xfId="34110" xr:uid="{00000000-0005-0000-0000-000014730000}"/>
    <cellStyle name="Normal 3 4 7 9 2" xfId="16646" xr:uid="{00000000-0005-0000-0000-000015730000}"/>
    <cellStyle name="Normal 3 4 7 9 2 2" xfId="34116" xr:uid="{00000000-0005-0000-0000-000016730000}"/>
    <cellStyle name="Normal 3 4 7 9 3" xfId="16647" xr:uid="{00000000-0005-0000-0000-000017730000}"/>
    <cellStyle name="Normal 3 4 7 9 3 2" xfId="34117" xr:uid="{00000000-0005-0000-0000-000018730000}"/>
    <cellStyle name="Normal 3 4 7 9 4" xfId="16648" xr:uid="{00000000-0005-0000-0000-000019730000}"/>
    <cellStyle name="Normal 3 4 7 9 4 2" xfId="34118" xr:uid="{00000000-0005-0000-0000-00001A730000}"/>
    <cellStyle name="Normal 3 4 7 9 5" xfId="16649" xr:uid="{00000000-0005-0000-0000-00001B730000}"/>
    <cellStyle name="Normal 3 4 7 9 5 2" xfId="34119" xr:uid="{00000000-0005-0000-0000-00001C730000}"/>
    <cellStyle name="Normal 3 4 7 9 6" xfId="16650" xr:uid="{00000000-0005-0000-0000-00001D730000}"/>
    <cellStyle name="Normal 3 4 7 9 6 2" xfId="34120" xr:uid="{00000000-0005-0000-0000-00001E730000}"/>
    <cellStyle name="Normal 3 4 7 9 7" xfId="16651" xr:uid="{00000000-0005-0000-0000-00001F730000}"/>
    <cellStyle name="Normal 3 4 7 9 7 2" xfId="34121" xr:uid="{00000000-0005-0000-0000-000020730000}"/>
    <cellStyle name="Normal 3 4 7 9 8" xfId="16652" xr:uid="{00000000-0005-0000-0000-000021730000}"/>
    <cellStyle name="Normal 3 4 7 9 8 2" xfId="34122" xr:uid="{00000000-0005-0000-0000-000022730000}"/>
    <cellStyle name="Normal 3 4 7 9 9" xfId="16653" xr:uid="{00000000-0005-0000-0000-000023730000}"/>
    <cellStyle name="Normal 3 4 7 9 9 2" xfId="34123" xr:uid="{00000000-0005-0000-0000-000024730000}"/>
    <cellStyle name="Normal 3 4 8" xfId="16654" xr:uid="{00000000-0005-0000-0000-000025730000}"/>
    <cellStyle name="Normal 3 4 8 10" xfId="16655" xr:uid="{00000000-0005-0000-0000-000026730000}"/>
    <cellStyle name="Normal 3 4 8 10 10" xfId="16656" xr:uid="{00000000-0005-0000-0000-000027730000}"/>
    <cellStyle name="Normal 3 4 8 10 10 2" xfId="34126" xr:uid="{00000000-0005-0000-0000-000028730000}"/>
    <cellStyle name="Normal 3 4 8 10 11" xfId="16657" xr:uid="{00000000-0005-0000-0000-000029730000}"/>
    <cellStyle name="Normal 3 4 8 10 11 2" xfId="34127" xr:uid="{00000000-0005-0000-0000-00002A730000}"/>
    <cellStyle name="Normal 3 4 8 10 12" xfId="16658" xr:uid="{00000000-0005-0000-0000-00002B730000}"/>
    <cellStyle name="Normal 3 4 8 10 12 2" xfId="34128" xr:uid="{00000000-0005-0000-0000-00002C730000}"/>
    <cellStyle name="Normal 3 4 8 10 13" xfId="16659" xr:uid="{00000000-0005-0000-0000-00002D730000}"/>
    <cellStyle name="Normal 3 4 8 10 13 2" xfId="34129" xr:uid="{00000000-0005-0000-0000-00002E730000}"/>
    <cellStyle name="Normal 3 4 8 10 14" xfId="16660" xr:uid="{00000000-0005-0000-0000-00002F730000}"/>
    <cellStyle name="Normal 3 4 8 10 14 2" xfId="34130" xr:uid="{00000000-0005-0000-0000-000030730000}"/>
    <cellStyle name="Normal 3 4 8 10 15" xfId="34125" xr:uid="{00000000-0005-0000-0000-000031730000}"/>
    <cellStyle name="Normal 3 4 8 10 2" xfId="16661" xr:uid="{00000000-0005-0000-0000-000032730000}"/>
    <cellStyle name="Normal 3 4 8 10 2 2" xfId="34131" xr:uid="{00000000-0005-0000-0000-000033730000}"/>
    <cellStyle name="Normal 3 4 8 10 3" xfId="16662" xr:uid="{00000000-0005-0000-0000-000034730000}"/>
    <cellStyle name="Normal 3 4 8 10 3 2" xfId="34132" xr:uid="{00000000-0005-0000-0000-000035730000}"/>
    <cellStyle name="Normal 3 4 8 10 4" xfId="16663" xr:uid="{00000000-0005-0000-0000-000036730000}"/>
    <cellStyle name="Normal 3 4 8 10 4 2" xfId="34133" xr:uid="{00000000-0005-0000-0000-000037730000}"/>
    <cellStyle name="Normal 3 4 8 10 5" xfId="16664" xr:uid="{00000000-0005-0000-0000-000038730000}"/>
    <cellStyle name="Normal 3 4 8 10 5 2" xfId="34134" xr:uid="{00000000-0005-0000-0000-000039730000}"/>
    <cellStyle name="Normal 3 4 8 10 6" xfId="16665" xr:uid="{00000000-0005-0000-0000-00003A730000}"/>
    <cellStyle name="Normal 3 4 8 10 6 2" xfId="34135" xr:uid="{00000000-0005-0000-0000-00003B730000}"/>
    <cellStyle name="Normal 3 4 8 10 7" xfId="16666" xr:uid="{00000000-0005-0000-0000-00003C730000}"/>
    <cellStyle name="Normal 3 4 8 10 7 2" xfId="34136" xr:uid="{00000000-0005-0000-0000-00003D730000}"/>
    <cellStyle name="Normal 3 4 8 10 8" xfId="16667" xr:uid="{00000000-0005-0000-0000-00003E730000}"/>
    <cellStyle name="Normal 3 4 8 10 8 2" xfId="34137" xr:uid="{00000000-0005-0000-0000-00003F730000}"/>
    <cellStyle name="Normal 3 4 8 10 9" xfId="16668" xr:uid="{00000000-0005-0000-0000-000040730000}"/>
    <cellStyle name="Normal 3 4 8 10 9 2" xfId="34138" xr:uid="{00000000-0005-0000-0000-000041730000}"/>
    <cellStyle name="Normal 3 4 8 11" xfId="16669" xr:uid="{00000000-0005-0000-0000-000042730000}"/>
    <cellStyle name="Normal 3 4 8 11 2" xfId="34139" xr:uid="{00000000-0005-0000-0000-000043730000}"/>
    <cellStyle name="Normal 3 4 8 12" xfId="16670" xr:uid="{00000000-0005-0000-0000-000044730000}"/>
    <cellStyle name="Normal 3 4 8 12 2" xfId="34140" xr:uid="{00000000-0005-0000-0000-000045730000}"/>
    <cellStyle name="Normal 3 4 8 13" xfId="16671" xr:uid="{00000000-0005-0000-0000-000046730000}"/>
    <cellStyle name="Normal 3 4 8 13 2" xfId="34141" xr:uid="{00000000-0005-0000-0000-000047730000}"/>
    <cellStyle name="Normal 3 4 8 14" xfId="16672" xr:uid="{00000000-0005-0000-0000-000048730000}"/>
    <cellStyle name="Normal 3 4 8 14 2" xfId="34142" xr:uid="{00000000-0005-0000-0000-000049730000}"/>
    <cellStyle name="Normal 3 4 8 15" xfId="16673" xr:uid="{00000000-0005-0000-0000-00004A730000}"/>
    <cellStyle name="Normal 3 4 8 15 2" xfId="34143" xr:uid="{00000000-0005-0000-0000-00004B730000}"/>
    <cellStyle name="Normal 3 4 8 16" xfId="16674" xr:uid="{00000000-0005-0000-0000-00004C730000}"/>
    <cellStyle name="Normal 3 4 8 16 2" xfId="34144" xr:uid="{00000000-0005-0000-0000-00004D730000}"/>
    <cellStyle name="Normal 3 4 8 17" xfId="16675" xr:uid="{00000000-0005-0000-0000-00004E730000}"/>
    <cellStyle name="Normal 3 4 8 17 2" xfId="34145" xr:uid="{00000000-0005-0000-0000-00004F730000}"/>
    <cellStyle name="Normal 3 4 8 18" xfId="16676" xr:uid="{00000000-0005-0000-0000-000050730000}"/>
    <cellStyle name="Normal 3 4 8 18 2" xfId="34146" xr:uid="{00000000-0005-0000-0000-000051730000}"/>
    <cellStyle name="Normal 3 4 8 19" xfId="16677" xr:uid="{00000000-0005-0000-0000-000052730000}"/>
    <cellStyle name="Normal 3 4 8 19 2" xfId="34147" xr:uid="{00000000-0005-0000-0000-000053730000}"/>
    <cellStyle name="Normal 3 4 8 2" xfId="16678" xr:uid="{00000000-0005-0000-0000-000054730000}"/>
    <cellStyle name="Normal 3 4 8 2 10" xfId="16679" xr:uid="{00000000-0005-0000-0000-000055730000}"/>
    <cellStyle name="Normal 3 4 8 2 10 2" xfId="34149" xr:uid="{00000000-0005-0000-0000-000056730000}"/>
    <cellStyle name="Normal 3 4 8 2 11" xfId="16680" xr:uid="{00000000-0005-0000-0000-000057730000}"/>
    <cellStyle name="Normal 3 4 8 2 11 2" xfId="34150" xr:uid="{00000000-0005-0000-0000-000058730000}"/>
    <cellStyle name="Normal 3 4 8 2 12" xfId="16681" xr:uid="{00000000-0005-0000-0000-000059730000}"/>
    <cellStyle name="Normal 3 4 8 2 12 2" xfId="34151" xr:uid="{00000000-0005-0000-0000-00005A730000}"/>
    <cellStyle name="Normal 3 4 8 2 13" xfId="16682" xr:uid="{00000000-0005-0000-0000-00005B730000}"/>
    <cellStyle name="Normal 3 4 8 2 13 2" xfId="34152" xr:uid="{00000000-0005-0000-0000-00005C730000}"/>
    <cellStyle name="Normal 3 4 8 2 14" xfId="16683" xr:uid="{00000000-0005-0000-0000-00005D730000}"/>
    <cellStyle name="Normal 3 4 8 2 14 2" xfId="34153" xr:uid="{00000000-0005-0000-0000-00005E730000}"/>
    <cellStyle name="Normal 3 4 8 2 15" xfId="16684" xr:uid="{00000000-0005-0000-0000-00005F730000}"/>
    <cellStyle name="Normal 3 4 8 2 15 2" xfId="34154" xr:uid="{00000000-0005-0000-0000-000060730000}"/>
    <cellStyle name="Normal 3 4 8 2 16" xfId="34148" xr:uid="{00000000-0005-0000-0000-000061730000}"/>
    <cellStyle name="Normal 3 4 8 2 2" xfId="16685" xr:uid="{00000000-0005-0000-0000-000062730000}"/>
    <cellStyle name="Normal 3 4 8 2 2 10" xfId="16686" xr:uid="{00000000-0005-0000-0000-000063730000}"/>
    <cellStyle name="Normal 3 4 8 2 2 10 2" xfId="34156" xr:uid="{00000000-0005-0000-0000-000064730000}"/>
    <cellStyle name="Normal 3 4 8 2 2 11" xfId="16687" xr:uid="{00000000-0005-0000-0000-000065730000}"/>
    <cellStyle name="Normal 3 4 8 2 2 11 2" xfId="34157" xr:uid="{00000000-0005-0000-0000-000066730000}"/>
    <cellStyle name="Normal 3 4 8 2 2 12" xfId="16688" xr:uid="{00000000-0005-0000-0000-000067730000}"/>
    <cellStyle name="Normal 3 4 8 2 2 12 2" xfId="34158" xr:uid="{00000000-0005-0000-0000-000068730000}"/>
    <cellStyle name="Normal 3 4 8 2 2 13" xfId="16689" xr:uid="{00000000-0005-0000-0000-000069730000}"/>
    <cellStyle name="Normal 3 4 8 2 2 13 2" xfId="34159" xr:uid="{00000000-0005-0000-0000-00006A730000}"/>
    <cellStyle name="Normal 3 4 8 2 2 14" xfId="16690" xr:uid="{00000000-0005-0000-0000-00006B730000}"/>
    <cellStyle name="Normal 3 4 8 2 2 14 2" xfId="34160" xr:uid="{00000000-0005-0000-0000-00006C730000}"/>
    <cellStyle name="Normal 3 4 8 2 2 15" xfId="34155" xr:uid="{00000000-0005-0000-0000-00006D730000}"/>
    <cellStyle name="Normal 3 4 8 2 2 2" xfId="16691" xr:uid="{00000000-0005-0000-0000-00006E730000}"/>
    <cellStyle name="Normal 3 4 8 2 2 2 2" xfId="34161" xr:uid="{00000000-0005-0000-0000-00006F730000}"/>
    <cellStyle name="Normal 3 4 8 2 2 3" xfId="16692" xr:uid="{00000000-0005-0000-0000-000070730000}"/>
    <cellStyle name="Normal 3 4 8 2 2 3 2" xfId="34162" xr:uid="{00000000-0005-0000-0000-000071730000}"/>
    <cellStyle name="Normal 3 4 8 2 2 4" xfId="16693" xr:uid="{00000000-0005-0000-0000-000072730000}"/>
    <cellStyle name="Normal 3 4 8 2 2 4 2" xfId="34163" xr:uid="{00000000-0005-0000-0000-000073730000}"/>
    <cellStyle name="Normal 3 4 8 2 2 5" xfId="16694" xr:uid="{00000000-0005-0000-0000-000074730000}"/>
    <cellStyle name="Normal 3 4 8 2 2 5 2" xfId="34164" xr:uid="{00000000-0005-0000-0000-000075730000}"/>
    <cellStyle name="Normal 3 4 8 2 2 6" xfId="16695" xr:uid="{00000000-0005-0000-0000-000076730000}"/>
    <cellStyle name="Normal 3 4 8 2 2 6 2" xfId="34165" xr:uid="{00000000-0005-0000-0000-000077730000}"/>
    <cellStyle name="Normal 3 4 8 2 2 7" xfId="16696" xr:uid="{00000000-0005-0000-0000-000078730000}"/>
    <cellStyle name="Normal 3 4 8 2 2 7 2" xfId="34166" xr:uid="{00000000-0005-0000-0000-000079730000}"/>
    <cellStyle name="Normal 3 4 8 2 2 8" xfId="16697" xr:uid="{00000000-0005-0000-0000-00007A730000}"/>
    <cellStyle name="Normal 3 4 8 2 2 8 2" xfId="34167" xr:uid="{00000000-0005-0000-0000-00007B730000}"/>
    <cellStyle name="Normal 3 4 8 2 2 9" xfId="16698" xr:uid="{00000000-0005-0000-0000-00007C730000}"/>
    <cellStyle name="Normal 3 4 8 2 2 9 2" xfId="34168" xr:uid="{00000000-0005-0000-0000-00007D730000}"/>
    <cellStyle name="Normal 3 4 8 2 3" xfId="16699" xr:uid="{00000000-0005-0000-0000-00007E730000}"/>
    <cellStyle name="Normal 3 4 8 2 3 2" xfId="34169" xr:uid="{00000000-0005-0000-0000-00007F730000}"/>
    <cellStyle name="Normal 3 4 8 2 4" xfId="16700" xr:uid="{00000000-0005-0000-0000-000080730000}"/>
    <cellStyle name="Normal 3 4 8 2 4 2" xfId="34170" xr:uid="{00000000-0005-0000-0000-000081730000}"/>
    <cellStyle name="Normal 3 4 8 2 5" xfId="16701" xr:uid="{00000000-0005-0000-0000-000082730000}"/>
    <cellStyle name="Normal 3 4 8 2 5 2" xfId="34171" xr:uid="{00000000-0005-0000-0000-000083730000}"/>
    <cellStyle name="Normal 3 4 8 2 6" xfId="16702" xr:uid="{00000000-0005-0000-0000-000084730000}"/>
    <cellStyle name="Normal 3 4 8 2 6 2" xfId="34172" xr:uid="{00000000-0005-0000-0000-000085730000}"/>
    <cellStyle name="Normal 3 4 8 2 7" xfId="16703" xr:uid="{00000000-0005-0000-0000-000086730000}"/>
    <cellStyle name="Normal 3 4 8 2 7 2" xfId="34173" xr:uid="{00000000-0005-0000-0000-000087730000}"/>
    <cellStyle name="Normal 3 4 8 2 8" xfId="16704" xr:uid="{00000000-0005-0000-0000-000088730000}"/>
    <cellStyle name="Normal 3 4 8 2 8 2" xfId="34174" xr:uid="{00000000-0005-0000-0000-000089730000}"/>
    <cellStyle name="Normal 3 4 8 2 9" xfId="16705" xr:uid="{00000000-0005-0000-0000-00008A730000}"/>
    <cellStyle name="Normal 3 4 8 2 9 2" xfId="34175" xr:uid="{00000000-0005-0000-0000-00008B730000}"/>
    <cellStyle name="Normal 3 4 8 20" xfId="16706" xr:uid="{00000000-0005-0000-0000-00008C730000}"/>
    <cellStyle name="Normal 3 4 8 20 2" xfId="34176" xr:uid="{00000000-0005-0000-0000-00008D730000}"/>
    <cellStyle name="Normal 3 4 8 21" xfId="16707" xr:uid="{00000000-0005-0000-0000-00008E730000}"/>
    <cellStyle name="Normal 3 4 8 21 2" xfId="34177" xr:uid="{00000000-0005-0000-0000-00008F730000}"/>
    <cellStyle name="Normal 3 4 8 22" xfId="16708" xr:uid="{00000000-0005-0000-0000-000090730000}"/>
    <cellStyle name="Normal 3 4 8 22 2" xfId="34178" xr:uid="{00000000-0005-0000-0000-000091730000}"/>
    <cellStyle name="Normal 3 4 8 23" xfId="16709" xr:uid="{00000000-0005-0000-0000-000092730000}"/>
    <cellStyle name="Normal 3 4 8 23 2" xfId="34179" xr:uid="{00000000-0005-0000-0000-000093730000}"/>
    <cellStyle name="Normal 3 4 8 24" xfId="34124" xr:uid="{00000000-0005-0000-0000-000094730000}"/>
    <cellStyle name="Normal 3 4 8 3" xfId="16710" xr:uid="{00000000-0005-0000-0000-000095730000}"/>
    <cellStyle name="Normal 3 4 8 3 10" xfId="16711" xr:uid="{00000000-0005-0000-0000-000096730000}"/>
    <cellStyle name="Normal 3 4 8 3 10 2" xfId="34181" xr:uid="{00000000-0005-0000-0000-000097730000}"/>
    <cellStyle name="Normal 3 4 8 3 11" xfId="16712" xr:uid="{00000000-0005-0000-0000-000098730000}"/>
    <cellStyle name="Normal 3 4 8 3 11 2" xfId="34182" xr:uid="{00000000-0005-0000-0000-000099730000}"/>
    <cellStyle name="Normal 3 4 8 3 12" xfId="16713" xr:uid="{00000000-0005-0000-0000-00009A730000}"/>
    <cellStyle name="Normal 3 4 8 3 12 2" xfId="34183" xr:uid="{00000000-0005-0000-0000-00009B730000}"/>
    <cellStyle name="Normal 3 4 8 3 13" xfId="16714" xr:uid="{00000000-0005-0000-0000-00009C730000}"/>
    <cellStyle name="Normal 3 4 8 3 13 2" xfId="34184" xr:uid="{00000000-0005-0000-0000-00009D730000}"/>
    <cellStyle name="Normal 3 4 8 3 14" xfId="16715" xr:uid="{00000000-0005-0000-0000-00009E730000}"/>
    <cellStyle name="Normal 3 4 8 3 14 2" xfId="34185" xr:uid="{00000000-0005-0000-0000-00009F730000}"/>
    <cellStyle name="Normal 3 4 8 3 15" xfId="16716" xr:uid="{00000000-0005-0000-0000-0000A0730000}"/>
    <cellStyle name="Normal 3 4 8 3 15 2" xfId="34186" xr:uid="{00000000-0005-0000-0000-0000A1730000}"/>
    <cellStyle name="Normal 3 4 8 3 16" xfId="34180" xr:uid="{00000000-0005-0000-0000-0000A2730000}"/>
    <cellStyle name="Normal 3 4 8 3 2" xfId="16717" xr:uid="{00000000-0005-0000-0000-0000A3730000}"/>
    <cellStyle name="Normal 3 4 8 3 2 10" xfId="16718" xr:uid="{00000000-0005-0000-0000-0000A4730000}"/>
    <cellStyle name="Normal 3 4 8 3 2 10 2" xfId="34188" xr:uid="{00000000-0005-0000-0000-0000A5730000}"/>
    <cellStyle name="Normal 3 4 8 3 2 11" xfId="16719" xr:uid="{00000000-0005-0000-0000-0000A6730000}"/>
    <cellStyle name="Normal 3 4 8 3 2 11 2" xfId="34189" xr:uid="{00000000-0005-0000-0000-0000A7730000}"/>
    <cellStyle name="Normal 3 4 8 3 2 12" xfId="16720" xr:uid="{00000000-0005-0000-0000-0000A8730000}"/>
    <cellStyle name="Normal 3 4 8 3 2 12 2" xfId="34190" xr:uid="{00000000-0005-0000-0000-0000A9730000}"/>
    <cellStyle name="Normal 3 4 8 3 2 13" xfId="16721" xr:uid="{00000000-0005-0000-0000-0000AA730000}"/>
    <cellStyle name="Normal 3 4 8 3 2 13 2" xfId="34191" xr:uid="{00000000-0005-0000-0000-0000AB730000}"/>
    <cellStyle name="Normal 3 4 8 3 2 14" xfId="16722" xr:uid="{00000000-0005-0000-0000-0000AC730000}"/>
    <cellStyle name="Normal 3 4 8 3 2 14 2" xfId="34192" xr:uid="{00000000-0005-0000-0000-0000AD730000}"/>
    <cellStyle name="Normal 3 4 8 3 2 15" xfId="34187" xr:uid="{00000000-0005-0000-0000-0000AE730000}"/>
    <cellStyle name="Normal 3 4 8 3 2 2" xfId="16723" xr:uid="{00000000-0005-0000-0000-0000AF730000}"/>
    <cellStyle name="Normal 3 4 8 3 2 2 2" xfId="34193" xr:uid="{00000000-0005-0000-0000-0000B0730000}"/>
    <cellStyle name="Normal 3 4 8 3 2 3" xfId="16724" xr:uid="{00000000-0005-0000-0000-0000B1730000}"/>
    <cellStyle name="Normal 3 4 8 3 2 3 2" xfId="34194" xr:uid="{00000000-0005-0000-0000-0000B2730000}"/>
    <cellStyle name="Normal 3 4 8 3 2 4" xfId="16725" xr:uid="{00000000-0005-0000-0000-0000B3730000}"/>
    <cellStyle name="Normal 3 4 8 3 2 4 2" xfId="34195" xr:uid="{00000000-0005-0000-0000-0000B4730000}"/>
    <cellStyle name="Normal 3 4 8 3 2 5" xfId="16726" xr:uid="{00000000-0005-0000-0000-0000B5730000}"/>
    <cellStyle name="Normal 3 4 8 3 2 5 2" xfId="34196" xr:uid="{00000000-0005-0000-0000-0000B6730000}"/>
    <cellStyle name="Normal 3 4 8 3 2 6" xfId="16727" xr:uid="{00000000-0005-0000-0000-0000B7730000}"/>
    <cellStyle name="Normal 3 4 8 3 2 6 2" xfId="34197" xr:uid="{00000000-0005-0000-0000-0000B8730000}"/>
    <cellStyle name="Normal 3 4 8 3 2 7" xfId="16728" xr:uid="{00000000-0005-0000-0000-0000B9730000}"/>
    <cellStyle name="Normal 3 4 8 3 2 7 2" xfId="34198" xr:uid="{00000000-0005-0000-0000-0000BA730000}"/>
    <cellStyle name="Normal 3 4 8 3 2 8" xfId="16729" xr:uid="{00000000-0005-0000-0000-0000BB730000}"/>
    <cellStyle name="Normal 3 4 8 3 2 8 2" xfId="34199" xr:uid="{00000000-0005-0000-0000-0000BC730000}"/>
    <cellStyle name="Normal 3 4 8 3 2 9" xfId="16730" xr:uid="{00000000-0005-0000-0000-0000BD730000}"/>
    <cellStyle name="Normal 3 4 8 3 2 9 2" xfId="34200" xr:uid="{00000000-0005-0000-0000-0000BE730000}"/>
    <cellStyle name="Normal 3 4 8 3 3" xfId="16731" xr:uid="{00000000-0005-0000-0000-0000BF730000}"/>
    <cellStyle name="Normal 3 4 8 3 3 2" xfId="34201" xr:uid="{00000000-0005-0000-0000-0000C0730000}"/>
    <cellStyle name="Normal 3 4 8 3 4" xfId="16732" xr:uid="{00000000-0005-0000-0000-0000C1730000}"/>
    <cellStyle name="Normal 3 4 8 3 4 2" xfId="34202" xr:uid="{00000000-0005-0000-0000-0000C2730000}"/>
    <cellStyle name="Normal 3 4 8 3 5" xfId="16733" xr:uid="{00000000-0005-0000-0000-0000C3730000}"/>
    <cellStyle name="Normal 3 4 8 3 5 2" xfId="34203" xr:uid="{00000000-0005-0000-0000-0000C4730000}"/>
    <cellStyle name="Normal 3 4 8 3 6" xfId="16734" xr:uid="{00000000-0005-0000-0000-0000C5730000}"/>
    <cellStyle name="Normal 3 4 8 3 6 2" xfId="34204" xr:uid="{00000000-0005-0000-0000-0000C6730000}"/>
    <cellStyle name="Normal 3 4 8 3 7" xfId="16735" xr:uid="{00000000-0005-0000-0000-0000C7730000}"/>
    <cellStyle name="Normal 3 4 8 3 7 2" xfId="34205" xr:uid="{00000000-0005-0000-0000-0000C8730000}"/>
    <cellStyle name="Normal 3 4 8 3 8" xfId="16736" xr:uid="{00000000-0005-0000-0000-0000C9730000}"/>
    <cellStyle name="Normal 3 4 8 3 8 2" xfId="34206" xr:uid="{00000000-0005-0000-0000-0000CA730000}"/>
    <cellStyle name="Normal 3 4 8 3 9" xfId="16737" xr:uid="{00000000-0005-0000-0000-0000CB730000}"/>
    <cellStyle name="Normal 3 4 8 3 9 2" xfId="34207" xr:uid="{00000000-0005-0000-0000-0000CC730000}"/>
    <cellStyle name="Normal 3 4 8 4" xfId="16738" xr:uid="{00000000-0005-0000-0000-0000CD730000}"/>
    <cellStyle name="Normal 3 4 8 4 10" xfId="16739" xr:uid="{00000000-0005-0000-0000-0000CE730000}"/>
    <cellStyle name="Normal 3 4 8 4 10 2" xfId="34209" xr:uid="{00000000-0005-0000-0000-0000CF730000}"/>
    <cellStyle name="Normal 3 4 8 4 11" xfId="16740" xr:uid="{00000000-0005-0000-0000-0000D0730000}"/>
    <cellStyle name="Normal 3 4 8 4 11 2" xfId="34210" xr:uid="{00000000-0005-0000-0000-0000D1730000}"/>
    <cellStyle name="Normal 3 4 8 4 12" xfId="16741" xr:uid="{00000000-0005-0000-0000-0000D2730000}"/>
    <cellStyle name="Normal 3 4 8 4 12 2" xfId="34211" xr:uid="{00000000-0005-0000-0000-0000D3730000}"/>
    <cellStyle name="Normal 3 4 8 4 13" xfId="16742" xr:uid="{00000000-0005-0000-0000-0000D4730000}"/>
    <cellStyle name="Normal 3 4 8 4 13 2" xfId="34212" xr:uid="{00000000-0005-0000-0000-0000D5730000}"/>
    <cellStyle name="Normal 3 4 8 4 14" xfId="16743" xr:uid="{00000000-0005-0000-0000-0000D6730000}"/>
    <cellStyle name="Normal 3 4 8 4 14 2" xfId="34213" xr:uid="{00000000-0005-0000-0000-0000D7730000}"/>
    <cellStyle name="Normal 3 4 8 4 15" xfId="16744" xr:uid="{00000000-0005-0000-0000-0000D8730000}"/>
    <cellStyle name="Normal 3 4 8 4 15 2" xfId="34214" xr:uid="{00000000-0005-0000-0000-0000D9730000}"/>
    <cellStyle name="Normal 3 4 8 4 16" xfId="34208" xr:uid="{00000000-0005-0000-0000-0000DA730000}"/>
    <cellStyle name="Normal 3 4 8 4 2" xfId="16745" xr:uid="{00000000-0005-0000-0000-0000DB730000}"/>
    <cellStyle name="Normal 3 4 8 4 2 10" xfId="16746" xr:uid="{00000000-0005-0000-0000-0000DC730000}"/>
    <cellStyle name="Normal 3 4 8 4 2 10 2" xfId="34216" xr:uid="{00000000-0005-0000-0000-0000DD730000}"/>
    <cellStyle name="Normal 3 4 8 4 2 11" xfId="16747" xr:uid="{00000000-0005-0000-0000-0000DE730000}"/>
    <cellStyle name="Normal 3 4 8 4 2 11 2" xfId="34217" xr:uid="{00000000-0005-0000-0000-0000DF730000}"/>
    <cellStyle name="Normal 3 4 8 4 2 12" xfId="16748" xr:uid="{00000000-0005-0000-0000-0000E0730000}"/>
    <cellStyle name="Normal 3 4 8 4 2 12 2" xfId="34218" xr:uid="{00000000-0005-0000-0000-0000E1730000}"/>
    <cellStyle name="Normal 3 4 8 4 2 13" xfId="16749" xr:uid="{00000000-0005-0000-0000-0000E2730000}"/>
    <cellStyle name="Normal 3 4 8 4 2 13 2" xfId="34219" xr:uid="{00000000-0005-0000-0000-0000E3730000}"/>
    <cellStyle name="Normal 3 4 8 4 2 14" xfId="16750" xr:uid="{00000000-0005-0000-0000-0000E4730000}"/>
    <cellStyle name="Normal 3 4 8 4 2 14 2" xfId="34220" xr:uid="{00000000-0005-0000-0000-0000E5730000}"/>
    <cellStyle name="Normal 3 4 8 4 2 15" xfId="34215" xr:uid="{00000000-0005-0000-0000-0000E6730000}"/>
    <cellStyle name="Normal 3 4 8 4 2 2" xfId="16751" xr:uid="{00000000-0005-0000-0000-0000E7730000}"/>
    <cellStyle name="Normal 3 4 8 4 2 2 2" xfId="34221" xr:uid="{00000000-0005-0000-0000-0000E8730000}"/>
    <cellStyle name="Normal 3 4 8 4 2 3" xfId="16752" xr:uid="{00000000-0005-0000-0000-0000E9730000}"/>
    <cellStyle name="Normal 3 4 8 4 2 3 2" xfId="34222" xr:uid="{00000000-0005-0000-0000-0000EA730000}"/>
    <cellStyle name="Normal 3 4 8 4 2 4" xfId="16753" xr:uid="{00000000-0005-0000-0000-0000EB730000}"/>
    <cellStyle name="Normal 3 4 8 4 2 4 2" xfId="34223" xr:uid="{00000000-0005-0000-0000-0000EC730000}"/>
    <cellStyle name="Normal 3 4 8 4 2 5" xfId="16754" xr:uid="{00000000-0005-0000-0000-0000ED730000}"/>
    <cellStyle name="Normal 3 4 8 4 2 5 2" xfId="34224" xr:uid="{00000000-0005-0000-0000-0000EE730000}"/>
    <cellStyle name="Normal 3 4 8 4 2 6" xfId="16755" xr:uid="{00000000-0005-0000-0000-0000EF730000}"/>
    <cellStyle name="Normal 3 4 8 4 2 6 2" xfId="34225" xr:uid="{00000000-0005-0000-0000-0000F0730000}"/>
    <cellStyle name="Normal 3 4 8 4 2 7" xfId="16756" xr:uid="{00000000-0005-0000-0000-0000F1730000}"/>
    <cellStyle name="Normal 3 4 8 4 2 7 2" xfId="34226" xr:uid="{00000000-0005-0000-0000-0000F2730000}"/>
    <cellStyle name="Normal 3 4 8 4 2 8" xfId="16757" xr:uid="{00000000-0005-0000-0000-0000F3730000}"/>
    <cellStyle name="Normal 3 4 8 4 2 8 2" xfId="34227" xr:uid="{00000000-0005-0000-0000-0000F4730000}"/>
    <cellStyle name="Normal 3 4 8 4 2 9" xfId="16758" xr:uid="{00000000-0005-0000-0000-0000F5730000}"/>
    <cellStyle name="Normal 3 4 8 4 2 9 2" xfId="34228" xr:uid="{00000000-0005-0000-0000-0000F6730000}"/>
    <cellStyle name="Normal 3 4 8 4 3" xfId="16759" xr:uid="{00000000-0005-0000-0000-0000F7730000}"/>
    <cellStyle name="Normal 3 4 8 4 3 2" xfId="34229" xr:uid="{00000000-0005-0000-0000-0000F8730000}"/>
    <cellStyle name="Normal 3 4 8 4 4" xfId="16760" xr:uid="{00000000-0005-0000-0000-0000F9730000}"/>
    <cellStyle name="Normal 3 4 8 4 4 2" xfId="34230" xr:uid="{00000000-0005-0000-0000-0000FA730000}"/>
    <cellStyle name="Normal 3 4 8 4 5" xfId="16761" xr:uid="{00000000-0005-0000-0000-0000FB730000}"/>
    <cellStyle name="Normal 3 4 8 4 5 2" xfId="34231" xr:uid="{00000000-0005-0000-0000-0000FC730000}"/>
    <cellStyle name="Normal 3 4 8 4 6" xfId="16762" xr:uid="{00000000-0005-0000-0000-0000FD730000}"/>
    <cellStyle name="Normal 3 4 8 4 6 2" xfId="34232" xr:uid="{00000000-0005-0000-0000-0000FE730000}"/>
    <cellStyle name="Normal 3 4 8 4 7" xfId="16763" xr:uid="{00000000-0005-0000-0000-0000FF730000}"/>
    <cellStyle name="Normal 3 4 8 4 7 2" xfId="34233" xr:uid="{00000000-0005-0000-0000-000000740000}"/>
    <cellStyle name="Normal 3 4 8 4 8" xfId="16764" xr:uid="{00000000-0005-0000-0000-000001740000}"/>
    <cellStyle name="Normal 3 4 8 4 8 2" xfId="34234" xr:uid="{00000000-0005-0000-0000-000002740000}"/>
    <cellStyle name="Normal 3 4 8 4 9" xfId="16765" xr:uid="{00000000-0005-0000-0000-000003740000}"/>
    <cellStyle name="Normal 3 4 8 4 9 2" xfId="34235" xr:uid="{00000000-0005-0000-0000-000004740000}"/>
    <cellStyle name="Normal 3 4 8 5" xfId="16766" xr:uid="{00000000-0005-0000-0000-000005740000}"/>
    <cellStyle name="Normal 3 4 8 5 10" xfId="16767" xr:uid="{00000000-0005-0000-0000-000006740000}"/>
    <cellStyle name="Normal 3 4 8 5 10 2" xfId="34237" xr:uid="{00000000-0005-0000-0000-000007740000}"/>
    <cellStyle name="Normal 3 4 8 5 11" xfId="16768" xr:uid="{00000000-0005-0000-0000-000008740000}"/>
    <cellStyle name="Normal 3 4 8 5 11 2" xfId="34238" xr:uid="{00000000-0005-0000-0000-000009740000}"/>
    <cellStyle name="Normal 3 4 8 5 12" xfId="16769" xr:uid="{00000000-0005-0000-0000-00000A740000}"/>
    <cellStyle name="Normal 3 4 8 5 12 2" xfId="34239" xr:uid="{00000000-0005-0000-0000-00000B740000}"/>
    <cellStyle name="Normal 3 4 8 5 13" xfId="16770" xr:uid="{00000000-0005-0000-0000-00000C740000}"/>
    <cellStyle name="Normal 3 4 8 5 13 2" xfId="34240" xr:uid="{00000000-0005-0000-0000-00000D740000}"/>
    <cellStyle name="Normal 3 4 8 5 14" xfId="16771" xr:uid="{00000000-0005-0000-0000-00000E740000}"/>
    <cellStyle name="Normal 3 4 8 5 14 2" xfId="34241" xr:uid="{00000000-0005-0000-0000-00000F740000}"/>
    <cellStyle name="Normal 3 4 8 5 15" xfId="34236" xr:uid="{00000000-0005-0000-0000-000010740000}"/>
    <cellStyle name="Normal 3 4 8 5 2" xfId="16772" xr:uid="{00000000-0005-0000-0000-000011740000}"/>
    <cellStyle name="Normal 3 4 8 5 2 2" xfId="34242" xr:uid="{00000000-0005-0000-0000-000012740000}"/>
    <cellStyle name="Normal 3 4 8 5 3" xfId="16773" xr:uid="{00000000-0005-0000-0000-000013740000}"/>
    <cellStyle name="Normal 3 4 8 5 3 2" xfId="34243" xr:uid="{00000000-0005-0000-0000-000014740000}"/>
    <cellStyle name="Normal 3 4 8 5 4" xfId="16774" xr:uid="{00000000-0005-0000-0000-000015740000}"/>
    <cellStyle name="Normal 3 4 8 5 4 2" xfId="34244" xr:uid="{00000000-0005-0000-0000-000016740000}"/>
    <cellStyle name="Normal 3 4 8 5 5" xfId="16775" xr:uid="{00000000-0005-0000-0000-000017740000}"/>
    <cellStyle name="Normal 3 4 8 5 5 2" xfId="34245" xr:uid="{00000000-0005-0000-0000-000018740000}"/>
    <cellStyle name="Normal 3 4 8 5 6" xfId="16776" xr:uid="{00000000-0005-0000-0000-000019740000}"/>
    <cellStyle name="Normal 3 4 8 5 6 2" xfId="34246" xr:uid="{00000000-0005-0000-0000-00001A740000}"/>
    <cellStyle name="Normal 3 4 8 5 7" xfId="16777" xr:uid="{00000000-0005-0000-0000-00001B740000}"/>
    <cellStyle name="Normal 3 4 8 5 7 2" xfId="34247" xr:uid="{00000000-0005-0000-0000-00001C740000}"/>
    <cellStyle name="Normal 3 4 8 5 8" xfId="16778" xr:uid="{00000000-0005-0000-0000-00001D740000}"/>
    <cellStyle name="Normal 3 4 8 5 8 2" xfId="34248" xr:uid="{00000000-0005-0000-0000-00001E740000}"/>
    <cellStyle name="Normal 3 4 8 5 9" xfId="16779" xr:uid="{00000000-0005-0000-0000-00001F740000}"/>
    <cellStyle name="Normal 3 4 8 5 9 2" xfId="34249" xr:uid="{00000000-0005-0000-0000-000020740000}"/>
    <cellStyle name="Normal 3 4 8 6" xfId="16780" xr:uid="{00000000-0005-0000-0000-000021740000}"/>
    <cellStyle name="Normal 3 4 8 6 10" xfId="16781" xr:uid="{00000000-0005-0000-0000-000022740000}"/>
    <cellStyle name="Normal 3 4 8 6 10 2" xfId="34251" xr:uid="{00000000-0005-0000-0000-000023740000}"/>
    <cellStyle name="Normal 3 4 8 6 11" xfId="16782" xr:uid="{00000000-0005-0000-0000-000024740000}"/>
    <cellStyle name="Normal 3 4 8 6 11 2" xfId="34252" xr:uid="{00000000-0005-0000-0000-000025740000}"/>
    <cellStyle name="Normal 3 4 8 6 12" xfId="16783" xr:uid="{00000000-0005-0000-0000-000026740000}"/>
    <cellStyle name="Normal 3 4 8 6 12 2" xfId="34253" xr:uid="{00000000-0005-0000-0000-000027740000}"/>
    <cellStyle name="Normal 3 4 8 6 13" xfId="16784" xr:uid="{00000000-0005-0000-0000-000028740000}"/>
    <cellStyle name="Normal 3 4 8 6 13 2" xfId="34254" xr:uid="{00000000-0005-0000-0000-000029740000}"/>
    <cellStyle name="Normal 3 4 8 6 14" xfId="16785" xr:uid="{00000000-0005-0000-0000-00002A740000}"/>
    <cellStyle name="Normal 3 4 8 6 14 2" xfId="34255" xr:uid="{00000000-0005-0000-0000-00002B740000}"/>
    <cellStyle name="Normal 3 4 8 6 15" xfId="34250" xr:uid="{00000000-0005-0000-0000-00002C740000}"/>
    <cellStyle name="Normal 3 4 8 6 2" xfId="16786" xr:uid="{00000000-0005-0000-0000-00002D740000}"/>
    <cellStyle name="Normal 3 4 8 6 2 2" xfId="34256" xr:uid="{00000000-0005-0000-0000-00002E740000}"/>
    <cellStyle name="Normal 3 4 8 6 3" xfId="16787" xr:uid="{00000000-0005-0000-0000-00002F740000}"/>
    <cellStyle name="Normal 3 4 8 6 3 2" xfId="34257" xr:uid="{00000000-0005-0000-0000-000030740000}"/>
    <cellStyle name="Normal 3 4 8 6 4" xfId="16788" xr:uid="{00000000-0005-0000-0000-000031740000}"/>
    <cellStyle name="Normal 3 4 8 6 4 2" xfId="34258" xr:uid="{00000000-0005-0000-0000-000032740000}"/>
    <cellStyle name="Normal 3 4 8 6 5" xfId="16789" xr:uid="{00000000-0005-0000-0000-000033740000}"/>
    <cellStyle name="Normal 3 4 8 6 5 2" xfId="34259" xr:uid="{00000000-0005-0000-0000-000034740000}"/>
    <cellStyle name="Normal 3 4 8 6 6" xfId="16790" xr:uid="{00000000-0005-0000-0000-000035740000}"/>
    <cellStyle name="Normal 3 4 8 6 6 2" xfId="34260" xr:uid="{00000000-0005-0000-0000-000036740000}"/>
    <cellStyle name="Normal 3 4 8 6 7" xfId="16791" xr:uid="{00000000-0005-0000-0000-000037740000}"/>
    <cellStyle name="Normal 3 4 8 6 7 2" xfId="34261" xr:uid="{00000000-0005-0000-0000-000038740000}"/>
    <cellStyle name="Normal 3 4 8 6 8" xfId="16792" xr:uid="{00000000-0005-0000-0000-000039740000}"/>
    <cellStyle name="Normal 3 4 8 6 8 2" xfId="34262" xr:uid="{00000000-0005-0000-0000-00003A740000}"/>
    <cellStyle name="Normal 3 4 8 6 9" xfId="16793" xr:uid="{00000000-0005-0000-0000-00003B740000}"/>
    <cellStyle name="Normal 3 4 8 6 9 2" xfId="34263" xr:uid="{00000000-0005-0000-0000-00003C740000}"/>
    <cellStyle name="Normal 3 4 8 7" xfId="16794" xr:uid="{00000000-0005-0000-0000-00003D740000}"/>
    <cellStyle name="Normal 3 4 8 7 10" xfId="16795" xr:uid="{00000000-0005-0000-0000-00003E740000}"/>
    <cellStyle name="Normal 3 4 8 7 10 2" xfId="34265" xr:uid="{00000000-0005-0000-0000-00003F740000}"/>
    <cellStyle name="Normal 3 4 8 7 11" xfId="16796" xr:uid="{00000000-0005-0000-0000-000040740000}"/>
    <cellStyle name="Normal 3 4 8 7 11 2" xfId="34266" xr:uid="{00000000-0005-0000-0000-000041740000}"/>
    <cellStyle name="Normal 3 4 8 7 12" xfId="16797" xr:uid="{00000000-0005-0000-0000-000042740000}"/>
    <cellStyle name="Normal 3 4 8 7 12 2" xfId="34267" xr:uid="{00000000-0005-0000-0000-000043740000}"/>
    <cellStyle name="Normal 3 4 8 7 13" xfId="16798" xr:uid="{00000000-0005-0000-0000-000044740000}"/>
    <cellStyle name="Normal 3 4 8 7 13 2" xfId="34268" xr:uid="{00000000-0005-0000-0000-000045740000}"/>
    <cellStyle name="Normal 3 4 8 7 14" xfId="16799" xr:uid="{00000000-0005-0000-0000-000046740000}"/>
    <cellStyle name="Normal 3 4 8 7 14 2" xfId="34269" xr:uid="{00000000-0005-0000-0000-000047740000}"/>
    <cellStyle name="Normal 3 4 8 7 15" xfId="34264" xr:uid="{00000000-0005-0000-0000-000048740000}"/>
    <cellStyle name="Normal 3 4 8 7 2" xfId="16800" xr:uid="{00000000-0005-0000-0000-000049740000}"/>
    <cellStyle name="Normal 3 4 8 7 2 2" xfId="34270" xr:uid="{00000000-0005-0000-0000-00004A740000}"/>
    <cellStyle name="Normal 3 4 8 7 3" xfId="16801" xr:uid="{00000000-0005-0000-0000-00004B740000}"/>
    <cellStyle name="Normal 3 4 8 7 3 2" xfId="34271" xr:uid="{00000000-0005-0000-0000-00004C740000}"/>
    <cellStyle name="Normal 3 4 8 7 4" xfId="16802" xr:uid="{00000000-0005-0000-0000-00004D740000}"/>
    <cellStyle name="Normal 3 4 8 7 4 2" xfId="34272" xr:uid="{00000000-0005-0000-0000-00004E740000}"/>
    <cellStyle name="Normal 3 4 8 7 5" xfId="16803" xr:uid="{00000000-0005-0000-0000-00004F740000}"/>
    <cellStyle name="Normal 3 4 8 7 5 2" xfId="34273" xr:uid="{00000000-0005-0000-0000-000050740000}"/>
    <cellStyle name="Normal 3 4 8 7 6" xfId="16804" xr:uid="{00000000-0005-0000-0000-000051740000}"/>
    <cellStyle name="Normal 3 4 8 7 6 2" xfId="34274" xr:uid="{00000000-0005-0000-0000-000052740000}"/>
    <cellStyle name="Normal 3 4 8 7 7" xfId="16805" xr:uid="{00000000-0005-0000-0000-000053740000}"/>
    <cellStyle name="Normal 3 4 8 7 7 2" xfId="34275" xr:uid="{00000000-0005-0000-0000-000054740000}"/>
    <cellStyle name="Normal 3 4 8 7 8" xfId="16806" xr:uid="{00000000-0005-0000-0000-000055740000}"/>
    <cellStyle name="Normal 3 4 8 7 8 2" xfId="34276" xr:uid="{00000000-0005-0000-0000-000056740000}"/>
    <cellStyle name="Normal 3 4 8 7 9" xfId="16807" xr:uid="{00000000-0005-0000-0000-000057740000}"/>
    <cellStyle name="Normal 3 4 8 7 9 2" xfId="34277" xr:uid="{00000000-0005-0000-0000-000058740000}"/>
    <cellStyle name="Normal 3 4 8 8" xfId="16808" xr:uid="{00000000-0005-0000-0000-000059740000}"/>
    <cellStyle name="Normal 3 4 8 8 10" xfId="16809" xr:uid="{00000000-0005-0000-0000-00005A740000}"/>
    <cellStyle name="Normal 3 4 8 8 10 2" xfId="34279" xr:uid="{00000000-0005-0000-0000-00005B740000}"/>
    <cellStyle name="Normal 3 4 8 8 11" xfId="16810" xr:uid="{00000000-0005-0000-0000-00005C740000}"/>
    <cellStyle name="Normal 3 4 8 8 11 2" xfId="34280" xr:uid="{00000000-0005-0000-0000-00005D740000}"/>
    <cellStyle name="Normal 3 4 8 8 12" xfId="16811" xr:uid="{00000000-0005-0000-0000-00005E740000}"/>
    <cellStyle name="Normal 3 4 8 8 12 2" xfId="34281" xr:uid="{00000000-0005-0000-0000-00005F740000}"/>
    <cellStyle name="Normal 3 4 8 8 13" xfId="16812" xr:uid="{00000000-0005-0000-0000-000060740000}"/>
    <cellStyle name="Normal 3 4 8 8 13 2" xfId="34282" xr:uid="{00000000-0005-0000-0000-000061740000}"/>
    <cellStyle name="Normal 3 4 8 8 14" xfId="16813" xr:uid="{00000000-0005-0000-0000-000062740000}"/>
    <cellStyle name="Normal 3 4 8 8 14 2" xfId="34283" xr:uid="{00000000-0005-0000-0000-000063740000}"/>
    <cellStyle name="Normal 3 4 8 8 15" xfId="34278" xr:uid="{00000000-0005-0000-0000-000064740000}"/>
    <cellStyle name="Normal 3 4 8 8 2" xfId="16814" xr:uid="{00000000-0005-0000-0000-000065740000}"/>
    <cellStyle name="Normal 3 4 8 8 2 2" xfId="34284" xr:uid="{00000000-0005-0000-0000-000066740000}"/>
    <cellStyle name="Normal 3 4 8 8 3" xfId="16815" xr:uid="{00000000-0005-0000-0000-000067740000}"/>
    <cellStyle name="Normal 3 4 8 8 3 2" xfId="34285" xr:uid="{00000000-0005-0000-0000-000068740000}"/>
    <cellStyle name="Normal 3 4 8 8 4" xfId="16816" xr:uid="{00000000-0005-0000-0000-000069740000}"/>
    <cellStyle name="Normal 3 4 8 8 4 2" xfId="34286" xr:uid="{00000000-0005-0000-0000-00006A740000}"/>
    <cellStyle name="Normal 3 4 8 8 5" xfId="16817" xr:uid="{00000000-0005-0000-0000-00006B740000}"/>
    <cellStyle name="Normal 3 4 8 8 5 2" xfId="34287" xr:uid="{00000000-0005-0000-0000-00006C740000}"/>
    <cellStyle name="Normal 3 4 8 8 6" xfId="16818" xr:uid="{00000000-0005-0000-0000-00006D740000}"/>
    <cellStyle name="Normal 3 4 8 8 6 2" xfId="34288" xr:uid="{00000000-0005-0000-0000-00006E740000}"/>
    <cellStyle name="Normal 3 4 8 8 7" xfId="16819" xr:uid="{00000000-0005-0000-0000-00006F740000}"/>
    <cellStyle name="Normal 3 4 8 8 7 2" xfId="34289" xr:uid="{00000000-0005-0000-0000-000070740000}"/>
    <cellStyle name="Normal 3 4 8 8 8" xfId="16820" xr:uid="{00000000-0005-0000-0000-000071740000}"/>
    <cellStyle name="Normal 3 4 8 8 8 2" xfId="34290" xr:uid="{00000000-0005-0000-0000-000072740000}"/>
    <cellStyle name="Normal 3 4 8 8 9" xfId="16821" xr:uid="{00000000-0005-0000-0000-000073740000}"/>
    <cellStyle name="Normal 3 4 8 8 9 2" xfId="34291" xr:uid="{00000000-0005-0000-0000-000074740000}"/>
    <cellStyle name="Normal 3 4 8 9" xfId="16822" xr:uid="{00000000-0005-0000-0000-000075740000}"/>
    <cellStyle name="Normal 3 4 8 9 10" xfId="16823" xr:uid="{00000000-0005-0000-0000-000076740000}"/>
    <cellStyle name="Normal 3 4 8 9 10 2" xfId="34293" xr:uid="{00000000-0005-0000-0000-000077740000}"/>
    <cellStyle name="Normal 3 4 8 9 11" xfId="16824" xr:uid="{00000000-0005-0000-0000-000078740000}"/>
    <cellStyle name="Normal 3 4 8 9 11 2" xfId="34294" xr:uid="{00000000-0005-0000-0000-000079740000}"/>
    <cellStyle name="Normal 3 4 8 9 12" xfId="16825" xr:uid="{00000000-0005-0000-0000-00007A740000}"/>
    <cellStyle name="Normal 3 4 8 9 12 2" xfId="34295" xr:uid="{00000000-0005-0000-0000-00007B740000}"/>
    <cellStyle name="Normal 3 4 8 9 13" xfId="16826" xr:uid="{00000000-0005-0000-0000-00007C740000}"/>
    <cellStyle name="Normal 3 4 8 9 13 2" xfId="34296" xr:uid="{00000000-0005-0000-0000-00007D740000}"/>
    <cellStyle name="Normal 3 4 8 9 14" xfId="16827" xr:uid="{00000000-0005-0000-0000-00007E740000}"/>
    <cellStyle name="Normal 3 4 8 9 14 2" xfId="34297" xr:uid="{00000000-0005-0000-0000-00007F740000}"/>
    <cellStyle name="Normal 3 4 8 9 15" xfId="34292" xr:uid="{00000000-0005-0000-0000-000080740000}"/>
    <cellStyle name="Normal 3 4 8 9 2" xfId="16828" xr:uid="{00000000-0005-0000-0000-000081740000}"/>
    <cellStyle name="Normal 3 4 8 9 2 2" xfId="34298" xr:uid="{00000000-0005-0000-0000-000082740000}"/>
    <cellStyle name="Normal 3 4 8 9 3" xfId="16829" xr:uid="{00000000-0005-0000-0000-000083740000}"/>
    <cellStyle name="Normal 3 4 8 9 3 2" xfId="34299" xr:uid="{00000000-0005-0000-0000-000084740000}"/>
    <cellStyle name="Normal 3 4 8 9 4" xfId="16830" xr:uid="{00000000-0005-0000-0000-000085740000}"/>
    <cellStyle name="Normal 3 4 8 9 4 2" xfId="34300" xr:uid="{00000000-0005-0000-0000-000086740000}"/>
    <cellStyle name="Normal 3 4 8 9 5" xfId="16831" xr:uid="{00000000-0005-0000-0000-000087740000}"/>
    <cellStyle name="Normal 3 4 8 9 5 2" xfId="34301" xr:uid="{00000000-0005-0000-0000-000088740000}"/>
    <cellStyle name="Normal 3 4 8 9 6" xfId="16832" xr:uid="{00000000-0005-0000-0000-000089740000}"/>
    <cellStyle name="Normal 3 4 8 9 6 2" xfId="34302" xr:uid="{00000000-0005-0000-0000-00008A740000}"/>
    <cellStyle name="Normal 3 4 8 9 7" xfId="16833" xr:uid="{00000000-0005-0000-0000-00008B740000}"/>
    <cellStyle name="Normal 3 4 8 9 7 2" xfId="34303" xr:uid="{00000000-0005-0000-0000-00008C740000}"/>
    <cellStyle name="Normal 3 4 8 9 8" xfId="16834" xr:uid="{00000000-0005-0000-0000-00008D740000}"/>
    <cellStyle name="Normal 3 4 8 9 8 2" xfId="34304" xr:uid="{00000000-0005-0000-0000-00008E740000}"/>
    <cellStyle name="Normal 3 4 8 9 9" xfId="16835" xr:uid="{00000000-0005-0000-0000-00008F740000}"/>
    <cellStyle name="Normal 3 4 8 9 9 2" xfId="34305" xr:uid="{00000000-0005-0000-0000-000090740000}"/>
    <cellStyle name="Normal 3 4 9" xfId="16836" xr:uid="{00000000-0005-0000-0000-000091740000}"/>
    <cellStyle name="Normal 3 4 9 10" xfId="16837" xr:uid="{00000000-0005-0000-0000-000092740000}"/>
    <cellStyle name="Normal 3 4 9 10 10" xfId="16838" xr:uid="{00000000-0005-0000-0000-000093740000}"/>
    <cellStyle name="Normal 3 4 9 10 10 2" xfId="34308" xr:uid="{00000000-0005-0000-0000-000094740000}"/>
    <cellStyle name="Normal 3 4 9 10 11" xfId="16839" xr:uid="{00000000-0005-0000-0000-000095740000}"/>
    <cellStyle name="Normal 3 4 9 10 11 2" xfId="34309" xr:uid="{00000000-0005-0000-0000-000096740000}"/>
    <cellStyle name="Normal 3 4 9 10 12" xfId="16840" xr:uid="{00000000-0005-0000-0000-000097740000}"/>
    <cellStyle name="Normal 3 4 9 10 12 2" xfId="34310" xr:uid="{00000000-0005-0000-0000-000098740000}"/>
    <cellStyle name="Normal 3 4 9 10 13" xfId="16841" xr:uid="{00000000-0005-0000-0000-000099740000}"/>
    <cellStyle name="Normal 3 4 9 10 13 2" xfId="34311" xr:uid="{00000000-0005-0000-0000-00009A740000}"/>
    <cellStyle name="Normal 3 4 9 10 14" xfId="16842" xr:uid="{00000000-0005-0000-0000-00009B740000}"/>
    <cellStyle name="Normal 3 4 9 10 14 2" xfId="34312" xr:uid="{00000000-0005-0000-0000-00009C740000}"/>
    <cellStyle name="Normal 3 4 9 10 15" xfId="34307" xr:uid="{00000000-0005-0000-0000-00009D740000}"/>
    <cellStyle name="Normal 3 4 9 10 2" xfId="16843" xr:uid="{00000000-0005-0000-0000-00009E740000}"/>
    <cellStyle name="Normal 3 4 9 10 2 2" xfId="34313" xr:uid="{00000000-0005-0000-0000-00009F740000}"/>
    <cellStyle name="Normal 3 4 9 10 3" xfId="16844" xr:uid="{00000000-0005-0000-0000-0000A0740000}"/>
    <cellStyle name="Normal 3 4 9 10 3 2" xfId="34314" xr:uid="{00000000-0005-0000-0000-0000A1740000}"/>
    <cellStyle name="Normal 3 4 9 10 4" xfId="16845" xr:uid="{00000000-0005-0000-0000-0000A2740000}"/>
    <cellStyle name="Normal 3 4 9 10 4 2" xfId="34315" xr:uid="{00000000-0005-0000-0000-0000A3740000}"/>
    <cellStyle name="Normal 3 4 9 10 5" xfId="16846" xr:uid="{00000000-0005-0000-0000-0000A4740000}"/>
    <cellStyle name="Normal 3 4 9 10 5 2" xfId="34316" xr:uid="{00000000-0005-0000-0000-0000A5740000}"/>
    <cellStyle name="Normal 3 4 9 10 6" xfId="16847" xr:uid="{00000000-0005-0000-0000-0000A6740000}"/>
    <cellStyle name="Normal 3 4 9 10 6 2" xfId="34317" xr:uid="{00000000-0005-0000-0000-0000A7740000}"/>
    <cellStyle name="Normal 3 4 9 10 7" xfId="16848" xr:uid="{00000000-0005-0000-0000-0000A8740000}"/>
    <cellStyle name="Normal 3 4 9 10 7 2" xfId="34318" xr:uid="{00000000-0005-0000-0000-0000A9740000}"/>
    <cellStyle name="Normal 3 4 9 10 8" xfId="16849" xr:uid="{00000000-0005-0000-0000-0000AA740000}"/>
    <cellStyle name="Normal 3 4 9 10 8 2" xfId="34319" xr:uid="{00000000-0005-0000-0000-0000AB740000}"/>
    <cellStyle name="Normal 3 4 9 10 9" xfId="16850" xr:uid="{00000000-0005-0000-0000-0000AC740000}"/>
    <cellStyle name="Normal 3 4 9 10 9 2" xfId="34320" xr:uid="{00000000-0005-0000-0000-0000AD740000}"/>
    <cellStyle name="Normal 3 4 9 11" xfId="16851" xr:uid="{00000000-0005-0000-0000-0000AE740000}"/>
    <cellStyle name="Normal 3 4 9 11 2" xfId="34321" xr:uid="{00000000-0005-0000-0000-0000AF740000}"/>
    <cellStyle name="Normal 3 4 9 12" xfId="16852" xr:uid="{00000000-0005-0000-0000-0000B0740000}"/>
    <cellStyle name="Normal 3 4 9 12 2" xfId="34322" xr:uid="{00000000-0005-0000-0000-0000B1740000}"/>
    <cellStyle name="Normal 3 4 9 13" xfId="16853" xr:uid="{00000000-0005-0000-0000-0000B2740000}"/>
    <cellStyle name="Normal 3 4 9 13 2" xfId="34323" xr:uid="{00000000-0005-0000-0000-0000B3740000}"/>
    <cellStyle name="Normal 3 4 9 14" xfId="16854" xr:uid="{00000000-0005-0000-0000-0000B4740000}"/>
    <cellStyle name="Normal 3 4 9 14 2" xfId="34324" xr:uid="{00000000-0005-0000-0000-0000B5740000}"/>
    <cellStyle name="Normal 3 4 9 15" xfId="16855" xr:uid="{00000000-0005-0000-0000-0000B6740000}"/>
    <cellStyle name="Normal 3 4 9 15 2" xfId="34325" xr:uid="{00000000-0005-0000-0000-0000B7740000}"/>
    <cellStyle name="Normal 3 4 9 16" xfId="16856" xr:uid="{00000000-0005-0000-0000-0000B8740000}"/>
    <cellStyle name="Normal 3 4 9 16 2" xfId="34326" xr:uid="{00000000-0005-0000-0000-0000B9740000}"/>
    <cellStyle name="Normal 3 4 9 17" xfId="16857" xr:uid="{00000000-0005-0000-0000-0000BA740000}"/>
    <cellStyle name="Normal 3 4 9 17 2" xfId="34327" xr:uid="{00000000-0005-0000-0000-0000BB740000}"/>
    <cellStyle name="Normal 3 4 9 18" xfId="16858" xr:uid="{00000000-0005-0000-0000-0000BC740000}"/>
    <cellStyle name="Normal 3 4 9 18 2" xfId="34328" xr:uid="{00000000-0005-0000-0000-0000BD740000}"/>
    <cellStyle name="Normal 3 4 9 19" xfId="16859" xr:uid="{00000000-0005-0000-0000-0000BE740000}"/>
    <cellStyle name="Normal 3 4 9 19 2" xfId="34329" xr:uid="{00000000-0005-0000-0000-0000BF740000}"/>
    <cellStyle name="Normal 3 4 9 2" xfId="16860" xr:uid="{00000000-0005-0000-0000-0000C0740000}"/>
    <cellStyle name="Normal 3 4 9 2 10" xfId="16861" xr:uid="{00000000-0005-0000-0000-0000C1740000}"/>
    <cellStyle name="Normal 3 4 9 2 10 2" xfId="34331" xr:uid="{00000000-0005-0000-0000-0000C2740000}"/>
    <cellStyle name="Normal 3 4 9 2 11" xfId="16862" xr:uid="{00000000-0005-0000-0000-0000C3740000}"/>
    <cellStyle name="Normal 3 4 9 2 11 2" xfId="34332" xr:uid="{00000000-0005-0000-0000-0000C4740000}"/>
    <cellStyle name="Normal 3 4 9 2 12" xfId="16863" xr:uid="{00000000-0005-0000-0000-0000C5740000}"/>
    <cellStyle name="Normal 3 4 9 2 12 2" xfId="34333" xr:uid="{00000000-0005-0000-0000-0000C6740000}"/>
    <cellStyle name="Normal 3 4 9 2 13" xfId="16864" xr:uid="{00000000-0005-0000-0000-0000C7740000}"/>
    <cellStyle name="Normal 3 4 9 2 13 2" xfId="34334" xr:uid="{00000000-0005-0000-0000-0000C8740000}"/>
    <cellStyle name="Normal 3 4 9 2 14" xfId="16865" xr:uid="{00000000-0005-0000-0000-0000C9740000}"/>
    <cellStyle name="Normal 3 4 9 2 14 2" xfId="34335" xr:uid="{00000000-0005-0000-0000-0000CA740000}"/>
    <cellStyle name="Normal 3 4 9 2 15" xfId="16866" xr:uid="{00000000-0005-0000-0000-0000CB740000}"/>
    <cellStyle name="Normal 3 4 9 2 15 2" xfId="34336" xr:uid="{00000000-0005-0000-0000-0000CC740000}"/>
    <cellStyle name="Normal 3 4 9 2 16" xfId="34330" xr:uid="{00000000-0005-0000-0000-0000CD740000}"/>
    <cellStyle name="Normal 3 4 9 2 2" xfId="16867" xr:uid="{00000000-0005-0000-0000-0000CE740000}"/>
    <cellStyle name="Normal 3 4 9 2 2 10" xfId="16868" xr:uid="{00000000-0005-0000-0000-0000CF740000}"/>
    <cellStyle name="Normal 3 4 9 2 2 10 2" xfId="34338" xr:uid="{00000000-0005-0000-0000-0000D0740000}"/>
    <cellStyle name="Normal 3 4 9 2 2 11" xfId="16869" xr:uid="{00000000-0005-0000-0000-0000D1740000}"/>
    <cellStyle name="Normal 3 4 9 2 2 11 2" xfId="34339" xr:uid="{00000000-0005-0000-0000-0000D2740000}"/>
    <cellStyle name="Normal 3 4 9 2 2 12" xfId="16870" xr:uid="{00000000-0005-0000-0000-0000D3740000}"/>
    <cellStyle name="Normal 3 4 9 2 2 12 2" xfId="34340" xr:uid="{00000000-0005-0000-0000-0000D4740000}"/>
    <cellStyle name="Normal 3 4 9 2 2 13" xfId="16871" xr:uid="{00000000-0005-0000-0000-0000D5740000}"/>
    <cellStyle name="Normal 3 4 9 2 2 13 2" xfId="34341" xr:uid="{00000000-0005-0000-0000-0000D6740000}"/>
    <cellStyle name="Normal 3 4 9 2 2 14" xfId="16872" xr:uid="{00000000-0005-0000-0000-0000D7740000}"/>
    <cellStyle name="Normal 3 4 9 2 2 14 2" xfId="34342" xr:uid="{00000000-0005-0000-0000-0000D8740000}"/>
    <cellStyle name="Normal 3 4 9 2 2 15" xfId="34337" xr:uid="{00000000-0005-0000-0000-0000D9740000}"/>
    <cellStyle name="Normal 3 4 9 2 2 2" xfId="16873" xr:uid="{00000000-0005-0000-0000-0000DA740000}"/>
    <cellStyle name="Normal 3 4 9 2 2 2 2" xfId="34343" xr:uid="{00000000-0005-0000-0000-0000DB740000}"/>
    <cellStyle name="Normal 3 4 9 2 2 3" xfId="16874" xr:uid="{00000000-0005-0000-0000-0000DC740000}"/>
    <cellStyle name="Normal 3 4 9 2 2 3 2" xfId="34344" xr:uid="{00000000-0005-0000-0000-0000DD740000}"/>
    <cellStyle name="Normal 3 4 9 2 2 4" xfId="16875" xr:uid="{00000000-0005-0000-0000-0000DE740000}"/>
    <cellStyle name="Normal 3 4 9 2 2 4 2" xfId="34345" xr:uid="{00000000-0005-0000-0000-0000DF740000}"/>
    <cellStyle name="Normal 3 4 9 2 2 5" xfId="16876" xr:uid="{00000000-0005-0000-0000-0000E0740000}"/>
    <cellStyle name="Normal 3 4 9 2 2 5 2" xfId="34346" xr:uid="{00000000-0005-0000-0000-0000E1740000}"/>
    <cellStyle name="Normal 3 4 9 2 2 6" xfId="16877" xr:uid="{00000000-0005-0000-0000-0000E2740000}"/>
    <cellStyle name="Normal 3 4 9 2 2 6 2" xfId="34347" xr:uid="{00000000-0005-0000-0000-0000E3740000}"/>
    <cellStyle name="Normal 3 4 9 2 2 7" xfId="16878" xr:uid="{00000000-0005-0000-0000-0000E4740000}"/>
    <cellStyle name="Normal 3 4 9 2 2 7 2" xfId="34348" xr:uid="{00000000-0005-0000-0000-0000E5740000}"/>
    <cellStyle name="Normal 3 4 9 2 2 8" xfId="16879" xr:uid="{00000000-0005-0000-0000-0000E6740000}"/>
    <cellStyle name="Normal 3 4 9 2 2 8 2" xfId="34349" xr:uid="{00000000-0005-0000-0000-0000E7740000}"/>
    <cellStyle name="Normal 3 4 9 2 2 9" xfId="16880" xr:uid="{00000000-0005-0000-0000-0000E8740000}"/>
    <cellStyle name="Normal 3 4 9 2 2 9 2" xfId="34350" xr:uid="{00000000-0005-0000-0000-0000E9740000}"/>
    <cellStyle name="Normal 3 4 9 2 3" xfId="16881" xr:uid="{00000000-0005-0000-0000-0000EA740000}"/>
    <cellStyle name="Normal 3 4 9 2 3 2" xfId="34351" xr:uid="{00000000-0005-0000-0000-0000EB740000}"/>
    <cellStyle name="Normal 3 4 9 2 4" xfId="16882" xr:uid="{00000000-0005-0000-0000-0000EC740000}"/>
    <cellStyle name="Normal 3 4 9 2 4 2" xfId="34352" xr:uid="{00000000-0005-0000-0000-0000ED740000}"/>
    <cellStyle name="Normal 3 4 9 2 5" xfId="16883" xr:uid="{00000000-0005-0000-0000-0000EE740000}"/>
    <cellStyle name="Normal 3 4 9 2 5 2" xfId="34353" xr:uid="{00000000-0005-0000-0000-0000EF740000}"/>
    <cellStyle name="Normal 3 4 9 2 6" xfId="16884" xr:uid="{00000000-0005-0000-0000-0000F0740000}"/>
    <cellStyle name="Normal 3 4 9 2 6 2" xfId="34354" xr:uid="{00000000-0005-0000-0000-0000F1740000}"/>
    <cellStyle name="Normal 3 4 9 2 7" xfId="16885" xr:uid="{00000000-0005-0000-0000-0000F2740000}"/>
    <cellStyle name="Normal 3 4 9 2 7 2" xfId="34355" xr:uid="{00000000-0005-0000-0000-0000F3740000}"/>
    <cellStyle name="Normal 3 4 9 2 8" xfId="16886" xr:uid="{00000000-0005-0000-0000-0000F4740000}"/>
    <cellStyle name="Normal 3 4 9 2 8 2" xfId="34356" xr:uid="{00000000-0005-0000-0000-0000F5740000}"/>
    <cellStyle name="Normal 3 4 9 2 9" xfId="16887" xr:uid="{00000000-0005-0000-0000-0000F6740000}"/>
    <cellStyle name="Normal 3 4 9 2 9 2" xfId="34357" xr:uid="{00000000-0005-0000-0000-0000F7740000}"/>
    <cellStyle name="Normal 3 4 9 20" xfId="16888" xr:uid="{00000000-0005-0000-0000-0000F8740000}"/>
    <cellStyle name="Normal 3 4 9 20 2" xfId="34358" xr:uid="{00000000-0005-0000-0000-0000F9740000}"/>
    <cellStyle name="Normal 3 4 9 21" xfId="16889" xr:uid="{00000000-0005-0000-0000-0000FA740000}"/>
    <cellStyle name="Normal 3 4 9 21 2" xfId="34359" xr:uid="{00000000-0005-0000-0000-0000FB740000}"/>
    <cellStyle name="Normal 3 4 9 22" xfId="16890" xr:uid="{00000000-0005-0000-0000-0000FC740000}"/>
    <cellStyle name="Normal 3 4 9 22 2" xfId="34360" xr:uid="{00000000-0005-0000-0000-0000FD740000}"/>
    <cellStyle name="Normal 3 4 9 23" xfId="16891" xr:uid="{00000000-0005-0000-0000-0000FE740000}"/>
    <cellStyle name="Normal 3 4 9 23 2" xfId="34361" xr:uid="{00000000-0005-0000-0000-0000FF740000}"/>
    <cellStyle name="Normal 3 4 9 24" xfId="34306" xr:uid="{00000000-0005-0000-0000-000000750000}"/>
    <cellStyle name="Normal 3 4 9 3" xfId="16892" xr:uid="{00000000-0005-0000-0000-000001750000}"/>
    <cellStyle name="Normal 3 4 9 3 10" xfId="16893" xr:uid="{00000000-0005-0000-0000-000002750000}"/>
    <cellStyle name="Normal 3 4 9 3 10 2" xfId="34363" xr:uid="{00000000-0005-0000-0000-000003750000}"/>
    <cellStyle name="Normal 3 4 9 3 11" xfId="16894" xr:uid="{00000000-0005-0000-0000-000004750000}"/>
    <cellStyle name="Normal 3 4 9 3 11 2" xfId="34364" xr:uid="{00000000-0005-0000-0000-000005750000}"/>
    <cellStyle name="Normal 3 4 9 3 12" xfId="16895" xr:uid="{00000000-0005-0000-0000-000006750000}"/>
    <cellStyle name="Normal 3 4 9 3 12 2" xfId="34365" xr:uid="{00000000-0005-0000-0000-000007750000}"/>
    <cellStyle name="Normal 3 4 9 3 13" xfId="16896" xr:uid="{00000000-0005-0000-0000-000008750000}"/>
    <cellStyle name="Normal 3 4 9 3 13 2" xfId="34366" xr:uid="{00000000-0005-0000-0000-000009750000}"/>
    <cellStyle name="Normal 3 4 9 3 14" xfId="16897" xr:uid="{00000000-0005-0000-0000-00000A750000}"/>
    <cellStyle name="Normal 3 4 9 3 14 2" xfId="34367" xr:uid="{00000000-0005-0000-0000-00000B750000}"/>
    <cellStyle name="Normal 3 4 9 3 15" xfId="16898" xr:uid="{00000000-0005-0000-0000-00000C750000}"/>
    <cellStyle name="Normal 3 4 9 3 15 2" xfId="34368" xr:uid="{00000000-0005-0000-0000-00000D750000}"/>
    <cellStyle name="Normal 3 4 9 3 16" xfId="34362" xr:uid="{00000000-0005-0000-0000-00000E750000}"/>
    <cellStyle name="Normal 3 4 9 3 2" xfId="16899" xr:uid="{00000000-0005-0000-0000-00000F750000}"/>
    <cellStyle name="Normal 3 4 9 3 2 10" xfId="16900" xr:uid="{00000000-0005-0000-0000-000010750000}"/>
    <cellStyle name="Normal 3 4 9 3 2 10 2" xfId="34370" xr:uid="{00000000-0005-0000-0000-000011750000}"/>
    <cellStyle name="Normal 3 4 9 3 2 11" xfId="16901" xr:uid="{00000000-0005-0000-0000-000012750000}"/>
    <cellStyle name="Normal 3 4 9 3 2 11 2" xfId="34371" xr:uid="{00000000-0005-0000-0000-000013750000}"/>
    <cellStyle name="Normal 3 4 9 3 2 12" xfId="16902" xr:uid="{00000000-0005-0000-0000-000014750000}"/>
    <cellStyle name="Normal 3 4 9 3 2 12 2" xfId="34372" xr:uid="{00000000-0005-0000-0000-000015750000}"/>
    <cellStyle name="Normal 3 4 9 3 2 13" xfId="16903" xr:uid="{00000000-0005-0000-0000-000016750000}"/>
    <cellStyle name="Normal 3 4 9 3 2 13 2" xfId="34373" xr:uid="{00000000-0005-0000-0000-000017750000}"/>
    <cellStyle name="Normal 3 4 9 3 2 14" xfId="16904" xr:uid="{00000000-0005-0000-0000-000018750000}"/>
    <cellStyle name="Normal 3 4 9 3 2 14 2" xfId="34374" xr:uid="{00000000-0005-0000-0000-000019750000}"/>
    <cellStyle name="Normal 3 4 9 3 2 15" xfId="34369" xr:uid="{00000000-0005-0000-0000-00001A750000}"/>
    <cellStyle name="Normal 3 4 9 3 2 2" xfId="16905" xr:uid="{00000000-0005-0000-0000-00001B750000}"/>
    <cellStyle name="Normal 3 4 9 3 2 2 2" xfId="34375" xr:uid="{00000000-0005-0000-0000-00001C750000}"/>
    <cellStyle name="Normal 3 4 9 3 2 3" xfId="16906" xr:uid="{00000000-0005-0000-0000-00001D750000}"/>
    <cellStyle name="Normal 3 4 9 3 2 3 2" xfId="34376" xr:uid="{00000000-0005-0000-0000-00001E750000}"/>
    <cellStyle name="Normal 3 4 9 3 2 4" xfId="16907" xr:uid="{00000000-0005-0000-0000-00001F750000}"/>
    <cellStyle name="Normal 3 4 9 3 2 4 2" xfId="34377" xr:uid="{00000000-0005-0000-0000-000020750000}"/>
    <cellStyle name="Normal 3 4 9 3 2 5" xfId="16908" xr:uid="{00000000-0005-0000-0000-000021750000}"/>
    <cellStyle name="Normal 3 4 9 3 2 5 2" xfId="34378" xr:uid="{00000000-0005-0000-0000-000022750000}"/>
    <cellStyle name="Normal 3 4 9 3 2 6" xfId="16909" xr:uid="{00000000-0005-0000-0000-000023750000}"/>
    <cellStyle name="Normal 3 4 9 3 2 6 2" xfId="34379" xr:uid="{00000000-0005-0000-0000-000024750000}"/>
    <cellStyle name="Normal 3 4 9 3 2 7" xfId="16910" xr:uid="{00000000-0005-0000-0000-000025750000}"/>
    <cellStyle name="Normal 3 4 9 3 2 7 2" xfId="34380" xr:uid="{00000000-0005-0000-0000-000026750000}"/>
    <cellStyle name="Normal 3 4 9 3 2 8" xfId="16911" xr:uid="{00000000-0005-0000-0000-000027750000}"/>
    <cellStyle name="Normal 3 4 9 3 2 8 2" xfId="34381" xr:uid="{00000000-0005-0000-0000-000028750000}"/>
    <cellStyle name="Normal 3 4 9 3 2 9" xfId="16912" xr:uid="{00000000-0005-0000-0000-000029750000}"/>
    <cellStyle name="Normal 3 4 9 3 2 9 2" xfId="34382" xr:uid="{00000000-0005-0000-0000-00002A750000}"/>
    <cellStyle name="Normal 3 4 9 3 3" xfId="16913" xr:uid="{00000000-0005-0000-0000-00002B750000}"/>
    <cellStyle name="Normal 3 4 9 3 3 2" xfId="34383" xr:uid="{00000000-0005-0000-0000-00002C750000}"/>
    <cellStyle name="Normal 3 4 9 3 4" xfId="16914" xr:uid="{00000000-0005-0000-0000-00002D750000}"/>
    <cellStyle name="Normal 3 4 9 3 4 2" xfId="34384" xr:uid="{00000000-0005-0000-0000-00002E750000}"/>
    <cellStyle name="Normal 3 4 9 3 5" xfId="16915" xr:uid="{00000000-0005-0000-0000-00002F750000}"/>
    <cellStyle name="Normal 3 4 9 3 5 2" xfId="34385" xr:uid="{00000000-0005-0000-0000-000030750000}"/>
    <cellStyle name="Normal 3 4 9 3 6" xfId="16916" xr:uid="{00000000-0005-0000-0000-000031750000}"/>
    <cellStyle name="Normal 3 4 9 3 6 2" xfId="34386" xr:uid="{00000000-0005-0000-0000-000032750000}"/>
    <cellStyle name="Normal 3 4 9 3 7" xfId="16917" xr:uid="{00000000-0005-0000-0000-000033750000}"/>
    <cellStyle name="Normal 3 4 9 3 7 2" xfId="34387" xr:uid="{00000000-0005-0000-0000-000034750000}"/>
    <cellStyle name="Normal 3 4 9 3 8" xfId="16918" xr:uid="{00000000-0005-0000-0000-000035750000}"/>
    <cellStyle name="Normal 3 4 9 3 8 2" xfId="34388" xr:uid="{00000000-0005-0000-0000-000036750000}"/>
    <cellStyle name="Normal 3 4 9 3 9" xfId="16919" xr:uid="{00000000-0005-0000-0000-000037750000}"/>
    <cellStyle name="Normal 3 4 9 3 9 2" xfId="34389" xr:uid="{00000000-0005-0000-0000-000038750000}"/>
    <cellStyle name="Normal 3 4 9 4" xfId="16920" xr:uid="{00000000-0005-0000-0000-000039750000}"/>
    <cellStyle name="Normal 3 4 9 4 10" xfId="16921" xr:uid="{00000000-0005-0000-0000-00003A750000}"/>
    <cellStyle name="Normal 3 4 9 4 10 2" xfId="34391" xr:uid="{00000000-0005-0000-0000-00003B750000}"/>
    <cellStyle name="Normal 3 4 9 4 11" xfId="16922" xr:uid="{00000000-0005-0000-0000-00003C750000}"/>
    <cellStyle name="Normal 3 4 9 4 11 2" xfId="34392" xr:uid="{00000000-0005-0000-0000-00003D750000}"/>
    <cellStyle name="Normal 3 4 9 4 12" xfId="16923" xr:uid="{00000000-0005-0000-0000-00003E750000}"/>
    <cellStyle name="Normal 3 4 9 4 12 2" xfId="34393" xr:uid="{00000000-0005-0000-0000-00003F750000}"/>
    <cellStyle name="Normal 3 4 9 4 13" xfId="16924" xr:uid="{00000000-0005-0000-0000-000040750000}"/>
    <cellStyle name="Normal 3 4 9 4 13 2" xfId="34394" xr:uid="{00000000-0005-0000-0000-000041750000}"/>
    <cellStyle name="Normal 3 4 9 4 14" xfId="16925" xr:uid="{00000000-0005-0000-0000-000042750000}"/>
    <cellStyle name="Normal 3 4 9 4 14 2" xfId="34395" xr:uid="{00000000-0005-0000-0000-000043750000}"/>
    <cellStyle name="Normal 3 4 9 4 15" xfId="16926" xr:uid="{00000000-0005-0000-0000-000044750000}"/>
    <cellStyle name="Normal 3 4 9 4 15 2" xfId="34396" xr:uid="{00000000-0005-0000-0000-000045750000}"/>
    <cellStyle name="Normal 3 4 9 4 16" xfId="34390" xr:uid="{00000000-0005-0000-0000-000046750000}"/>
    <cellStyle name="Normal 3 4 9 4 2" xfId="16927" xr:uid="{00000000-0005-0000-0000-000047750000}"/>
    <cellStyle name="Normal 3 4 9 4 2 10" xfId="16928" xr:uid="{00000000-0005-0000-0000-000048750000}"/>
    <cellStyle name="Normal 3 4 9 4 2 10 2" xfId="34398" xr:uid="{00000000-0005-0000-0000-000049750000}"/>
    <cellStyle name="Normal 3 4 9 4 2 11" xfId="16929" xr:uid="{00000000-0005-0000-0000-00004A750000}"/>
    <cellStyle name="Normal 3 4 9 4 2 11 2" xfId="34399" xr:uid="{00000000-0005-0000-0000-00004B750000}"/>
    <cellStyle name="Normal 3 4 9 4 2 12" xfId="16930" xr:uid="{00000000-0005-0000-0000-00004C750000}"/>
    <cellStyle name="Normal 3 4 9 4 2 12 2" xfId="34400" xr:uid="{00000000-0005-0000-0000-00004D750000}"/>
    <cellStyle name="Normal 3 4 9 4 2 13" xfId="16931" xr:uid="{00000000-0005-0000-0000-00004E750000}"/>
    <cellStyle name="Normal 3 4 9 4 2 13 2" xfId="34401" xr:uid="{00000000-0005-0000-0000-00004F750000}"/>
    <cellStyle name="Normal 3 4 9 4 2 14" xfId="16932" xr:uid="{00000000-0005-0000-0000-000050750000}"/>
    <cellStyle name="Normal 3 4 9 4 2 14 2" xfId="34402" xr:uid="{00000000-0005-0000-0000-000051750000}"/>
    <cellStyle name="Normal 3 4 9 4 2 15" xfId="34397" xr:uid="{00000000-0005-0000-0000-000052750000}"/>
    <cellStyle name="Normal 3 4 9 4 2 2" xfId="16933" xr:uid="{00000000-0005-0000-0000-000053750000}"/>
    <cellStyle name="Normal 3 4 9 4 2 2 2" xfId="34403" xr:uid="{00000000-0005-0000-0000-000054750000}"/>
    <cellStyle name="Normal 3 4 9 4 2 3" xfId="16934" xr:uid="{00000000-0005-0000-0000-000055750000}"/>
    <cellStyle name="Normal 3 4 9 4 2 3 2" xfId="34404" xr:uid="{00000000-0005-0000-0000-000056750000}"/>
    <cellStyle name="Normal 3 4 9 4 2 4" xfId="16935" xr:uid="{00000000-0005-0000-0000-000057750000}"/>
    <cellStyle name="Normal 3 4 9 4 2 4 2" xfId="34405" xr:uid="{00000000-0005-0000-0000-000058750000}"/>
    <cellStyle name="Normal 3 4 9 4 2 5" xfId="16936" xr:uid="{00000000-0005-0000-0000-000059750000}"/>
    <cellStyle name="Normal 3 4 9 4 2 5 2" xfId="34406" xr:uid="{00000000-0005-0000-0000-00005A750000}"/>
    <cellStyle name="Normal 3 4 9 4 2 6" xfId="16937" xr:uid="{00000000-0005-0000-0000-00005B750000}"/>
    <cellStyle name="Normal 3 4 9 4 2 6 2" xfId="34407" xr:uid="{00000000-0005-0000-0000-00005C750000}"/>
    <cellStyle name="Normal 3 4 9 4 2 7" xfId="16938" xr:uid="{00000000-0005-0000-0000-00005D750000}"/>
    <cellStyle name="Normal 3 4 9 4 2 7 2" xfId="34408" xr:uid="{00000000-0005-0000-0000-00005E750000}"/>
    <cellStyle name="Normal 3 4 9 4 2 8" xfId="16939" xr:uid="{00000000-0005-0000-0000-00005F750000}"/>
    <cellStyle name="Normal 3 4 9 4 2 8 2" xfId="34409" xr:uid="{00000000-0005-0000-0000-000060750000}"/>
    <cellStyle name="Normal 3 4 9 4 2 9" xfId="16940" xr:uid="{00000000-0005-0000-0000-000061750000}"/>
    <cellStyle name="Normal 3 4 9 4 2 9 2" xfId="34410" xr:uid="{00000000-0005-0000-0000-000062750000}"/>
    <cellStyle name="Normal 3 4 9 4 3" xfId="16941" xr:uid="{00000000-0005-0000-0000-000063750000}"/>
    <cellStyle name="Normal 3 4 9 4 3 2" xfId="34411" xr:uid="{00000000-0005-0000-0000-000064750000}"/>
    <cellStyle name="Normal 3 4 9 4 4" xfId="16942" xr:uid="{00000000-0005-0000-0000-000065750000}"/>
    <cellStyle name="Normal 3 4 9 4 4 2" xfId="34412" xr:uid="{00000000-0005-0000-0000-000066750000}"/>
    <cellStyle name="Normal 3 4 9 4 5" xfId="16943" xr:uid="{00000000-0005-0000-0000-000067750000}"/>
    <cellStyle name="Normal 3 4 9 4 5 2" xfId="34413" xr:uid="{00000000-0005-0000-0000-000068750000}"/>
    <cellStyle name="Normal 3 4 9 4 6" xfId="16944" xr:uid="{00000000-0005-0000-0000-000069750000}"/>
    <cellStyle name="Normal 3 4 9 4 6 2" xfId="34414" xr:uid="{00000000-0005-0000-0000-00006A750000}"/>
    <cellStyle name="Normal 3 4 9 4 7" xfId="16945" xr:uid="{00000000-0005-0000-0000-00006B750000}"/>
    <cellStyle name="Normal 3 4 9 4 7 2" xfId="34415" xr:uid="{00000000-0005-0000-0000-00006C750000}"/>
    <cellStyle name="Normal 3 4 9 4 8" xfId="16946" xr:uid="{00000000-0005-0000-0000-00006D750000}"/>
    <cellStyle name="Normal 3 4 9 4 8 2" xfId="34416" xr:uid="{00000000-0005-0000-0000-00006E750000}"/>
    <cellStyle name="Normal 3 4 9 4 9" xfId="16947" xr:uid="{00000000-0005-0000-0000-00006F750000}"/>
    <cellStyle name="Normal 3 4 9 4 9 2" xfId="34417" xr:uid="{00000000-0005-0000-0000-000070750000}"/>
    <cellStyle name="Normal 3 4 9 5" xfId="16948" xr:uid="{00000000-0005-0000-0000-000071750000}"/>
    <cellStyle name="Normal 3 4 9 5 10" xfId="16949" xr:uid="{00000000-0005-0000-0000-000072750000}"/>
    <cellStyle name="Normal 3 4 9 5 10 2" xfId="34419" xr:uid="{00000000-0005-0000-0000-000073750000}"/>
    <cellStyle name="Normal 3 4 9 5 11" xfId="16950" xr:uid="{00000000-0005-0000-0000-000074750000}"/>
    <cellStyle name="Normal 3 4 9 5 11 2" xfId="34420" xr:uid="{00000000-0005-0000-0000-000075750000}"/>
    <cellStyle name="Normal 3 4 9 5 12" xfId="16951" xr:uid="{00000000-0005-0000-0000-000076750000}"/>
    <cellStyle name="Normal 3 4 9 5 12 2" xfId="34421" xr:uid="{00000000-0005-0000-0000-000077750000}"/>
    <cellStyle name="Normal 3 4 9 5 13" xfId="16952" xr:uid="{00000000-0005-0000-0000-000078750000}"/>
    <cellStyle name="Normal 3 4 9 5 13 2" xfId="34422" xr:uid="{00000000-0005-0000-0000-000079750000}"/>
    <cellStyle name="Normal 3 4 9 5 14" xfId="16953" xr:uid="{00000000-0005-0000-0000-00007A750000}"/>
    <cellStyle name="Normal 3 4 9 5 14 2" xfId="34423" xr:uid="{00000000-0005-0000-0000-00007B750000}"/>
    <cellStyle name="Normal 3 4 9 5 15" xfId="34418" xr:uid="{00000000-0005-0000-0000-00007C750000}"/>
    <cellStyle name="Normal 3 4 9 5 2" xfId="16954" xr:uid="{00000000-0005-0000-0000-00007D750000}"/>
    <cellStyle name="Normal 3 4 9 5 2 2" xfId="34424" xr:uid="{00000000-0005-0000-0000-00007E750000}"/>
    <cellStyle name="Normal 3 4 9 5 3" xfId="16955" xr:uid="{00000000-0005-0000-0000-00007F750000}"/>
    <cellStyle name="Normal 3 4 9 5 3 2" xfId="34425" xr:uid="{00000000-0005-0000-0000-000080750000}"/>
    <cellStyle name="Normal 3 4 9 5 4" xfId="16956" xr:uid="{00000000-0005-0000-0000-000081750000}"/>
    <cellStyle name="Normal 3 4 9 5 4 2" xfId="34426" xr:uid="{00000000-0005-0000-0000-000082750000}"/>
    <cellStyle name="Normal 3 4 9 5 5" xfId="16957" xr:uid="{00000000-0005-0000-0000-000083750000}"/>
    <cellStyle name="Normal 3 4 9 5 5 2" xfId="34427" xr:uid="{00000000-0005-0000-0000-000084750000}"/>
    <cellStyle name="Normal 3 4 9 5 6" xfId="16958" xr:uid="{00000000-0005-0000-0000-000085750000}"/>
    <cellStyle name="Normal 3 4 9 5 6 2" xfId="34428" xr:uid="{00000000-0005-0000-0000-000086750000}"/>
    <cellStyle name="Normal 3 4 9 5 7" xfId="16959" xr:uid="{00000000-0005-0000-0000-000087750000}"/>
    <cellStyle name="Normal 3 4 9 5 7 2" xfId="34429" xr:uid="{00000000-0005-0000-0000-000088750000}"/>
    <cellStyle name="Normal 3 4 9 5 8" xfId="16960" xr:uid="{00000000-0005-0000-0000-000089750000}"/>
    <cellStyle name="Normal 3 4 9 5 8 2" xfId="34430" xr:uid="{00000000-0005-0000-0000-00008A750000}"/>
    <cellStyle name="Normal 3 4 9 5 9" xfId="16961" xr:uid="{00000000-0005-0000-0000-00008B750000}"/>
    <cellStyle name="Normal 3 4 9 5 9 2" xfId="34431" xr:uid="{00000000-0005-0000-0000-00008C750000}"/>
    <cellStyle name="Normal 3 4 9 6" xfId="16962" xr:uid="{00000000-0005-0000-0000-00008D750000}"/>
    <cellStyle name="Normal 3 4 9 6 10" xfId="16963" xr:uid="{00000000-0005-0000-0000-00008E750000}"/>
    <cellStyle name="Normal 3 4 9 6 10 2" xfId="34433" xr:uid="{00000000-0005-0000-0000-00008F750000}"/>
    <cellStyle name="Normal 3 4 9 6 11" xfId="16964" xr:uid="{00000000-0005-0000-0000-000090750000}"/>
    <cellStyle name="Normal 3 4 9 6 11 2" xfId="34434" xr:uid="{00000000-0005-0000-0000-000091750000}"/>
    <cellStyle name="Normal 3 4 9 6 12" xfId="16965" xr:uid="{00000000-0005-0000-0000-000092750000}"/>
    <cellStyle name="Normal 3 4 9 6 12 2" xfId="34435" xr:uid="{00000000-0005-0000-0000-000093750000}"/>
    <cellStyle name="Normal 3 4 9 6 13" xfId="16966" xr:uid="{00000000-0005-0000-0000-000094750000}"/>
    <cellStyle name="Normal 3 4 9 6 13 2" xfId="34436" xr:uid="{00000000-0005-0000-0000-000095750000}"/>
    <cellStyle name="Normal 3 4 9 6 14" xfId="16967" xr:uid="{00000000-0005-0000-0000-000096750000}"/>
    <cellStyle name="Normal 3 4 9 6 14 2" xfId="34437" xr:uid="{00000000-0005-0000-0000-000097750000}"/>
    <cellStyle name="Normal 3 4 9 6 15" xfId="34432" xr:uid="{00000000-0005-0000-0000-000098750000}"/>
    <cellStyle name="Normal 3 4 9 6 2" xfId="16968" xr:uid="{00000000-0005-0000-0000-000099750000}"/>
    <cellStyle name="Normal 3 4 9 6 2 2" xfId="34438" xr:uid="{00000000-0005-0000-0000-00009A750000}"/>
    <cellStyle name="Normal 3 4 9 6 3" xfId="16969" xr:uid="{00000000-0005-0000-0000-00009B750000}"/>
    <cellStyle name="Normal 3 4 9 6 3 2" xfId="34439" xr:uid="{00000000-0005-0000-0000-00009C750000}"/>
    <cellStyle name="Normal 3 4 9 6 4" xfId="16970" xr:uid="{00000000-0005-0000-0000-00009D750000}"/>
    <cellStyle name="Normal 3 4 9 6 4 2" xfId="34440" xr:uid="{00000000-0005-0000-0000-00009E750000}"/>
    <cellStyle name="Normal 3 4 9 6 5" xfId="16971" xr:uid="{00000000-0005-0000-0000-00009F750000}"/>
    <cellStyle name="Normal 3 4 9 6 5 2" xfId="34441" xr:uid="{00000000-0005-0000-0000-0000A0750000}"/>
    <cellStyle name="Normal 3 4 9 6 6" xfId="16972" xr:uid="{00000000-0005-0000-0000-0000A1750000}"/>
    <cellStyle name="Normal 3 4 9 6 6 2" xfId="34442" xr:uid="{00000000-0005-0000-0000-0000A2750000}"/>
    <cellStyle name="Normal 3 4 9 6 7" xfId="16973" xr:uid="{00000000-0005-0000-0000-0000A3750000}"/>
    <cellStyle name="Normal 3 4 9 6 7 2" xfId="34443" xr:uid="{00000000-0005-0000-0000-0000A4750000}"/>
    <cellStyle name="Normal 3 4 9 6 8" xfId="16974" xr:uid="{00000000-0005-0000-0000-0000A5750000}"/>
    <cellStyle name="Normal 3 4 9 6 8 2" xfId="34444" xr:uid="{00000000-0005-0000-0000-0000A6750000}"/>
    <cellStyle name="Normal 3 4 9 6 9" xfId="16975" xr:uid="{00000000-0005-0000-0000-0000A7750000}"/>
    <cellStyle name="Normal 3 4 9 6 9 2" xfId="34445" xr:uid="{00000000-0005-0000-0000-0000A8750000}"/>
    <cellStyle name="Normal 3 4 9 7" xfId="16976" xr:uid="{00000000-0005-0000-0000-0000A9750000}"/>
    <cellStyle name="Normal 3 4 9 7 10" xfId="16977" xr:uid="{00000000-0005-0000-0000-0000AA750000}"/>
    <cellStyle name="Normal 3 4 9 7 10 2" xfId="34447" xr:uid="{00000000-0005-0000-0000-0000AB750000}"/>
    <cellStyle name="Normal 3 4 9 7 11" xfId="16978" xr:uid="{00000000-0005-0000-0000-0000AC750000}"/>
    <cellStyle name="Normal 3 4 9 7 11 2" xfId="34448" xr:uid="{00000000-0005-0000-0000-0000AD750000}"/>
    <cellStyle name="Normal 3 4 9 7 12" xfId="16979" xr:uid="{00000000-0005-0000-0000-0000AE750000}"/>
    <cellStyle name="Normal 3 4 9 7 12 2" xfId="34449" xr:uid="{00000000-0005-0000-0000-0000AF750000}"/>
    <cellStyle name="Normal 3 4 9 7 13" xfId="16980" xr:uid="{00000000-0005-0000-0000-0000B0750000}"/>
    <cellStyle name="Normal 3 4 9 7 13 2" xfId="34450" xr:uid="{00000000-0005-0000-0000-0000B1750000}"/>
    <cellStyle name="Normal 3 4 9 7 14" xfId="16981" xr:uid="{00000000-0005-0000-0000-0000B2750000}"/>
    <cellStyle name="Normal 3 4 9 7 14 2" xfId="34451" xr:uid="{00000000-0005-0000-0000-0000B3750000}"/>
    <cellStyle name="Normal 3 4 9 7 15" xfId="34446" xr:uid="{00000000-0005-0000-0000-0000B4750000}"/>
    <cellStyle name="Normal 3 4 9 7 2" xfId="16982" xr:uid="{00000000-0005-0000-0000-0000B5750000}"/>
    <cellStyle name="Normal 3 4 9 7 2 2" xfId="34452" xr:uid="{00000000-0005-0000-0000-0000B6750000}"/>
    <cellStyle name="Normal 3 4 9 7 3" xfId="16983" xr:uid="{00000000-0005-0000-0000-0000B7750000}"/>
    <cellStyle name="Normal 3 4 9 7 3 2" xfId="34453" xr:uid="{00000000-0005-0000-0000-0000B8750000}"/>
    <cellStyle name="Normal 3 4 9 7 4" xfId="16984" xr:uid="{00000000-0005-0000-0000-0000B9750000}"/>
    <cellStyle name="Normal 3 4 9 7 4 2" xfId="34454" xr:uid="{00000000-0005-0000-0000-0000BA750000}"/>
    <cellStyle name="Normal 3 4 9 7 5" xfId="16985" xr:uid="{00000000-0005-0000-0000-0000BB750000}"/>
    <cellStyle name="Normal 3 4 9 7 5 2" xfId="34455" xr:uid="{00000000-0005-0000-0000-0000BC750000}"/>
    <cellStyle name="Normal 3 4 9 7 6" xfId="16986" xr:uid="{00000000-0005-0000-0000-0000BD750000}"/>
    <cellStyle name="Normal 3 4 9 7 6 2" xfId="34456" xr:uid="{00000000-0005-0000-0000-0000BE750000}"/>
    <cellStyle name="Normal 3 4 9 7 7" xfId="16987" xr:uid="{00000000-0005-0000-0000-0000BF750000}"/>
    <cellStyle name="Normal 3 4 9 7 7 2" xfId="34457" xr:uid="{00000000-0005-0000-0000-0000C0750000}"/>
    <cellStyle name="Normal 3 4 9 7 8" xfId="16988" xr:uid="{00000000-0005-0000-0000-0000C1750000}"/>
    <cellStyle name="Normal 3 4 9 7 8 2" xfId="34458" xr:uid="{00000000-0005-0000-0000-0000C2750000}"/>
    <cellStyle name="Normal 3 4 9 7 9" xfId="16989" xr:uid="{00000000-0005-0000-0000-0000C3750000}"/>
    <cellStyle name="Normal 3 4 9 7 9 2" xfId="34459" xr:uid="{00000000-0005-0000-0000-0000C4750000}"/>
    <cellStyle name="Normal 3 4 9 8" xfId="16990" xr:uid="{00000000-0005-0000-0000-0000C5750000}"/>
    <cellStyle name="Normal 3 4 9 8 10" xfId="16991" xr:uid="{00000000-0005-0000-0000-0000C6750000}"/>
    <cellStyle name="Normal 3 4 9 8 10 2" xfId="34461" xr:uid="{00000000-0005-0000-0000-0000C7750000}"/>
    <cellStyle name="Normal 3 4 9 8 11" xfId="16992" xr:uid="{00000000-0005-0000-0000-0000C8750000}"/>
    <cellStyle name="Normal 3 4 9 8 11 2" xfId="34462" xr:uid="{00000000-0005-0000-0000-0000C9750000}"/>
    <cellStyle name="Normal 3 4 9 8 12" xfId="16993" xr:uid="{00000000-0005-0000-0000-0000CA750000}"/>
    <cellStyle name="Normal 3 4 9 8 12 2" xfId="34463" xr:uid="{00000000-0005-0000-0000-0000CB750000}"/>
    <cellStyle name="Normal 3 4 9 8 13" xfId="16994" xr:uid="{00000000-0005-0000-0000-0000CC750000}"/>
    <cellStyle name="Normal 3 4 9 8 13 2" xfId="34464" xr:uid="{00000000-0005-0000-0000-0000CD750000}"/>
    <cellStyle name="Normal 3 4 9 8 14" xfId="16995" xr:uid="{00000000-0005-0000-0000-0000CE750000}"/>
    <cellStyle name="Normal 3 4 9 8 14 2" xfId="34465" xr:uid="{00000000-0005-0000-0000-0000CF750000}"/>
    <cellStyle name="Normal 3 4 9 8 15" xfId="34460" xr:uid="{00000000-0005-0000-0000-0000D0750000}"/>
    <cellStyle name="Normal 3 4 9 8 2" xfId="16996" xr:uid="{00000000-0005-0000-0000-0000D1750000}"/>
    <cellStyle name="Normal 3 4 9 8 2 2" xfId="34466" xr:uid="{00000000-0005-0000-0000-0000D2750000}"/>
    <cellStyle name="Normal 3 4 9 8 3" xfId="16997" xr:uid="{00000000-0005-0000-0000-0000D3750000}"/>
    <cellStyle name="Normal 3 4 9 8 3 2" xfId="34467" xr:uid="{00000000-0005-0000-0000-0000D4750000}"/>
    <cellStyle name="Normal 3 4 9 8 4" xfId="16998" xr:uid="{00000000-0005-0000-0000-0000D5750000}"/>
    <cellStyle name="Normal 3 4 9 8 4 2" xfId="34468" xr:uid="{00000000-0005-0000-0000-0000D6750000}"/>
    <cellStyle name="Normal 3 4 9 8 5" xfId="16999" xr:uid="{00000000-0005-0000-0000-0000D7750000}"/>
    <cellStyle name="Normal 3 4 9 8 5 2" xfId="34469" xr:uid="{00000000-0005-0000-0000-0000D8750000}"/>
    <cellStyle name="Normal 3 4 9 8 6" xfId="17000" xr:uid="{00000000-0005-0000-0000-0000D9750000}"/>
    <cellStyle name="Normal 3 4 9 8 6 2" xfId="34470" xr:uid="{00000000-0005-0000-0000-0000DA750000}"/>
    <cellStyle name="Normal 3 4 9 8 7" xfId="17001" xr:uid="{00000000-0005-0000-0000-0000DB750000}"/>
    <cellStyle name="Normal 3 4 9 8 7 2" xfId="34471" xr:uid="{00000000-0005-0000-0000-0000DC750000}"/>
    <cellStyle name="Normal 3 4 9 8 8" xfId="17002" xr:uid="{00000000-0005-0000-0000-0000DD750000}"/>
    <cellStyle name="Normal 3 4 9 8 8 2" xfId="34472" xr:uid="{00000000-0005-0000-0000-0000DE750000}"/>
    <cellStyle name="Normal 3 4 9 8 9" xfId="17003" xr:uid="{00000000-0005-0000-0000-0000DF750000}"/>
    <cellStyle name="Normal 3 4 9 8 9 2" xfId="34473" xr:uid="{00000000-0005-0000-0000-0000E0750000}"/>
    <cellStyle name="Normal 3 4 9 9" xfId="17004" xr:uid="{00000000-0005-0000-0000-0000E1750000}"/>
    <cellStyle name="Normal 3 4 9 9 10" xfId="17005" xr:uid="{00000000-0005-0000-0000-0000E2750000}"/>
    <cellStyle name="Normal 3 4 9 9 10 2" xfId="34475" xr:uid="{00000000-0005-0000-0000-0000E3750000}"/>
    <cellStyle name="Normal 3 4 9 9 11" xfId="17006" xr:uid="{00000000-0005-0000-0000-0000E4750000}"/>
    <cellStyle name="Normal 3 4 9 9 11 2" xfId="34476" xr:uid="{00000000-0005-0000-0000-0000E5750000}"/>
    <cellStyle name="Normal 3 4 9 9 12" xfId="17007" xr:uid="{00000000-0005-0000-0000-0000E6750000}"/>
    <cellStyle name="Normal 3 4 9 9 12 2" xfId="34477" xr:uid="{00000000-0005-0000-0000-0000E7750000}"/>
    <cellStyle name="Normal 3 4 9 9 13" xfId="17008" xr:uid="{00000000-0005-0000-0000-0000E8750000}"/>
    <cellStyle name="Normal 3 4 9 9 13 2" xfId="34478" xr:uid="{00000000-0005-0000-0000-0000E9750000}"/>
    <cellStyle name="Normal 3 4 9 9 14" xfId="17009" xr:uid="{00000000-0005-0000-0000-0000EA750000}"/>
    <cellStyle name="Normal 3 4 9 9 14 2" xfId="34479" xr:uid="{00000000-0005-0000-0000-0000EB750000}"/>
    <cellStyle name="Normal 3 4 9 9 15" xfId="34474" xr:uid="{00000000-0005-0000-0000-0000EC750000}"/>
    <cellStyle name="Normal 3 4 9 9 2" xfId="17010" xr:uid="{00000000-0005-0000-0000-0000ED750000}"/>
    <cellStyle name="Normal 3 4 9 9 2 2" xfId="34480" xr:uid="{00000000-0005-0000-0000-0000EE750000}"/>
    <cellStyle name="Normal 3 4 9 9 3" xfId="17011" xr:uid="{00000000-0005-0000-0000-0000EF750000}"/>
    <cellStyle name="Normal 3 4 9 9 3 2" xfId="34481" xr:uid="{00000000-0005-0000-0000-0000F0750000}"/>
    <cellStyle name="Normal 3 4 9 9 4" xfId="17012" xr:uid="{00000000-0005-0000-0000-0000F1750000}"/>
    <cellStyle name="Normal 3 4 9 9 4 2" xfId="34482" xr:uid="{00000000-0005-0000-0000-0000F2750000}"/>
    <cellStyle name="Normal 3 4 9 9 5" xfId="17013" xr:uid="{00000000-0005-0000-0000-0000F3750000}"/>
    <cellStyle name="Normal 3 4 9 9 5 2" xfId="34483" xr:uid="{00000000-0005-0000-0000-0000F4750000}"/>
    <cellStyle name="Normal 3 4 9 9 6" xfId="17014" xr:uid="{00000000-0005-0000-0000-0000F5750000}"/>
    <cellStyle name="Normal 3 4 9 9 6 2" xfId="34484" xr:uid="{00000000-0005-0000-0000-0000F6750000}"/>
    <cellStyle name="Normal 3 4 9 9 7" xfId="17015" xr:uid="{00000000-0005-0000-0000-0000F7750000}"/>
    <cellStyle name="Normal 3 4 9 9 7 2" xfId="34485" xr:uid="{00000000-0005-0000-0000-0000F8750000}"/>
    <cellStyle name="Normal 3 4 9 9 8" xfId="17016" xr:uid="{00000000-0005-0000-0000-0000F9750000}"/>
    <cellStyle name="Normal 3 4 9 9 8 2" xfId="34486" xr:uid="{00000000-0005-0000-0000-0000FA750000}"/>
    <cellStyle name="Normal 3 4 9 9 9" xfId="17017" xr:uid="{00000000-0005-0000-0000-0000FB750000}"/>
    <cellStyle name="Normal 3 4 9 9 9 2" xfId="34487" xr:uid="{00000000-0005-0000-0000-0000FC750000}"/>
    <cellStyle name="Normal 3 40" xfId="63" xr:uid="{00000000-0005-0000-0000-0000FD750000}"/>
    <cellStyle name="Normal 3 40 10" xfId="17019" xr:uid="{00000000-0005-0000-0000-0000FE750000}"/>
    <cellStyle name="Normal 3 40 10 2" xfId="34488" xr:uid="{00000000-0005-0000-0000-0000FF750000}"/>
    <cellStyle name="Normal 3 40 11" xfId="17020" xr:uid="{00000000-0005-0000-0000-000000760000}"/>
    <cellStyle name="Normal 3 40 11 2" xfId="34489" xr:uid="{00000000-0005-0000-0000-000001760000}"/>
    <cellStyle name="Normal 3 40 12" xfId="17021" xr:uid="{00000000-0005-0000-0000-000002760000}"/>
    <cellStyle name="Normal 3 40 12 2" xfId="34490" xr:uid="{00000000-0005-0000-0000-000003760000}"/>
    <cellStyle name="Normal 3 40 13" xfId="17022" xr:uid="{00000000-0005-0000-0000-000004760000}"/>
    <cellStyle name="Normal 3 40 13 2" xfId="34491" xr:uid="{00000000-0005-0000-0000-000005760000}"/>
    <cellStyle name="Normal 3 40 14" xfId="17023" xr:uid="{00000000-0005-0000-0000-000006760000}"/>
    <cellStyle name="Normal 3 40 14 2" xfId="34492" xr:uid="{00000000-0005-0000-0000-000007760000}"/>
    <cellStyle name="Normal 3 40 15" xfId="17018" xr:uid="{00000000-0005-0000-0000-000008760000}"/>
    <cellStyle name="Normal 3 40 16" xfId="21157" xr:uid="{00000000-0005-0000-0000-000009760000}"/>
    <cellStyle name="Normal 3 40 2" xfId="383" xr:uid="{00000000-0005-0000-0000-00000A760000}"/>
    <cellStyle name="Normal 3 40 2 2" xfId="575" xr:uid="{00000000-0005-0000-0000-00000B760000}"/>
    <cellStyle name="Normal 3 40 2 3" xfId="17024" xr:uid="{00000000-0005-0000-0000-00000C760000}"/>
    <cellStyle name="Normal 3 40 2 4" xfId="34493" xr:uid="{00000000-0005-0000-0000-00000D760000}"/>
    <cellStyle name="Normal 3 40 3" xfId="490" xr:uid="{00000000-0005-0000-0000-00000E760000}"/>
    <cellStyle name="Normal 3 40 3 2" xfId="17025" xr:uid="{00000000-0005-0000-0000-00000F760000}"/>
    <cellStyle name="Normal 3 40 3 3" xfId="34494" xr:uid="{00000000-0005-0000-0000-000010760000}"/>
    <cellStyle name="Normal 3 40 4" xfId="17026" xr:uid="{00000000-0005-0000-0000-000011760000}"/>
    <cellStyle name="Normal 3 40 4 2" xfId="34495" xr:uid="{00000000-0005-0000-0000-000012760000}"/>
    <cellStyle name="Normal 3 40 5" xfId="17027" xr:uid="{00000000-0005-0000-0000-000013760000}"/>
    <cellStyle name="Normal 3 40 5 2" xfId="34496" xr:uid="{00000000-0005-0000-0000-000014760000}"/>
    <cellStyle name="Normal 3 40 6" xfId="17028" xr:uid="{00000000-0005-0000-0000-000015760000}"/>
    <cellStyle name="Normal 3 40 6 2" xfId="34497" xr:uid="{00000000-0005-0000-0000-000016760000}"/>
    <cellStyle name="Normal 3 40 7" xfId="17029" xr:uid="{00000000-0005-0000-0000-000017760000}"/>
    <cellStyle name="Normal 3 40 7 2" xfId="34498" xr:uid="{00000000-0005-0000-0000-000018760000}"/>
    <cellStyle name="Normal 3 40 8" xfId="17030" xr:uid="{00000000-0005-0000-0000-000019760000}"/>
    <cellStyle name="Normal 3 40 8 2" xfId="34499" xr:uid="{00000000-0005-0000-0000-00001A760000}"/>
    <cellStyle name="Normal 3 40 9" xfId="17031" xr:uid="{00000000-0005-0000-0000-00001B760000}"/>
    <cellStyle name="Normal 3 40 9 2" xfId="34500" xr:uid="{00000000-0005-0000-0000-00001C760000}"/>
    <cellStyle name="Normal 3 41" xfId="17032" xr:uid="{00000000-0005-0000-0000-00001D760000}"/>
    <cellStyle name="Normal 3 41 2" xfId="34501" xr:uid="{00000000-0005-0000-0000-00001E760000}"/>
    <cellStyle name="Normal 3 42" xfId="17033" xr:uid="{00000000-0005-0000-0000-00001F760000}"/>
    <cellStyle name="Normal 3 42 2" xfId="34502" xr:uid="{00000000-0005-0000-0000-000020760000}"/>
    <cellStyle name="Normal 3 43" xfId="17034" xr:uid="{00000000-0005-0000-0000-000021760000}"/>
    <cellStyle name="Normal 3 43 2" xfId="34503" xr:uid="{00000000-0005-0000-0000-000022760000}"/>
    <cellStyle name="Normal 3 44" xfId="17035" xr:uid="{00000000-0005-0000-0000-000023760000}"/>
    <cellStyle name="Normal 3 44 2" xfId="34504" xr:uid="{00000000-0005-0000-0000-000024760000}"/>
    <cellStyle name="Normal 3 45" xfId="17036" xr:uid="{00000000-0005-0000-0000-000025760000}"/>
    <cellStyle name="Normal 3 45 2" xfId="34505" xr:uid="{00000000-0005-0000-0000-000026760000}"/>
    <cellStyle name="Normal 3 46" xfId="17037" xr:uid="{00000000-0005-0000-0000-000027760000}"/>
    <cellStyle name="Normal 3 46 2" xfId="34506" xr:uid="{00000000-0005-0000-0000-000028760000}"/>
    <cellStyle name="Normal 3 47" xfId="17038" xr:uid="{00000000-0005-0000-0000-000029760000}"/>
    <cellStyle name="Normal 3 47 2" xfId="34507" xr:uid="{00000000-0005-0000-0000-00002A760000}"/>
    <cellStyle name="Normal 3 48" xfId="17039" xr:uid="{00000000-0005-0000-0000-00002B760000}"/>
    <cellStyle name="Normal 3 48 2" xfId="34508" xr:uid="{00000000-0005-0000-0000-00002C760000}"/>
    <cellStyle name="Normal 3 49" xfId="17040" xr:uid="{00000000-0005-0000-0000-00002D760000}"/>
    <cellStyle name="Normal 3 49 2" xfId="34509" xr:uid="{00000000-0005-0000-0000-00002E760000}"/>
    <cellStyle name="Normal 3 5" xfId="17041" xr:uid="{00000000-0005-0000-0000-00002F760000}"/>
    <cellStyle name="Normal 3 5 10" xfId="17042" xr:uid="{00000000-0005-0000-0000-000030760000}"/>
    <cellStyle name="Normal 3 5 10 10" xfId="17043" xr:uid="{00000000-0005-0000-0000-000031760000}"/>
    <cellStyle name="Normal 3 5 10 10 2" xfId="34511" xr:uid="{00000000-0005-0000-0000-000032760000}"/>
    <cellStyle name="Normal 3 5 10 11" xfId="17044" xr:uid="{00000000-0005-0000-0000-000033760000}"/>
    <cellStyle name="Normal 3 5 10 11 2" xfId="34512" xr:uid="{00000000-0005-0000-0000-000034760000}"/>
    <cellStyle name="Normal 3 5 10 12" xfId="17045" xr:uid="{00000000-0005-0000-0000-000035760000}"/>
    <cellStyle name="Normal 3 5 10 12 2" xfId="34513" xr:uid="{00000000-0005-0000-0000-000036760000}"/>
    <cellStyle name="Normal 3 5 10 13" xfId="17046" xr:uid="{00000000-0005-0000-0000-000037760000}"/>
    <cellStyle name="Normal 3 5 10 13 2" xfId="34514" xr:uid="{00000000-0005-0000-0000-000038760000}"/>
    <cellStyle name="Normal 3 5 10 14" xfId="17047" xr:uid="{00000000-0005-0000-0000-000039760000}"/>
    <cellStyle name="Normal 3 5 10 14 2" xfId="34515" xr:uid="{00000000-0005-0000-0000-00003A760000}"/>
    <cellStyle name="Normal 3 5 10 15" xfId="34510" xr:uid="{00000000-0005-0000-0000-00003B760000}"/>
    <cellStyle name="Normal 3 5 10 2" xfId="17048" xr:uid="{00000000-0005-0000-0000-00003C760000}"/>
    <cellStyle name="Normal 3 5 10 2 2" xfId="34516" xr:uid="{00000000-0005-0000-0000-00003D760000}"/>
    <cellStyle name="Normal 3 5 10 3" xfId="17049" xr:uid="{00000000-0005-0000-0000-00003E760000}"/>
    <cellStyle name="Normal 3 5 10 3 2" xfId="34517" xr:uid="{00000000-0005-0000-0000-00003F760000}"/>
    <cellStyle name="Normal 3 5 10 4" xfId="17050" xr:uid="{00000000-0005-0000-0000-000040760000}"/>
    <cellStyle name="Normal 3 5 10 4 2" xfId="34518" xr:uid="{00000000-0005-0000-0000-000041760000}"/>
    <cellStyle name="Normal 3 5 10 5" xfId="17051" xr:uid="{00000000-0005-0000-0000-000042760000}"/>
    <cellStyle name="Normal 3 5 10 5 2" xfId="34519" xr:uid="{00000000-0005-0000-0000-000043760000}"/>
    <cellStyle name="Normal 3 5 10 6" xfId="17052" xr:uid="{00000000-0005-0000-0000-000044760000}"/>
    <cellStyle name="Normal 3 5 10 6 2" xfId="34520" xr:uid="{00000000-0005-0000-0000-000045760000}"/>
    <cellStyle name="Normal 3 5 10 7" xfId="17053" xr:uid="{00000000-0005-0000-0000-000046760000}"/>
    <cellStyle name="Normal 3 5 10 7 2" xfId="34521" xr:uid="{00000000-0005-0000-0000-000047760000}"/>
    <cellStyle name="Normal 3 5 10 8" xfId="17054" xr:uid="{00000000-0005-0000-0000-000048760000}"/>
    <cellStyle name="Normal 3 5 10 8 2" xfId="34522" xr:uid="{00000000-0005-0000-0000-000049760000}"/>
    <cellStyle name="Normal 3 5 10 9" xfId="17055" xr:uid="{00000000-0005-0000-0000-00004A760000}"/>
    <cellStyle name="Normal 3 5 10 9 2" xfId="34523" xr:uid="{00000000-0005-0000-0000-00004B760000}"/>
    <cellStyle name="Normal 3 5 11" xfId="17056" xr:uid="{00000000-0005-0000-0000-00004C760000}"/>
    <cellStyle name="Normal 3 5 11 10" xfId="17057" xr:uid="{00000000-0005-0000-0000-00004D760000}"/>
    <cellStyle name="Normal 3 5 11 10 2" xfId="34525" xr:uid="{00000000-0005-0000-0000-00004E760000}"/>
    <cellStyle name="Normal 3 5 11 11" xfId="17058" xr:uid="{00000000-0005-0000-0000-00004F760000}"/>
    <cellStyle name="Normal 3 5 11 11 2" xfId="34526" xr:uid="{00000000-0005-0000-0000-000050760000}"/>
    <cellStyle name="Normal 3 5 11 12" xfId="17059" xr:uid="{00000000-0005-0000-0000-000051760000}"/>
    <cellStyle name="Normal 3 5 11 12 2" xfId="34527" xr:uid="{00000000-0005-0000-0000-000052760000}"/>
    <cellStyle name="Normal 3 5 11 13" xfId="17060" xr:uid="{00000000-0005-0000-0000-000053760000}"/>
    <cellStyle name="Normal 3 5 11 13 2" xfId="34528" xr:uid="{00000000-0005-0000-0000-000054760000}"/>
    <cellStyle name="Normal 3 5 11 14" xfId="17061" xr:uid="{00000000-0005-0000-0000-000055760000}"/>
    <cellStyle name="Normal 3 5 11 14 2" xfId="34529" xr:uid="{00000000-0005-0000-0000-000056760000}"/>
    <cellStyle name="Normal 3 5 11 15" xfId="34524" xr:uid="{00000000-0005-0000-0000-000057760000}"/>
    <cellStyle name="Normal 3 5 11 2" xfId="17062" xr:uid="{00000000-0005-0000-0000-000058760000}"/>
    <cellStyle name="Normal 3 5 11 2 2" xfId="34530" xr:uid="{00000000-0005-0000-0000-000059760000}"/>
    <cellStyle name="Normal 3 5 11 3" xfId="17063" xr:uid="{00000000-0005-0000-0000-00005A760000}"/>
    <cellStyle name="Normal 3 5 11 3 2" xfId="34531" xr:uid="{00000000-0005-0000-0000-00005B760000}"/>
    <cellStyle name="Normal 3 5 11 4" xfId="17064" xr:uid="{00000000-0005-0000-0000-00005C760000}"/>
    <cellStyle name="Normal 3 5 11 4 2" xfId="34532" xr:uid="{00000000-0005-0000-0000-00005D760000}"/>
    <cellStyle name="Normal 3 5 11 5" xfId="17065" xr:uid="{00000000-0005-0000-0000-00005E760000}"/>
    <cellStyle name="Normal 3 5 11 5 2" xfId="34533" xr:uid="{00000000-0005-0000-0000-00005F760000}"/>
    <cellStyle name="Normal 3 5 11 6" xfId="17066" xr:uid="{00000000-0005-0000-0000-000060760000}"/>
    <cellStyle name="Normal 3 5 11 6 2" xfId="34534" xr:uid="{00000000-0005-0000-0000-000061760000}"/>
    <cellStyle name="Normal 3 5 11 7" xfId="17067" xr:uid="{00000000-0005-0000-0000-000062760000}"/>
    <cellStyle name="Normal 3 5 11 7 2" xfId="34535" xr:uid="{00000000-0005-0000-0000-000063760000}"/>
    <cellStyle name="Normal 3 5 11 8" xfId="17068" xr:uid="{00000000-0005-0000-0000-000064760000}"/>
    <cellStyle name="Normal 3 5 11 8 2" xfId="34536" xr:uid="{00000000-0005-0000-0000-000065760000}"/>
    <cellStyle name="Normal 3 5 11 9" xfId="17069" xr:uid="{00000000-0005-0000-0000-000066760000}"/>
    <cellStyle name="Normal 3 5 11 9 2" xfId="34537" xr:uid="{00000000-0005-0000-0000-000067760000}"/>
    <cellStyle name="Normal 3 5 12" xfId="17070" xr:uid="{00000000-0005-0000-0000-000068760000}"/>
    <cellStyle name="Normal 3 5 12 10" xfId="17071" xr:uid="{00000000-0005-0000-0000-000069760000}"/>
    <cellStyle name="Normal 3 5 12 10 2" xfId="34539" xr:uid="{00000000-0005-0000-0000-00006A760000}"/>
    <cellStyle name="Normal 3 5 12 11" xfId="17072" xr:uid="{00000000-0005-0000-0000-00006B760000}"/>
    <cellStyle name="Normal 3 5 12 11 2" xfId="34540" xr:uid="{00000000-0005-0000-0000-00006C760000}"/>
    <cellStyle name="Normal 3 5 12 12" xfId="17073" xr:uid="{00000000-0005-0000-0000-00006D760000}"/>
    <cellStyle name="Normal 3 5 12 12 2" xfId="34541" xr:uid="{00000000-0005-0000-0000-00006E760000}"/>
    <cellStyle name="Normal 3 5 12 13" xfId="17074" xr:uid="{00000000-0005-0000-0000-00006F760000}"/>
    <cellStyle name="Normal 3 5 12 13 2" xfId="34542" xr:uid="{00000000-0005-0000-0000-000070760000}"/>
    <cellStyle name="Normal 3 5 12 14" xfId="17075" xr:uid="{00000000-0005-0000-0000-000071760000}"/>
    <cellStyle name="Normal 3 5 12 14 2" xfId="34543" xr:uid="{00000000-0005-0000-0000-000072760000}"/>
    <cellStyle name="Normal 3 5 12 15" xfId="34538" xr:uid="{00000000-0005-0000-0000-000073760000}"/>
    <cellStyle name="Normal 3 5 12 2" xfId="17076" xr:uid="{00000000-0005-0000-0000-000074760000}"/>
    <cellStyle name="Normal 3 5 12 2 2" xfId="34544" xr:uid="{00000000-0005-0000-0000-000075760000}"/>
    <cellStyle name="Normal 3 5 12 3" xfId="17077" xr:uid="{00000000-0005-0000-0000-000076760000}"/>
    <cellStyle name="Normal 3 5 12 3 2" xfId="34545" xr:uid="{00000000-0005-0000-0000-000077760000}"/>
    <cellStyle name="Normal 3 5 12 4" xfId="17078" xr:uid="{00000000-0005-0000-0000-000078760000}"/>
    <cellStyle name="Normal 3 5 12 4 2" xfId="34546" xr:uid="{00000000-0005-0000-0000-000079760000}"/>
    <cellStyle name="Normal 3 5 12 5" xfId="17079" xr:uid="{00000000-0005-0000-0000-00007A760000}"/>
    <cellStyle name="Normal 3 5 12 5 2" xfId="34547" xr:uid="{00000000-0005-0000-0000-00007B760000}"/>
    <cellStyle name="Normal 3 5 12 6" xfId="17080" xr:uid="{00000000-0005-0000-0000-00007C760000}"/>
    <cellStyle name="Normal 3 5 12 6 2" xfId="34548" xr:uid="{00000000-0005-0000-0000-00007D760000}"/>
    <cellStyle name="Normal 3 5 12 7" xfId="17081" xr:uid="{00000000-0005-0000-0000-00007E760000}"/>
    <cellStyle name="Normal 3 5 12 7 2" xfId="34549" xr:uid="{00000000-0005-0000-0000-00007F760000}"/>
    <cellStyle name="Normal 3 5 12 8" xfId="17082" xr:uid="{00000000-0005-0000-0000-000080760000}"/>
    <cellStyle name="Normal 3 5 12 8 2" xfId="34550" xr:uid="{00000000-0005-0000-0000-000081760000}"/>
    <cellStyle name="Normal 3 5 12 9" xfId="17083" xr:uid="{00000000-0005-0000-0000-000082760000}"/>
    <cellStyle name="Normal 3 5 12 9 2" xfId="34551" xr:uid="{00000000-0005-0000-0000-000083760000}"/>
    <cellStyle name="Normal 3 5 13" xfId="17084" xr:uid="{00000000-0005-0000-0000-000084760000}"/>
    <cellStyle name="Normal 3 5 13 10" xfId="17085" xr:uid="{00000000-0005-0000-0000-000085760000}"/>
    <cellStyle name="Normal 3 5 13 10 2" xfId="34553" xr:uid="{00000000-0005-0000-0000-000086760000}"/>
    <cellStyle name="Normal 3 5 13 11" xfId="17086" xr:uid="{00000000-0005-0000-0000-000087760000}"/>
    <cellStyle name="Normal 3 5 13 11 2" xfId="34554" xr:uid="{00000000-0005-0000-0000-000088760000}"/>
    <cellStyle name="Normal 3 5 13 12" xfId="17087" xr:uid="{00000000-0005-0000-0000-000089760000}"/>
    <cellStyle name="Normal 3 5 13 12 2" xfId="34555" xr:uid="{00000000-0005-0000-0000-00008A760000}"/>
    <cellStyle name="Normal 3 5 13 13" xfId="17088" xr:uid="{00000000-0005-0000-0000-00008B760000}"/>
    <cellStyle name="Normal 3 5 13 13 2" xfId="34556" xr:uid="{00000000-0005-0000-0000-00008C760000}"/>
    <cellStyle name="Normal 3 5 13 14" xfId="17089" xr:uid="{00000000-0005-0000-0000-00008D760000}"/>
    <cellStyle name="Normal 3 5 13 14 2" xfId="34557" xr:uid="{00000000-0005-0000-0000-00008E760000}"/>
    <cellStyle name="Normal 3 5 13 15" xfId="34552" xr:uid="{00000000-0005-0000-0000-00008F760000}"/>
    <cellStyle name="Normal 3 5 13 2" xfId="17090" xr:uid="{00000000-0005-0000-0000-000090760000}"/>
    <cellStyle name="Normal 3 5 13 2 2" xfId="34558" xr:uid="{00000000-0005-0000-0000-000091760000}"/>
    <cellStyle name="Normal 3 5 13 3" xfId="17091" xr:uid="{00000000-0005-0000-0000-000092760000}"/>
    <cellStyle name="Normal 3 5 13 3 2" xfId="34559" xr:uid="{00000000-0005-0000-0000-000093760000}"/>
    <cellStyle name="Normal 3 5 13 4" xfId="17092" xr:uid="{00000000-0005-0000-0000-000094760000}"/>
    <cellStyle name="Normal 3 5 13 4 2" xfId="34560" xr:uid="{00000000-0005-0000-0000-000095760000}"/>
    <cellStyle name="Normal 3 5 13 5" xfId="17093" xr:uid="{00000000-0005-0000-0000-000096760000}"/>
    <cellStyle name="Normal 3 5 13 5 2" xfId="34561" xr:uid="{00000000-0005-0000-0000-000097760000}"/>
    <cellStyle name="Normal 3 5 13 6" xfId="17094" xr:uid="{00000000-0005-0000-0000-000098760000}"/>
    <cellStyle name="Normal 3 5 13 6 2" xfId="34562" xr:uid="{00000000-0005-0000-0000-000099760000}"/>
    <cellStyle name="Normal 3 5 13 7" xfId="17095" xr:uid="{00000000-0005-0000-0000-00009A760000}"/>
    <cellStyle name="Normal 3 5 13 7 2" xfId="34563" xr:uid="{00000000-0005-0000-0000-00009B760000}"/>
    <cellStyle name="Normal 3 5 13 8" xfId="17096" xr:uid="{00000000-0005-0000-0000-00009C760000}"/>
    <cellStyle name="Normal 3 5 13 8 2" xfId="34564" xr:uid="{00000000-0005-0000-0000-00009D760000}"/>
    <cellStyle name="Normal 3 5 13 9" xfId="17097" xr:uid="{00000000-0005-0000-0000-00009E760000}"/>
    <cellStyle name="Normal 3 5 13 9 2" xfId="34565" xr:uid="{00000000-0005-0000-0000-00009F760000}"/>
    <cellStyle name="Normal 3 5 14" xfId="17098" xr:uid="{00000000-0005-0000-0000-0000A0760000}"/>
    <cellStyle name="Normal 3 5 14 10" xfId="17099" xr:uid="{00000000-0005-0000-0000-0000A1760000}"/>
    <cellStyle name="Normal 3 5 14 10 2" xfId="34567" xr:uid="{00000000-0005-0000-0000-0000A2760000}"/>
    <cellStyle name="Normal 3 5 14 11" xfId="17100" xr:uid="{00000000-0005-0000-0000-0000A3760000}"/>
    <cellStyle name="Normal 3 5 14 11 2" xfId="34568" xr:uid="{00000000-0005-0000-0000-0000A4760000}"/>
    <cellStyle name="Normal 3 5 14 12" xfId="17101" xr:uid="{00000000-0005-0000-0000-0000A5760000}"/>
    <cellStyle name="Normal 3 5 14 12 2" xfId="34569" xr:uid="{00000000-0005-0000-0000-0000A6760000}"/>
    <cellStyle name="Normal 3 5 14 13" xfId="17102" xr:uid="{00000000-0005-0000-0000-0000A7760000}"/>
    <cellStyle name="Normal 3 5 14 13 2" xfId="34570" xr:uid="{00000000-0005-0000-0000-0000A8760000}"/>
    <cellStyle name="Normal 3 5 14 14" xfId="17103" xr:uid="{00000000-0005-0000-0000-0000A9760000}"/>
    <cellStyle name="Normal 3 5 14 14 2" xfId="34571" xr:uid="{00000000-0005-0000-0000-0000AA760000}"/>
    <cellStyle name="Normal 3 5 14 15" xfId="34566" xr:uid="{00000000-0005-0000-0000-0000AB760000}"/>
    <cellStyle name="Normal 3 5 14 2" xfId="17104" xr:uid="{00000000-0005-0000-0000-0000AC760000}"/>
    <cellStyle name="Normal 3 5 14 2 2" xfId="34572" xr:uid="{00000000-0005-0000-0000-0000AD760000}"/>
    <cellStyle name="Normal 3 5 14 3" xfId="17105" xr:uid="{00000000-0005-0000-0000-0000AE760000}"/>
    <cellStyle name="Normal 3 5 14 3 2" xfId="34573" xr:uid="{00000000-0005-0000-0000-0000AF760000}"/>
    <cellStyle name="Normal 3 5 14 4" xfId="17106" xr:uid="{00000000-0005-0000-0000-0000B0760000}"/>
    <cellStyle name="Normal 3 5 14 4 2" xfId="34574" xr:uid="{00000000-0005-0000-0000-0000B1760000}"/>
    <cellStyle name="Normal 3 5 14 5" xfId="17107" xr:uid="{00000000-0005-0000-0000-0000B2760000}"/>
    <cellStyle name="Normal 3 5 14 5 2" xfId="34575" xr:uid="{00000000-0005-0000-0000-0000B3760000}"/>
    <cellStyle name="Normal 3 5 14 6" xfId="17108" xr:uid="{00000000-0005-0000-0000-0000B4760000}"/>
    <cellStyle name="Normal 3 5 14 6 2" xfId="34576" xr:uid="{00000000-0005-0000-0000-0000B5760000}"/>
    <cellStyle name="Normal 3 5 14 7" xfId="17109" xr:uid="{00000000-0005-0000-0000-0000B6760000}"/>
    <cellStyle name="Normal 3 5 14 7 2" xfId="34577" xr:uid="{00000000-0005-0000-0000-0000B7760000}"/>
    <cellStyle name="Normal 3 5 14 8" xfId="17110" xr:uid="{00000000-0005-0000-0000-0000B8760000}"/>
    <cellStyle name="Normal 3 5 14 8 2" xfId="34578" xr:uid="{00000000-0005-0000-0000-0000B9760000}"/>
    <cellStyle name="Normal 3 5 14 9" xfId="17111" xr:uid="{00000000-0005-0000-0000-0000BA760000}"/>
    <cellStyle name="Normal 3 5 14 9 2" xfId="34579" xr:uid="{00000000-0005-0000-0000-0000BB760000}"/>
    <cellStyle name="Normal 3 5 15" xfId="17112" xr:uid="{00000000-0005-0000-0000-0000BC760000}"/>
    <cellStyle name="Normal 3 5 16" xfId="17113" xr:uid="{00000000-0005-0000-0000-0000BD760000}"/>
    <cellStyle name="Normal 3 5 17" xfId="17114" xr:uid="{00000000-0005-0000-0000-0000BE760000}"/>
    <cellStyle name="Normal 3 5 17 10" xfId="17115" xr:uid="{00000000-0005-0000-0000-0000BF760000}"/>
    <cellStyle name="Normal 3 5 17 10 2" xfId="34581" xr:uid="{00000000-0005-0000-0000-0000C0760000}"/>
    <cellStyle name="Normal 3 5 17 11" xfId="17116" xr:uid="{00000000-0005-0000-0000-0000C1760000}"/>
    <cellStyle name="Normal 3 5 17 11 2" xfId="34582" xr:uid="{00000000-0005-0000-0000-0000C2760000}"/>
    <cellStyle name="Normal 3 5 17 12" xfId="17117" xr:uid="{00000000-0005-0000-0000-0000C3760000}"/>
    <cellStyle name="Normal 3 5 17 12 2" xfId="34583" xr:uid="{00000000-0005-0000-0000-0000C4760000}"/>
    <cellStyle name="Normal 3 5 17 13" xfId="17118" xr:uid="{00000000-0005-0000-0000-0000C5760000}"/>
    <cellStyle name="Normal 3 5 17 13 2" xfId="34584" xr:uid="{00000000-0005-0000-0000-0000C6760000}"/>
    <cellStyle name="Normal 3 5 17 14" xfId="17119" xr:uid="{00000000-0005-0000-0000-0000C7760000}"/>
    <cellStyle name="Normal 3 5 17 14 2" xfId="34585" xr:uid="{00000000-0005-0000-0000-0000C8760000}"/>
    <cellStyle name="Normal 3 5 17 15" xfId="34580" xr:uid="{00000000-0005-0000-0000-0000C9760000}"/>
    <cellStyle name="Normal 3 5 17 2" xfId="17120" xr:uid="{00000000-0005-0000-0000-0000CA760000}"/>
    <cellStyle name="Normal 3 5 17 2 2" xfId="34586" xr:uid="{00000000-0005-0000-0000-0000CB760000}"/>
    <cellStyle name="Normal 3 5 17 3" xfId="17121" xr:uid="{00000000-0005-0000-0000-0000CC760000}"/>
    <cellStyle name="Normal 3 5 17 3 2" xfId="34587" xr:uid="{00000000-0005-0000-0000-0000CD760000}"/>
    <cellStyle name="Normal 3 5 17 4" xfId="17122" xr:uid="{00000000-0005-0000-0000-0000CE760000}"/>
    <cellStyle name="Normal 3 5 17 4 2" xfId="34588" xr:uid="{00000000-0005-0000-0000-0000CF760000}"/>
    <cellStyle name="Normal 3 5 17 5" xfId="17123" xr:uid="{00000000-0005-0000-0000-0000D0760000}"/>
    <cellStyle name="Normal 3 5 17 5 2" xfId="34589" xr:uid="{00000000-0005-0000-0000-0000D1760000}"/>
    <cellStyle name="Normal 3 5 17 6" xfId="17124" xr:uid="{00000000-0005-0000-0000-0000D2760000}"/>
    <cellStyle name="Normal 3 5 17 6 2" xfId="34590" xr:uid="{00000000-0005-0000-0000-0000D3760000}"/>
    <cellStyle name="Normal 3 5 17 7" xfId="17125" xr:uid="{00000000-0005-0000-0000-0000D4760000}"/>
    <cellStyle name="Normal 3 5 17 7 2" xfId="34591" xr:uid="{00000000-0005-0000-0000-0000D5760000}"/>
    <cellStyle name="Normal 3 5 17 8" xfId="17126" xr:uid="{00000000-0005-0000-0000-0000D6760000}"/>
    <cellStyle name="Normal 3 5 17 8 2" xfId="34592" xr:uid="{00000000-0005-0000-0000-0000D7760000}"/>
    <cellStyle name="Normal 3 5 17 9" xfId="17127" xr:uid="{00000000-0005-0000-0000-0000D8760000}"/>
    <cellStyle name="Normal 3 5 17 9 2" xfId="34593" xr:uid="{00000000-0005-0000-0000-0000D9760000}"/>
    <cellStyle name="Normal 3 5 18" xfId="17128" xr:uid="{00000000-0005-0000-0000-0000DA760000}"/>
    <cellStyle name="Normal 3 5 18 10" xfId="17129" xr:uid="{00000000-0005-0000-0000-0000DB760000}"/>
    <cellStyle name="Normal 3 5 18 10 2" xfId="34595" xr:uid="{00000000-0005-0000-0000-0000DC760000}"/>
    <cellStyle name="Normal 3 5 18 11" xfId="17130" xr:uid="{00000000-0005-0000-0000-0000DD760000}"/>
    <cellStyle name="Normal 3 5 18 11 2" xfId="34596" xr:uid="{00000000-0005-0000-0000-0000DE760000}"/>
    <cellStyle name="Normal 3 5 18 12" xfId="17131" xr:uid="{00000000-0005-0000-0000-0000DF760000}"/>
    <cellStyle name="Normal 3 5 18 12 2" xfId="34597" xr:uid="{00000000-0005-0000-0000-0000E0760000}"/>
    <cellStyle name="Normal 3 5 18 13" xfId="17132" xr:uid="{00000000-0005-0000-0000-0000E1760000}"/>
    <cellStyle name="Normal 3 5 18 13 2" xfId="34598" xr:uid="{00000000-0005-0000-0000-0000E2760000}"/>
    <cellStyle name="Normal 3 5 18 14" xfId="17133" xr:uid="{00000000-0005-0000-0000-0000E3760000}"/>
    <cellStyle name="Normal 3 5 18 14 2" xfId="34599" xr:uid="{00000000-0005-0000-0000-0000E4760000}"/>
    <cellStyle name="Normal 3 5 18 15" xfId="34594" xr:uid="{00000000-0005-0000-0000-0000E5760000}"/>
    <cellStyle name="Normal 3 5 18 2" xfId="17134" xr:uid="{00000000-0005-0000-0000-0000E6760000}"/>
    <cellStyle name="Normal 3 5 18 2 2" xfId="34600" xr:uid="{00000000-0005-0000-0000-0000E7760000}"/>
    <cellStyle name="Normal 3 5 18 3" xfId="17135" xr:uid="{00000000-0005-0000-0000-0000E8760000}"/>
    <cellStyle name="Normal 3 5 18 3 2" xfId="34601" xr:uid="{00000000-0005-0000-0000-0000E9760000}"/>
    <cellStyle name="Normal 3 5 18 4" xfId="17136" xr:uid="{00000000-0005-0000-0000-0000EA760000}"/>
    <cellStyle name="Normal 3 5 18 4 2" xfId="34602" xr:uid="{00000000-0005-0000-0000-0000EB760000}"/>
    <cellStyle name="Normal 3 5 18 5" xfId="17137" xr:uid="{00000000-0005-0000-0000-0000EC760000}"/>
    <cellStyle name="Normal 3 5 18 5 2" xfId="34603" xr:uid="{00000000-0005-0000-0000-0000ED760000}"/>
    <cellStyle name="Normal 3 5 18 6" xfId="17138" xr:uid="{00000000-0005-0000-0000-0000EE760000}"/>
    <cellStyle name="Normal 3 5 18 6 2" xfId="34604" xr:uid="{00000000-0005-0000-0000-0000EF760000}"/>
    <cellStyle name="Normal 3 5 18 7" xfId="17139" xr:uid="{00000000-0005-0000-0000-0000F0760000}"/>
    <cellStyle name="Normal 3 5 18 7 2" xfId="34605" xr:uid="{00000000-0005-0000-0000-0000F1760000}"/>
    <cellStyle name="Normal 3 5 18 8" xfId="17140" xr:uid="{00000000-0005-0000-0000-0000F2760000}"/>
    <cellStyle name="Normal 3 5 18 8 2" xfId="34606" xr:uid="{00000000-0005-0000-0000-0000F3760000}"/>
    <cellStyle name="Normal 3 5 18 9" xfId="17141" xr:uid="{00000000-0005-0000-0000-0000F4760000}"/>
    <cellStyle name="Normal 3 5 18 9 2" xfId="34607" xr:uid="{00000000-0005-0000-0000-0000F5760000}"/>
    <cellStyle name="Normal 3 5 2" xfId="17142" xr:uid="{00000000-0005-0000-0000-0000F6760000}"/>
    <cellStyle name="Normal 3 5 3" xfId="17143" xr:uid="{00000000-0005-0000-0000-0000F7760000}"/>
    <cellStyle name="Normal 3 5 3 10" xfId="17144" xr:uid="{00000000-0005-0000-0000-0000F8760000}"/>
    <cellStyle name="Normal 3 5 3 10 2" xfId="34609" xr:uid="{00000000-0005-0000-0000-0000F9760000}"/>
    <cellStyle name="Normal 3 5 3 11" xfId="17145" xr:uid="{00000000-0005-0000-0000-0000FA760000}"/>
    <cellStyle name="Normal 3 5 3 11 2" xfId="34610" xr:uid="{00000000-0005-0000-0000-0000FB760000}"/>
    <cellStyle name="Normal 3 5 3 12" xfId="17146" xr:uid="{00000000-0005-0000-0000-0000FC760000}"/>
    <cellStyle name="Normal 3 5 3 12 2" xfId="34611" xr:uid="{00000000-0005-0000-0000-0000FD760000}"/>
    <cellStyle name="Normal 3 5 3 13" xfId="17147" xr:uid="{00000000-0005-0000-0000-0000FE760000}"/>
    <cellStyle name="Normal 3 5 3 13 2" xfId="34612" xr:uid="{00000000-0005-0000-0000-0000FF760000}"/>
    <cellStyle name="Normal 3 5 3 14" xfId="17148" xr:uid="{00000000-0005-0000-0000-000000770000}"/>
    <cellStyle name="Normal 3 5 3 14 2" xfId="34613" xr:uid="{00000000-0005-0000-0000-000001770000}"/>
    <cellStyle name="Normal 3 5 3 15" xfId="17149" xr:uid="{00000000-0005-0000-0000-000002770000}"/>
    <cellStyle name="Normal 3 5 3 15 2" xfId="34614" xr:uid="{00000000-0005-0000-0000-000003770000}"/>
    <cellStyle name="Normal 3 5 3 16" xfId="17150" xr:uid="{00000000-0005-0000-0000-000004770000}"/>
    <cellStyle name="Normal 3 5 3 16 2" xfId="34615" xr:uid="{00000000-0005-0000-0000-000005770000}"/>
    <cellStyle name="Normal 3 5 3 17" xfId="17151" xr:uid="{00000000-0005-0000-0000-000006770000}"/>
    <cellStyle name="Normal 3 5 3 17 2" xfId="34616" xr:uid="{00000000-0005-0000-0000-000007770000}"/>
    <cellStyle name="Normal 3 5 3 18" xfId="34608" xr:uid="{00000000-0005-0000-0000-000008770000}"/>
    <cellStyle name="Normal 3 5 3 2" xfId="17152" xr:uid="{00000000-0005-0000-0000-000009770000}"/>
    <cellStyle name="Normal 3 5 3 3" xfId="17153" xr:uid="{00000000-0005-0000-0000-00000A770000}"/>
    <cellStyle name="Normal 3 5 3 4" xfId="17154" xr:uid="{00000000-0005-0000-0000-00000B770000}"/>
    <cellStyle name="Normal 3 5 3 5" xfId="17155" xr:uid="{00000000-0005-0000-0000-00000C770000}"/>
    <cellStyle name="Normal 3 5 3 5 2" xfId="34617" xr:uid="{00000000-0005-0000-0000-00000D770000}"/>
    <cellStyle name="Normal 3 5 3 6" xfId="17156" xr:uid="{00000000-0005-0000-0000-00000E770000}"/>
    <cellStyle name="Normal 3 5 3 6 2" xfId="34618" xr:uid="{00000000-0005-0000-0000-00000F770000}"/>
    <cellStyle name="Normal 3 5 3 7" xfId="17157" xr:uid="{00000000-0005-0000-0000-000010770000}"/>
    <cellStyle name="Normal 3 5 3 7 2" xfId="34619" xr:uid="{00000000-0005-0000-0000-000011770000}"/>
    <cellStyle name="Normal 3 5 3 8" xfId="17158" xr:uid="{00000000-0005-0000-0000-000012770000}"/>
    <cellStyle name="Normal 3 5 3 8 2" xfId="34620" xr:uid="{00000000-0005-0000-0000-000013770000}"/>
    <cellStyle name="Normal 3 5 3 9" xfId="17159" xr:uid="{00000000-0005-0000-0000-000014770000}"/>
    <cellStyle name="Normal 3 5 3 9 2" xfId="34621" xr:uid="{00000000-0005-0000-0000-000015770000}"/>
    <cellStyle name="Normal 3 5 4" xfId="17160" xr:uid="{00000000-0005-0000-0000-000016770000}"/>
    <cellStyle name="Normal 3 5 5" xfId="17161" xr:uid="{00000000-0005-0000-0000-000017770000}"/>
    <cellStyle name="Normal 3 5 6" xfId="17162" xr:uid="{00000000-0005-0000-0000-000018770000}"/>
    <cellStyle name="Normal 3 5 6 10" xfId="17163" xr:uid="{00000000-0005-0000-0000-000019770000}"/>
    <cellStyle name="Normal 3 5 6 10 2" xfId="34623" xr:uid="{00000000-0005-0000-0000-00001A770000}"/>
    <cellStyle name="Normal 3 5 6 11" xfId="17164" xr:uid="{00000000-0005-0000-0000-00001B770000}"/>
    <cellStyle name="Normal 3 5 6 11 2" xfId="34624" xr:uid="{00000000-0005-0000-0000-00001C770000}"/>
    <cellStyle name="Normal 3 5 6 12" xfId="17165" xr:uid="{00000000-0005-0000-0000-00001D770000}"/>
    <cellStyle name="Normal 3 5 6 12 2" xfId="34625" xr:uid="{00000000-0005-0000-0000-00001E770000}"/>
    <cellStyle name="Normal 3 5 6 13" xfId="17166" xr:uid="{00000000-0005-0000-0000-00001F770000}"/>
    <cellStyle name="Normal 3 5 6 13 2" xfId="34626" xr:uid="{00000000-0005-0000-0000-000020770000}"/>
    <cellStyle name="Normal 3 5 6 14" xfId="17167" xr:uid="{00000000-0005-0000-0000-000021770000}"/>
    <cellStyle name="Normal 3 5 6 14 2" xfId="34627" xr:uid="{00000000-0005-0000-0000-000022770000}"/>
    <cellStyle name="Normal 3 5 6 15" xfId="17168" xr:uid="{00000000-0005-0000-0000-000023770000}"/>
    <cellStyle name="Normal 3 5 6 15 2" xfId="34628" xr:uid="{00000000-0005-0000-0000-000024770000}"/>
    <cellStyle name="Normal 3 5 6 16" xfId="34622" xr:uid="{00000000-0005-0000-0000-000025770000}"/>
    <cellStyle name="Normal 3 5 6 2" xfId="17169" xr:uid="{00000000-0005-0000-0000-000026770000}"/>
    <cellStyle name="Normal 3 5 6 2 10" xfId="17170" xr:uid="{00000000-0005-0000-0000-000027770000}"/>
    <cellStyle name="Normal 3 5 6 2 10 2" xfId="34630" xr:uid="{00000000-0005-0000-0000-000028770000}"/>
    <cellStyle name="Normal 3 5 6 2 11" xfId="17171" xr:uid="{00000000-0005-0000-0000-000029770000}"/>
    <cellStyle name="Normal 3 5 6 2 11 2" xfId="34631" xr:uid="{00000000-0005-0000-0000-00002A770000}"/>
    <cellStyle name="Normal 3 5 6 2 12" xfId="17172" xr:uid="{00000000-0005-0000-0000-00002B770000}"/>
    <cellStyle name="Normal 3 5 6 2 12 2" xfId="34632" xr:uid="{00000000-0005-0000-0000-00002C770000}"/>
    <cellStyle name="Normal 3 5 6 2 13" xfId="17173" xr:uid="{00000000-0005-0000-0000-00002D770000}"/>
    <cellStyle name="Normal 3 5 6 2 13 2" xfId="34633" xr:uid="{00000000-0005-0000-0000-00002E770000}"/>
    <cellStyle name="Normal 3 5 6 2 14" xfId="17174" xr:uid="{00000000-0005-0000-0000-00002F770000}"/>
    <cellStyle name="Normal 3 5 6 2 14 2" xfId="34634" xr:uid="{00000000-0005-0000-0000-000030770000}"/>
    <cellStyle name="Normal 3 5 6 2 15" xfId="34629" xr:uid="{00000000-0005-0000-0000-000031770000}"/>
    <cellStyle name="Normal 3 5 6 2 2" xfId="17175" xr:uid="{00000000-0005-0000-0000-000032770000}"/>
    <cellStyle name="Normal 3 5 6 2 2 2" xfId="34635" xr:uid="{00000000-0005-0000-0000-000033770000}"/>
    <cellStyle name="Normal 3 5 6 2 3" xfId="17176" xr:uid="{00000000-0005-0000-0000-000034770000}"/>
    <cellStyle name="Normal 3 5 6 2 3 2" xfId="34636" xr:uid="{00000000-0005-0000-0000-000035770000}"/>
    <cellStyle name="Normal 3 5 6 2 4" xfId="17177" xr:uid="{00000000-0005-0000-0000-000036770000}"/>
    <cellStyle name="Normal 3 5 6 2 4 2" xfId="34637" xr:uid="{00000000-0005-0000-0000-000037770000}"/>
    <cellStyle name="Normal 3 5 6 2 5" xfId="17178" xr:uid="{00000000-0005-0000-0000-000038770000}"/>
    <cellStyle name="Normal 3 5 6 2 5 2" xfId="34638" xr:uid="{00000000-0005-0000-0000-000039770000}"/>
    <cellStyle name="Normal 3 5 6 2 6" xfId="17179" xr:uid="{00000000-0005-0000-0000-00003A770000}"/>
    <cellStyle name="Normal 3 5 6 2 6 2" xfId="34639" xr:uid="{00000000-0005-0000-0000-00003B770000}"/>
    <cellStyle name="Normal 3 5 6 2 7" xfId="17180" xr:uid="{00000000-0005-0000-0000-00003C770000}"/>
    <cellStyle name="Normal 3 5 6 2 7 2" xfId="34640" xr:uid="{00000000-0005-0000-0000-00003D770000}"/>
    <cellStyle name="Normal 3 5 6 2 8" xfId="17181" xr:uid="{00000000-0005-0000-0000-00003E770000}"/>
    <cellStyle name="Normal 3 5 6 2 8 2" xfId="34641" xr:uid="{00000000-0005-0000-0000-00003F770000}"/>
    <cellStyle name="Normal 3 5 6 2 9" xfId="17182" xr:uid="{00000000-0005-0000-0000-000040770000}"/>
    <cellStyle name="Normal 3 5 6 2 9 2" xfId="34642" xr:uid="{00000000-0005-0000-0000-000041770000}"/>
    <cellStyle name="Normal 3 5 6 3" xfId="17183" xr:uid="{00000000-0005-0000-0000-000042770000}"/>
    <cellStyle name="Normal 3 5 6 3 2" xfId="34643" xr:uid="{00000000-0005-0000-0000-000043770000}"/>
    <cellStyle name="Normal 3 5 6 4" xfId="17184" xr:uid="{00000000-0005-0000-0000-000044770000}"/>
    <cellStyle name="Normal 3 5 6 4 2" xfId="34644" xr:uid="{00000000-0005-0000-0000-000045770000}"/>
    <cellStyle name="Normal 3 5 6 5" xfId="17185" xr:uid="{00000000-0005-0000-0000-000046770000}"/>
    <cellStyle name="Normal 3 5 6 5 2" xfId="34645" xr:uid="{00000000-0005-0000-0000-000047770000}"/>
    <cellStyle name="Normal 3 5 6 6" xfId="17186" xr:uid="{00000000-0005-0000-0000-000048770000}"/>
    <cellStyle name="Normal 3 5 6 6 2" xfId="34646" xr:uid="{00000000-0005-0000-0000-000049770000}"/>
    <cellStyle name="Normal 3 5 6 7" xfId="17187" xr:uid="{00000000-0005-0000-0000-00004A770000}"/>
    <cellStyle name="Normal 3 5 6 7 2" xfId="34647" xr:uid="{00000000-0005-0000-0000-00004B770000}"/>
    <cellStyle name="Normal 3 5 6 8" xfId="17188" xr:uid="{00000000-0005-0000-0000-00004C770000}"/>
    <cellStyle name="Normal 3 5 6 8 2" xfId="34648" xr:uid="{00000000-0005-0000-0000-00004D770000}"/>
    <cellStyle name="Normal 3 5 6 9" xfId="17189" xr:uid="{00000000-0005-0000-0000-00004E770000}"/>
    <cellStyle name="Normal 3 5 6 9 2" xfId="34649" xr:uid="{00000000-0005-0000-0000-00004F770000}"/>
    <cellStyle name="Normal 3 5 7" xfId="17190" xr:uid="{00000000-0005-0000-0000-000050770000}"/>
    <cellStyle name="Normal 3 5 7 10" xfId="17191" xr:uid="{00000000-0005-0000-0000-000051770000}"/>
    <cellStyle name="Normal 3 5 7 10 2" xfId="34651" xr:uid="{00000000-0005-0000-0000-000052770000}"/>
    <cellStyle name="Normal 3 5 7 11" xfId="17192" xr:uid="{00000000-0005-0000-0000-000053770000}"/>
    <cellStyle name="Normal 3 5 7 11 2" xfId="34652" xr:uid="{00000000-0005-0000-0000-000054770000}"/>
    <cellStyle name="Normal 3 5 7 12" xfId="17193" xr:uid="{00000000-0005-0000-0000-000055770000}"/>
    <cellStyle name="Normal 3 5 7 12 2" xfId="34653" xr:uid="{00000000-0005-0000-0000-000056770000}"/>
    <cellStyle name="Normal 3 5 7 13" xfId="17194" xr:uid="{00000000-0005-0000-0000-000057770000}"/>
    <cellStyle name="Normal 3 5 7 13 2" xfId="34654" xr:uid="{00000000-0005-0000-0000-000058770000}"/>
    <cellStyle name="Normal 3 5 7 14" xfId="17195" xr:uid="{00000000-0005-0000-0000-000059770000}"/>
    <cellStyle name="Normal 3 5 7 14 2" xfId="34655" xr:uid="{00000000-0005-0000-0000-00005A770000}"/>
    <cellStyle name="Normal 3 5 7 15" xfId="17196" xr:uid="{00000000-0005-0000-0000-00005B770000}"/>
    <cellStyle name="Normal 3 5 7 15 2" xfId="34656" xr:uid="{00000000-0005-0000-0000-00005C770000}"/>
    <cellStyle name="Normal 3 5 7 16" xfId="34650" xr:uid="{00000000-0005-0000-0000-00005D770000}"/>
    <cellStyle name="Normal 3 5 7 2" xfId="17197" xr:uid="{00000000-0005-0000-0000-00005E770000}"/>
    <cellStyle name="Normal 3 5 7 2 10" xfId="17198" xr:uid="{00000000-0005-0000-0000-00005F770000}"/>
    <cellStyle name="Normal 3 5 7 2 10 2" xfId="34658" xr:uid="{00000000-0005-0000-0000-000060770000}"/>
    <cellStyle name="Normal 3 5 7 2 11" xfId="17199" xr:uid="{00000000-0005-0000-0000-000061770000}"/>
    <cellStyle name="Normal 3 5 7 2 11 2" xfId="34659" xr:uid="{00000000-0005-0000-0000-000062770000}"/>
    <cellStyle name="Normal 3 5 7 2 12" xfId="17200" xr:uid="{00000000-0005-0000-0000-000063770000}"/>
    <cellStyle name="Normal 3 5 7 2 12 2" xfId="34660" xr:uid="{00000000-0005-0000-0000-000064770000}"/>
    <cellStyle name="Normal 3 5 7 2 13" xfId="17201" xr:uid="{00000000-0005-0000-0000-000065770000}"/>
    <cellStyle name="Normal 3 5 7 2 13 2" xfId="34661" xr:uid="{00000000-0005-0000-0000-000066770000}"/>
    <cellStyle name="Normal 3 5 7 2 14" xfId="17202" xr:uid="{00000000-0005-0000-0000-000067770000}"/>
    <cellStyle name="Normal 3 5 7 2 14 2" xfId="34662" xr:uid="{00000000-0005-0000-0000-000068770000}"/>
    <cellStyle name="Normal 3 5 7 2 15" xfId="34657" xr:uid="{00000000-0005-0000-0000-000069770000}"/>
    <cellStyle name="Normal 3 5 7 2 2" xfId="17203" xr:uid="{00000000-0005-0000-0000-00006A770000}"/>
    <cellStyle name="Normal 3 5 7 2 2 2" xfId="34663" xr:uid="{00000000-0005-0000-0000-00006B770000}"/>
    <cellStyle name="Normal 3 5 7 2 3" xfId="17204" xr:uid="{00000000-0005-0000-0000-00006C770000}"/>
    <cellStyle name="Normal 3 5 7 2 3 2" xfId="34664" xr:uid="{00000000-0005-0000-0000-00006D770000}"/>
    <cellStyle name="Normal 3 5 7 2 4" xfId="17205" xr:uid="{00000000-0005-0000-0000-00006E770000}"/>
    <cellStyle name="Normal 3 5 7 2 4 2" xfId="34665" xr:uid="{00000000-0005-0000-0000-00006F770000}"/>
    <cellStyle name="Normal 3 5 7 2 5" xfId="17206" xr:uid="{00000000-0005-0000-0000-000070770000}"/>
    <cellStyle name="Normal 3 5 7 2 5 2" xfId="34666" xr:uid="{00000000-0005-0000-0000-000071770000}"/>
    <cellStyle name="Normal 3 5 7 2 6" xfId="17207" xr:uid="{00000000-0005-0000-0000-000072770000}"/>
    <cellStyle name="Normal 3 5 7 2 6 2" xfId="34667" xr:uid="{00000000-0005-0000-0000-000073770000}"/>
    <cellStyle name="Normal 3 5 7 2 7" xfId="17208" xr:uid="{00000000-0005-0000-0000-000074770000}"/>
    <cellStyle name="Normal 3 5 7 2 7 2" xfId="34668" xr:uid="{00000000-0005-0000-0000-000075770000}"/>
    <cellStyle name="Normal 3 5 7 2 8" xfId="17209" xr:uid="{00000000-0005-0000-0000-000076770000}"/>
    <cellStyle name="Normal 3 5 7 2 8 2" xfId="34669" xr:uid="{00000000-0005-0000-0000-000077770000}"/>
    <cellStyle name="Normal 3 5 7 2 9" xfId="17210" xr:uid="{00000000-0005-0000-0000-000078770000}"/>
    <cellStyle name="Normal 3 5 7 2 9 2" xfId="34670" xr:uid="{00000000-0005-0000-0000-000079770000}"/>
    <cellStyle name="Normal 3 5 7 3" xfId="17211" xr:uid="{00000000-0005-0000-0000-00007A770000}"/>
    <cellStyle name="Normal 3 5 7 3 2" xfId="34671" xr:uid="{00000000-0005-0000-0000-00007B770000}"/>
    <cellStyle name="Normal 3 5 7 4" xfId="17212" xr:uid="{00000000-0005-0000-0000-00007C770000}"/>
    <cellStyle name="Normal 3 5 7 4 2" xfId="34672" xr:uid="{00000000-0005-0000-0000-00007D770000}"/>
    <cellStyle name="Normal 3 5 7 5" xfId="17213" xr:uid="{00000000-0005-0000-0000-00007E770000}"/>
    <cellStyle name="Normal 3 5 7 5 2" xfId="34673" xr:uid="{00000000-0005-0000-0000-00007F770000}"/>
    <cellStyle name="Normal 3 5 7 6" xfId="17214" xr:uid="{00000000-0005-0000-0000-000080770000}"/>
    <cellStyle name="Normal 3 5 7 6 2" xfId="34674" xr:uid="{00000000-0005-0000-0000-000081770000}"/>
    <cellStyle name="Normal 3 5 7 7" xfId="17215" xr:uid="{00000000-0005-0000-0000-000082770000}"/>
    <cellStyle name="Normal 3 5 7 7 2" xfId="34675" xr:uid="{00000000-0005-0000-0000-000083770000}"/>
    <cellStyle name="Normal 3 5 7 8" xfId="17216" xr:uid="{00000000-0005-0000-0000-000084770000}"/>
    <cellStyle name="Normal 3 5 7 8 2" xfId="34676" xr:uid="{00000000-0005-0000-0000-000085770000}"/>
    <cellStyle name="Normal 3 5 7 9" xfId="17217" xr:uid="{00000000-0005-0000-0000-000086770000}"/>
    <cellStyle name="Normal 3 5 7 9 2" xfId="34677" xr:uid="{00000000-0005-0000-0000-000087770000}"/>
    <cellStyle name="Normal 3 5 8" xfId="17218" xr:uid="{00000000-0005-0000-0000-000088770000}"/>
    <cellStyle name="Normal 3 5 8 10" xfId="17219" xr:uid="{00000000-0005-0000-0000-000089770000}"/>
    <cellStyle name="Normal 3 5 8 10 2" xfId="34679" xr:uid="{00000000-0005-0000-0000-00008A770000}"/>
    <cellStyle name="Normal 3 5 8 11" xfId="17220" xr:uid="{00000000-0005-0000-0000-00008B770000}"/>
    <cellStyle name="Normal 3 5 8 11 2" xfId="34680" xr:uid="{00000000-0005-0000-0000-00008C770000}"/>
    <cellStyle name="Normal 3 5 8 12" xfId="17221" xr:uid="{00000000-0005-0000-0000-00008D770000}"/>
    <cellStyle name="Normal 3 5 8 12 2" xfId="34681" xr:uid="{00000000-0005-0000-0000-00008E770000}"/>
    <cellStyle name="Normal 3 5 8 13" xfId="17222" xr:uid="{00000000-0005-0000-0000-00008F770000}"/>
    <cellStyle name="Normal 3 5 8 13 2" xfId="34682" xr:uid="{00000000-0005-0000-0000-000090770000}"/>
    <cellStyle name="Normal 3 5 8 14" xfId="17223" xr:uid="{00000000-0005-0000-0000-000091770000}"/>
    <cellStyle name="Normal 3 5 8 14 2" xfId="34683" xr:uid="{00000000-0005-0000-0000-000092770000}"/>
    <cellStyle name="Normal 3 5 8 15" xfId="17224" xr:uid="{00000000-0005-0000-0000-000093770000}"/>
    <cellStyle name="Normal 3 5 8 15 2" xfId="34684" xr:uid="{00000000-0005-0000-0000-000094770000}"/>
    <cellStyle name="Normal 3 5 8 16" xfId="34678" xr:uid="{00000000-0005-0000-0000-000095770000}"/>
    <cellStyle name="Normal 3 5 8 2" xfId="17225" xr:uid="{00000000-0005-0000-0000-000096770000}"/>
    <cellStyle name="Normal 3 5 8 2 10" xfId="17226" xr:uid="{00000000-0005-0000-0000-000097770000}"/>
    <cellStyle name="Normal 3 5 8 2 10 2" xfId="34686" xr:uid="{00000000-0005-0000-0000-000098770000}"/>
    <cellStyle name="Normal 3 5 8 2 11" xfId="17227" xr:uid="{00000000-0005-0000-0000-000099770000}"/>
    <cellStyle name="Normal 3 5 8 2 11 2" xfId="34687" xr:uid="{00000000-0005-0000-0000-00009A770000}"/>
    <cellStyle name="Normal 3 5 8 2 12" xfId="17228" xr:uid="{00000000-0005-0000-0000-00009B770000}"/>
    <cellStyle name="Normal 3 5 8 2 12 2" xfId="34688" xr:uid="{00000000-0005-0000-0000-00009C770000}"/>
    <cellStyle name="Normal 3 5 8 2 13" xfId="17229" xr:uid="{00000000-0005-0000-0000-00009D770000}"/>
    <cellStyle name="Normal 3 5 8 2 13 2" xfId="34689" xr:uid="{00000000-0005-0000-0000-00009E770000}"/>
    <cellStyle name="Normal 3 5 8 2 14" xfId="17230" xr:uid="{00000000-0005-0000-0000-00009F770000}"/>
    <cellStyle name="Normal 3 5 8 2 14 2" xfId="34690" xr:uid="{00000000-0005-0000-0000-0000A0770000}"/>
    <cellStyle name="Normal 3 5 8 2 15" xfId="34685" xr:uid="{00000000-0005-0000-0000-0000A1770000}"/>
    <cellStyle name="Normal 3 5 8 2 2" xfId="17231" xr:uid="{00000000-0005-0000-0000-0000A2770000}"/>
    <cellStyle name="Normal 3 5 8 2 2 2" xfId="34691" xr:uid="{00000000-0005-0000-0000-0000A3770000}"/>
    <cellStyle name="Normal 3 5 8 2 3" xfId="17232" xr:uid="{00000000-0005-0000-0000-0000A4770000}"/>
    <cellStyle name="Normal 3 5 8 2 3 2" xfId="34692" xr:uid="{00000000-0005-0000-0000-0000A5770000}"/>
    <cellStyle name="Normal 3 5 8 2 4" xfId="17233" xr:uid="{00000000-0005-0000-0000-0000A6770000}"/>
    <cellStyle name="Normal 3 5 8 2 4 2" xfId="34693" xr:uid="{00000000-0005-0000-0000-0000A7770000}"/>
    <cellStyle name="Normal 3 5 8 2 5" xfId="17234" xr:uid="{00000000-0005-0000-0000-0000A8770000}"/>
    <cellStyle name="Normal 3 5 8 2 5 2" xfId="34694" xr:uid="{00000000-0005-0000-0000-0000A9770000}"/>
    <cellStyle name="Normal 3 5 8 2 6" xfId="17235" xr:uid="{00000000-0005-0000-0000-0000AA770000}"/>
    <cellStyle name="Normal 3 5 8 2 6 2" xfId="34695" xr:uid="{00000000-0005-0000-0000-0000AB770000}"/>
    <cellStyle name="Normal 3 5 8 2 7" xfId="17236" xr:uid="{00000000-0005-0000-0000-0000AC770000}"/>
    <cellStyle name="Normal 3 5 8 2 7 2" xfId="34696" xr:uid="{00000000-0005-0000-0000-0000AD770000}"/>
    <cellStyle name="Normal 3 5 8 2 8" xfId="17237" xr:uid="{00000000-0005-0000-0000-0000AE770000}"/>
    <cellStyle name="Normal 3 5 8 2 8 2" xfId="34697" xr:uid="{00000000-0005-0000-0000-0000AF770000}"/>
    <cellStyle name="Normal 3 5 8 2 9" xfId="17238" xr:uid="{00000000-0005-0000-0000-0000B0770000}"/>
    <cellStyle name="Normal 3 5 8 2 9 2" xfId="34698" xr:uid="{00000000-0005-0000-0000-0000B1770000}"/>
    <cellStyle name="Normal 3 5 8 3" xfId="17239" xr:uid="{00000000-0005-0000-0000-0000B2770000}"/>
    <cellStyle name="Normal 3 5 8 3 2" xfId="34699" xr:uid="{00000000-0005-0000-0000-0000B3770000}"/>
    <cellStyle name="Normal 3 5 8 4" xfId="17240" xr:uid="{00000000-0005-0000-0000-0000B4770000}"/>
    <cellStyle name="Normal 3 5 8 4 2" xfId="34700" xr:uid="{00000000-0005-0000-0000-0000B5770000}"/>
    <cellStyle name="Normal 3 5 8 5" xfId="17241" xr:uid="{00000000-0005-0000-0000-0000B6770000}"/>
    <cellStyle name="Normal 3 5 8 5 2" xfId="34701" xr:uid="{00000000-0005-0000-0000-0000B7770000}"/>
    <cellStyle name="Normal 3 5 8 6" xfId="17242" xr:uid="{00000000-0005-0000-0000-0000B8770000}"/>
    <cellStyle name="Normal 3 5 8 6 2" xfId="34702" xr:uid="{00000000-0005-0000-0000-0000B9770000}"/>
    <cellStyle name="Normal 3 5 8 7" xfId="17243" xr:uid="{00000000-0005-0000-0000-0000BA770000}"/>
    <cellStyle name="Normal 3 5 8 7 2" xfId="34703" xr:uid="{00000000-0005-0000-0000-0000BB770000}"/>
    <cellStyle name="Normal 3 5 8 8" xfId="17244" xr:uid="{00000000-0005-0000-0000-0000BC770000}"/>
    <cellStyle name="Normal 3 5 8 8 2" xfId="34704" xr:uid="{00000000-0005-0000-0000-0000BD770000}"/>
    <cellStyle name="Normal 3 5 8 9" xfId="17245" xr:uid="{00000000-0005-0000-0000-0000BE770000}"/>
    <cellStyle name="Normal 3 5 8 9 2" xfId="34705" xr:uid="{00000000-0005-0000-0000-0000BF770000}"/>
    <cellStyle name="Normal 3 5 9" xfId="17246" xr:uid="{00000000-0005-0000-0000-0000C0770000}"/>
    <cellStyle name="Normal 3 5 9 10" xfId="17247" xr:uid="{00000000-0005-0000-0000-0000C1770000}"/>
    <cellStyle name="Normal 3 5 9 10 2" xfId="34707" xr:uid="{00000000-0005-0000-0000-0000C2770000}"/>
    <cellStyle name="Normal 3 5 9 11" xfId="17248" xr:uid="{00000000-0005-0000-0000-0000C3770000}"/>
    <cellStyle name="Normal 3 5 9 11 2" xfId="34708" xr:uid="{00000000-0005-0000-0000-0000C4770000}"/>
    <cellStyle name="Normal 3 5 9 12" xfId="17249" xr:uid="{00000000-0005-0000-0000-0000C5770000}"/>
    <cellStyle name="Normal 3 5 9 12 2" xfId="34709" xr:uid="{00000000-0005-0000-0000-0000C6770000}"/>
    <cellStyle name="Normal 3 5 9 13" xfId="17250" xr:uid="{00000000-0005-0000-0000-0000C7770000}"/>
    <cellStyle name="Normal 3 5 9 13 2" xfId="34710" xr:uid="{00000000-0005-0000-0000-0000C8770000}"/>
    <cellStyle name="Normal 3 5 9 14" xfId="17251" xr:uid="{00000000-0005-0000-0000-0000C9770000}"/>
    <cellStyle name="Normal 3 5 9 14 2" xfId="34711" xr:uid="{00000000-0005-0000-0000-0000CA770000}"/>
    <cellStyle name="Normal 3 5 9 15" xfId="34706" xr:uid="{00000000-0005-0000-0000-0000CB770000}"/>
    <cellStyle name="Normal 3 5 9 2" xfId="17252" xr:uid="{00000000-0005-0000-0000-0000CC770000}"/>
    <cellStyle name="Normal 3 5 9 2 2" xfId="34712" xr:uid="{00000000-0005-0000-0000-0000CD770000}"/>
    <cellStyle name="Normal 3 5 9 3" xfId="17253" xr:uid="{00000000-0005-0000-0000-0000CE770000}"/>
    <cellStyle name="Normal 3 5 9 3 2" xfId="34713" xr:uid="{00000000-0005-0000-0000-0000CF770000}"/>
    <cellStyle name="Normal 3 5 9 4" xfId="17254" xr:uid="{00000000-0005-0000-0000-0000D0770000}"/>
    <cellStyle name="Normal 3 5 9 4 2" xfId="34714" xr:uid="{00000000-0005-0000-0000-0000D1770000}"/>
    <cellStyle name="Normal 3 5 9 5" xfId="17255" xr:uid="{00000000-0005-0000-0000-0000D2770000}"/>
    <cellStyle name="Normal 3 5 9 5 2" xfId="34715" xr:uid="{00000000-0005-0000-0000-0000D3770000}"/>
    <cellStyle name="Normal 3 5 9 6" xfId="17256" xr:uid="{00000000-0005-0000-0000-0000D4770000}"/>
    <cellStyle name="Normal 3 5 9 6 2" xfId="34716" xr:uid="{00000000-0005-0000-0000-0000D5770000}"/>
    <cellStyle name="Normal 3 5 9 7" xfId="17257" xr:uid="{00000000-0005-0000-0000-0000D6770000}"/>
    <cellStyle name="Normal 3 5 9 7 2" xfId="34717" xr:uid="{00000000-0005-0000-0000-0000D7770000}"/>
    <cellStyle name="Normal 3 5 9 8" xfId="17258" xr:uid="{00000000-0005-0000-0000-0000D8770000}"/>
    <cellStyle name="Normal 3 5 9 8 2" xfId="34718" xr:uid="{00000000-0005-0000-0000-0000D9770000}"/>
    <cellStyle name="Normal 3 5 9 9" xfId="17259" xr:uid="{00000000-0005-0000-0000-0000DA770000}"/>
    <cellStyle name="Normal 3 5 9 9 2" xfId="34719" xr:uid="{00000000-0005-0000-0000-0000DB770000}"/>
    <cellStyle name="Normal 3 50" xfId="17260" xr:uid="{00000000-0005-0000-0000-0000DC770000}"/>
    <cellStyle name="Normal 3 50 2" xfId="34720" xr:uid="{00000000-0005-0000-0000-0000DD770000}"/>
    <cellStyle name="Normal 3 51" xfId="17261" xr:uid="{00000000-0005-0000-0000-0000DE770000}"/>
    <cellStyle name="Normal 3 51 2" xfId="34721" xr:uid="{00000000-0005-0000-0000-0000DF770000}"/>
    <cellStyle name="Normal 3 52" xfId="17262" xr:uid="{00000000-0005-0000-0000-0000E0770000}"/>
    <cellStyle name="Normal 3 52 2" xfId="34722" xr:uid="{00000000-0005-0000-0000-0000E1770000}"/>
    <cellStyle name="Normal 3 53" xfId="17263" xr:uid="{00000000-0005-0000-0000-0000E2770000}"/>
    <cellStyle name="Normal 3 53 2" xfId="34723" xr:uid="{00000000-0005-0000-0000-0000E3770000}"/>
    <cellStyle name="Normal 3 54" xfId="17264" xr:uid="{00000000-0005-0000-0000-0000E4770000}"/>
    <cellStyle name="Normal 3 54 2" xfId="37603" xr:uid="{00000000-0005-0000-0000-0000E5770000}"/>
    <cellStyle name="Normal 3 55" xfId="37666" xr:uid="{00000000-0005-0000-0000-0000E6770000}"/>
    <cellStyle name="Normal 3 56" xfId="21156" xr:uid="{00000000-0005-0000-0000-0000E7770000}"/>
    <cellStyle name="Normal 3 6" xfId="17265" xr:uid="{00000000-0005-0000-0000-0000E8770000}"/>
    <cellStyle name="Normal 3 6 10" xfId="17266" xr:uid="{00000000-0005-0000-0000-0000E9770000}"/>
    <cellStyle name="Normal 3 6 11" xfId="17267" xr:uid="{00000000-0005-0000-0000-0000EA770000}"/>
    <cellStyle name="Normal 3 6 11 10" xfId="17268" xr:uid="{00000000-0005-0000-0000-0000EB770000}"/>
    <cellStyle name="Normal 3 6 11 10 2" xfId="34725" xr:uid="{00000000-0005-0000-0000-0000EC770000}"/>
    <cellStyle name="Normal 3 6 11 11" xfId="17269" xr:uid="{00000000-0005-0000-0000-0000ED770000}"/>
    <cellStyle name="Normal 3 6 11 11 2" xfId="34726" xr:uid="{00000000-0005-0000-0000-0000EE770000}"/>
    <cellStyle name="Normal 3 6 11 12" xfId="17270" xr:uid="{00000000-0005-0000-0000-0000EF770000}"/>
    <cellStyle name="Normal 3 6 11 12 2" xfId="34727" xr:uid="{00000000-0005-0000-0000-0000F0770000}"/>
    <cellStyle name="Normal 3 6 11 13" xfId="17271" xr:uid="{00000000-0005-0000-0000-0000F1770000}"/>
    <cellStyle name="Normal 3 6 11 13 2" xfId="34728" xr:uid="{00000000-0005-0000-0000-0000F2770000}"/>
    <cellStyle name="Normal 3 6 11 14" xfId="17272" xr:uid="{00000000-0005-0000-0000-0000F3770000}"/>
    <cellStyle name="Normal 3 6 11 14 2" xfId="34729" xr:uid="{00000000-0005-0000-0000-0000F4770000}"/>
    <cellStyle name="Normal 3 6 11 15" xfId="17273" xr:uid="{00000000-0005-0000-0000-0000F5770000}"/>
    <cellStyle name="Normal 3 6 11 15 2" xfId="34730" xr:uid="{00000000-0005-0000-0000-0000F6770000}"/>
    <cellStyle name="Normal 3 6 11 16" xfId="17274" xr:uid="{00000000-0005-0000-0000-0000F7770000}"/>
    <cellStyle name="Normal 3 6 11 16 2" xfId="34731" xr:uid="{00000000-0005-0000-0000-0000F8770000}"/>
    <cellStyle name="Normal 3 6 11 17" xfId="17275" xr:uid="{00000000-0005-0000-0000-0000F9770000}"/>
    <cellStyle name="Normal 3 6 11 17 2" xfId="34732" xr:uid="{00000000-0005-0000-0000-0000FA770000}"/>
    <cellStyle name="Normal 3 6 11 18" xfId="34724" xr:uid="{00000000-0005-0000-0000-0000FB770000}"/>
    <cellStyle name="Normal 3 6 11 2" xfId="17276" xr:uid="{00000000-0005-0000-0000-0000FC770000}"/>
    <cellStyle name="Normal 3 6 11 3" xfId="17277" xr:uid="{00000000-0005-0000-0000-0000FD770000}"/>
    <cellStyle name="Normal 3 6 11 4" xfId="17278" xr:uid="{00000000-0005-0000-0000-0000FE770000}"/>
    <cellStyle name="Normal 3 6 11 5" xfId="17279" xr:uid="{00000000-0005-0000-0000-0000FF770000}"/>
    <cellStyle name="Normal 3 6 11 5 2" xfId="34733" xr:uid="{00000000-0005-0000-0000-000000780000}"/>
    <cellStyle name="Normal 3 6 11 6" xfId="17280" xr:uid="{00000000-0005-0000-0000-000001780000}"/>
    <cellStyle name="Normal 3 6 11 6 2" xfId="34734" xr:uid="{00000000-0005-0000-0000-000002780000}"/>
    <cellStyle name="Normal 3 6 11 7" xfId="17281" xr:uid="{00000000-0005-0000-0000-000003780000}"/>
    <cellStyle name="Normal 3 6 11 7 2" xfId="34735" xr:uid="{00000000-0005-0000-0000-000004780000}"/>
    <cellStyle name="Normal 3 6 11 8" xfId="17282" xr:uid="{00000000-0005-0000-0000-000005780000}"/>
    <cellStyle name="Normal 3 6 11 8 2" xfId="34736" xr:uid="{00000000-0005-0000-0000-000006780000}"/>
    <cellStyle name="Normal 3 6 11 9" xfId="17283" xr:uid="{00000000-0005-0000-0000-000007780000}"/>
    <cellStyle name="Normal 3 6 11 9 2" xfId="34737" xr:uid="{00000000-0005-0000-0000-000008780000}"/>
    <cellStyle name="Normal 3 6 12" xfId="17284" xr:uid="{00000000-0005-0000-0000-000009780000}"/>
    <cellStyle name="Normal 3 6 13" xfId="17285" xr:uid="{00000000-0005-0000-0000-00000A780000}"/>
    <cellStyle name="Normal 3 6 14" xfId="17286" xr:uid="{00000000-0005-0000-0000-00000B780000}"/>
    <cellStyle name="Normal 3 6 14 10" xfId="17287" xr:uid="{00000000-0005-0000-0000-00000C780000}"/>
    <cellStyle name="Normal 3 6 14 10 2" xfId="34739" xr:uid="{00000000-0005-0000-0000-00000D780000}"/>
    <cellStyle name="Normal 3 6 14 11" xfId="17288" xr:uid="{00000000-0005-0000-0000-00000E780000}"/>
    <cellStyle name="Normal 3 6 14 11 2" xfId="34740" xr:uid="{00000000-0005-0000-0000-00000F780000}"/>
    <cellStyle name="Normal 3 6 14 12" xfId="17289" xr:uid="{00000000-0005-0000-0000-000010780000}"/>
    <cellStyle name="Normal 3 6 14 12 2" xfId="34741" xr:uid="{00000000-0005-0000-0000-000011780000}"/>
    <cellStyle name="Normal 3 6 14 13" xfId="17290" xr:uid="{00000000-0005-0000-0000-000012780000}"/>
    <cellStyle name="Normal 3 6 14 13 2" xfId="34742" xr:uid="{00000000-0005-0000-0000-000013780000}"/>
    <cellStyle name="Normal 3 6 14 14" xfId="17291" xr:uid="{00000000-0005-0000-0000-000014780000}"/>
    <cellStyle name="Normal 3 6 14 14 2" xfId="34743" xr:uid="{00000000-0005-0000-0000-000015780000}"/>
    <cellStyle name="Normal 3 6 14 15" xfId="17292" xr:uid="{00000000-0005-0000-0000-000016780000}"/>
    <cellStyle name="Normal 3 6 14 15 2" xfId="34744" xr:uid="{00000000-0005-0000-0000-000017780000}"/>
    <cellStyle name="Normal 3 6 14 16" xfId="34738" xr:uid="{00000000-0005-0000-0000-000018780000}"/>
    <cellStyle name="Normal 3 6 14 2" xfId="17293" xr:uid="{00000000-0005-0000-0000-000019780000}"/>
    <cellStyle name="Normal 3 6 14 2 10" xfId="17294" xr:uid="{00000000-0005-0000-0000-00001A780000}"/>
    <cellStyle name="Normal 3 6 14 2 10 2" xfId="34746" xr:uid="{00000000-0005-0000-0000-00001B780000}"/>
    <cellStyle name="Normal 3 6 14 2 11" xfId="17295" xr:uid="{00000000-0005-0000-0000-00001C780000}"/>
    <cellStyle name="Normal 3 6 14 2 11 2" xfId="34747" xr:uid="{00000000-0005-0000-0000-00001D780000}"/>
    <cellStyle name="Normal 3 6 14 2 12" xfId="17296" xr:uid="{00000000-0005-0000-0000-00001E780000}"/>
    <cellStyle name="Normal 3 6 14 2 12 2" xfId="34748" xr:uid="{00000000-0005-0000-0000-00001F780000}"/>
    <cellStyle name="Normal 3 6 14 2 13" xfId="17297" xr:uid="{00000000-0005-0000-0000-000020780000}"/>
    <cellStyle name="Normal 3 6 14 2 13 2" xfId="34749" xr:uid="{00000000-0005-0000-0000-000021780000}"/>
    <cellStyle name="Normal 3 6 14 2 14" xfId="17298" xr:uid="{00000000-0005-0000-0000-000022780000}"/>
    <cellStyle name="Normal 3 6 14 2 14 2" xfId="34750" xr:uid="{00000000-0005-0000-0000-000023780000}"/>
    <cellStyle name="Normal 3 6 14 2 15" xfId="34745" xr:uid="{00000000-0005-0000-0000-000024780000}"/>
    <cellStyle name="Normal 3 6 14 2 2" xfId="17299" xr:uid="{00000000-0005-0000-0000-000025780000}"/>
    <cellStyle name="Normal 3 6 14 2 2 2" xfId="34751" xr:uid="{00000000-0005-0000-0000-000026780000}"/>
    <cellStyle name="Normal 3 6 14 2 3" xfId="17300" xr:uid="{00000000-0005-0000-0000-000027780000}"/>
    <cellStyle name="Normal 3 6 14 2 3 2" xfId="34752" xr:uid="{00000000-0005-0000-0000-000028780000}"/>
    <cellStyle name="Normal 3 6 14 2 4" xfId="17301" xr:uid="{00000000-0005-0000-0000-000029780000}"/>
    <cellStyle name="Normal 3 6 14 2 4 2" xfId="34753" xr:uid="{00000000-0005-0000-0000-00002A780000}"/>
    <cellStyle name="Normal 3 6 14 2 5" xfId="17302" xr:uid="{00000000-0005-0000-0000-00002B780000}"/>
    <cellStyle name="Normal 3 6 14 2 5 2" xfId="34754" xr:uid="{00000000-0005-0000-0000-00002C780000}"/>
    <cellStyle name="Normal 3 6 14 2 6" xfId="17303" xr:uid="{00000000-0005-0000-0000-00002D780000}"/>
    <cellStyle name="Normal 3 6 14 2 6 2" xfId="34755" xr:uid="{00000000-0005-0000-0000-00002E780000}"/>
    <cellStyle name="Normal 3 6 14 2 7" xfId="17304" xr:uid="{00000000-0005-0000-0000-00002F780000}"/>
    <cellStyle name="Normal 3 6 14 2 7 2" xfId="34756" xr:uid="{00000000-0005-0000-0000-000030780000}"/>
    <cellStyle name="Normal 3 6 14 2 8" xfId="17305" xr:uid="{00000000-0005-0000-0000-000031780000}"/>
    <cellStyle name="Normal 3 6 14 2 8 2" xfId="34757" xr:uid="{00000000-0005-0000-0000-000032780000}"/>
    <cellStyle name="Normal 3 6 14 2 9" xfId="17306" xr:uid="{00000000-0005-0000-0000-000033780000}"/>
    <cellStyle name="Normal 3 6 14 2 9 2" xfId="34758" xr:uid="{00000000-0005-0000-0000-000034780000}"/>
    <cellStyle name="Normal 3 6 14 3" xfId="17307" xr:uid="{00000000-0005-0000-0000-000035780000}"/>
    <cellStyle name="Normal 3 6 14 3 2" xfId="34759" xr:uid="{00000000-0005-0000-0000-000036780000}"/>
    <cellStyle name="Normal 3 6 14 4" xfId="17308" xr:uid="{00000000-0005-0000-0000-000037780000}"/>
    <cellStyle name="Normal 3 6 14 4 2" xfId="34760" xr:uid="{00000000-0005-0000-0000-000038780000}"/>
    <cellStyle name="Normal 3 6 14 5" xfId="17309" xr:uid="{00000000-0005-0000-0000-000039780000}"/>
    <cellStyle name="Normal 3 6 14 5 2" xfId="34761" xr:uid="{00000000-0005-0000-0000-00003A780000}"/>
    <cellStyle name="Normal 3 6 14 6" xfId="17310" xr:uid="{00000000-0005-0000-0000-00003B780000}"/>
    <cellStyle name="Normal 3 6 14 6 2" xfId="34762" xr:uid="{00000000-0005-0000-0000-00003C780000}"/>
    <cellStyle name="Normal 3 6 14 7" xfId="17311" xr:uid="{00000000-0005-0000-0000-00003D780000}"/>
    <cellStyle name="Normal 3 6 14 7 2" xfId="34763" xr:uid="{00000000-0005-0000-0000-00003E780000}"/>
    <cellStyle name="Normal 3 6 14 8" xfId="17312" xr:uid="{00000000-0005-0000-0000-00003F780000}"/>
    <cellStyle name="Normal 3 6 14 8 2" xfId="34764" xr:uid="{00000000-0005-0000-0000-000040780000}"/>
    <cellStyle name="Normal 3 6 14 9" xfId="17313" xr:uid="{00000000-0005-0000-0000-000041780000}"/>
    <cellStyle name="Normal 3 6 14 9 2" xfId="34765" xr:uid="{00000000-0005-0000-0000-000042780000}"/>
    <cellStyle name="Normal 3 6 15" xfId="17314" xr:uid="{00000000-0005-0000-0000-000043780000}"/>
    <cellStyle name="Normal 3 6 15 10" xfId="17315" xr:uid="{00000000-0005-0000-0000-000044780000}"/>
    <cellStyle name="Normal 3 6 15 10 2" xfId="34767" xr:uid="{00000000-0005-0000-0000-000045780000}"/>
    <cellStyle name="Normal 3 6 15 11" xfId="17316" xr:uid="{00000000-0005-0000-0000-000046780000}"/>
    <cellStyle name="Normal 3 6 15 11 2" xfId="34768" xr:uid="{00000000-0005-0000-0000-000047780000}"/>
    <cellStyle name="Normal 3 6 15 12" xfId="17317" xr:uid="{00000000-0005-0000-0000-000048780000}"/>
    <cellStyle name="Normal 3 6 15 12 2" xfId="34769" xr:uid="{00000000-0005-0000-0000-000049780000}"/>
    <cellStyle name="Normal 3 6 15 13" xfId="17318" xr:uid="{00000000-0005-0000-0000-00004A780000}"/>
    <cellStyle name="Normal 3 6 15 13 2" xfId="34770" xr:uid="{00000000-0005-0000-0000-00004B780000}"/>
    <cellStyle name="Normal 3 6 15 14" xfId="17319" xr:uid="{00000000-0005-0000-0000-00004C780000}"/>
    <cellStyle name="Normal 3 6 15 14 2" xfId="34771" xr:uid="{00000000-0005-0000-0000-00004D780000}"/>
    <cellStyle name="Normal 3 6 15 15" xfId="17320" xr:uid="{00000000-0005-0000-0000-00004E780000}"/>
    <cellStyle name="Normal 3 6 15 15 2" xfId="34772" xr:uid="{00000000-0005-0000-0000-00004F780000}"/>
    <cellStyle name="Normal 3 6 15 16" xfId="34766" xr:uid="{00000000-0005-0000-0000-000050780000}"/>
    <cellStyle name="Normal 3 6 15 2" xfId="17321" xr:uid="{00000000-0005-0000-0000-000051780000}"/>
    <cellStyle name="Normal 3 6 15 2 10" xfId="17322" xr:uid="{00000000-0005-0000-0000-000052780000}"/>
    <cellStyle name="Normal 3 6 15 2 10 2" xfId="34774" xr:uid="{00000000-0005-0000-0000-000053780000}"/>
    <cellStyle name="Normal 3 6 15 2 11" xfId="17323" xr:uid="{00000000-0005-0000-0000-000054780000}"/>
    <cellStyle name="Normal 3 6 15 2 11 2" xfId="34775" xr:uid="{00000000-0005-0000-0000-000055780000}"/>
    <cellStyle name="Normal 3 6 15 2 12" xfId="17324" xr:uid="{00000000-0005-0000-0000-000056780000}"/>
    <cellStyle name="Normal 3 6 15 2 12 2" xfId="34776" xr:uid="{00000000-0005-0000-0000-000057780000}"/>
    <cellStyle name="Normal 3 6 15 2 13" xfId="17325" xr:uid="{00000000-0005-0000-0000-000058780000}"/>
    <cellStyle name="Normal 3 6 15 2 13 2" xfId="34777" xr:uid="{00000000-0005-0000-0000-000059780000}"/>
    <cellStyle name="Normal 3 6 15 2 14" xfId="17326" xr:uid="{00000000-0005-0000-0000-00005A780000}"/>
    <cellStyle name="Normal 3 6 15 2 14 2" xfId="34778" xr:uid="{00000000-0005-0000-0000-00005B780000}"/>
    <cellStyle name="Normal 3 6 15 2 15" xfId="34773" xr:uid="{00000000-0005-0000-0000-00005C780000}"/>
    <cellStyle name="Normal 3 6 15 2 2" xfId="17327" xr:uid="{00000000-0005-0000-0000-00005D780000}"/>
    <cellStyle name="Normal 3 6 15 2 2 2" xfId="34779" xr:uid="{00000000-0005-0000-0000-00005E780000}"/>
    <cellStyle name="Normal 3 6 15 2 3" xfId="17328" xr:uid="{00000000-0005-0000-0000-00005F780000}"/>
    <cellStyle name="Normal 3 6 15 2 3 2" xfId="34780" xr:uid="{00000000-0005-0000-0000-000060780000}"/>
    <cellStyle name="Normal 3 6 15 2 4" xfId="17329" xr:uid="{00000000-0005-0000-0000-000061780000}"/>
    <cellStyle name="Normal 3 6 15 2 4 2" xfId="34781" xr:uid="{00000000-0005-0000-0000-000062780000}"/>
    <cellStyle name="Normal 3 6 15 2 5" xfId="17330" xr:uid="{00000000-0005-0000-0000-000063780000}"/>
    <cellStyle name="Normal 3 6 15 2 5 2" xfId="34782" xr:uid="{00000000-0005-0000-0000-000064780000}"/>
    <cellStyle name="Normal 3 6 15 2 6" xfId="17331" xr:uid="{00000000-0005-0000-0000-000065780000}"/>
    <cellStyle name="Normal 3 6 15 2 6 2" xfId="34783" xr:uid="{00000000-0005-0000-0000-000066780000}"/>
    <cellStyle name="Normal 3 6 15 2 7" xfId="17332" xr:uid="{00000000-0005-0000-0000-000067780000}"/>
    <cellStyle name="Normal 3 6 15 2 7 2" xfId="34784" xr:uid="{00000000-0005-0000-0000-000068780000}"/>
    <cellStyle name="Normal 3 6 15 2 8" xfId="17333" xr:uid="{00000000-0005-0000-0000-000069780000}"/>
    <cellStyle name="Normal 3 6 15 2 8 2" xfId="34785" xr:uid="{00000000-0005-0000-0000-00006A780000}"/>
    <cellStyle name="Normal 3 6 15 2 9" xfId="17334" xr:uid="{00000000-0005-0000-0000-00006B780000}"/>
    <cellStyle name="Normal 3 6 15 2 9 2" xfId="34786" xr:uid="{00000000-0005-0000-0000-00006C780000}"/>
    <cellStyle name="Normal 3 6 15 3" xfId="17335" xr:uid="{00000000-0005-0000-0000-00006D780000}"/>
    <cellStyle name="Normal 3 6 15 3 2" xfId="34787" xr:uid="{00000000-0005-0000-0000-00006E780000}"/>
    <cellStyle name="Normal 3 6 15 4" xfId="17336" xr:uid="{00000000-0005-0000-0000-00006F780000}"/>
    <cellStyle name="Normal 3 6 15 4 2" xfId="34788" xr:uid="{00000000-0005-0000-0000-000070780000}"/>
    <cellStyle name="Normal 3 6 15 5" xfId="17337" xr:uid="{00000000-0005-0000-0000-000071780000}"/>
    <cellStyle name="Normal 3 6 15 5 2" xfId="34789" xr:uid="{00000000-0005-0000-0000-000072780000}"/>
    <cellStyle name="Normal 3 6 15 6" xfId="17338" xr:uid="{00000000-0005-0000-0000-000073780000}"/>
    <cellStyle name="Normal 3 6 15 6 2" xfId="34790" xr:uid="{00000000-0005-0000-0000-000074780000}"/>
    <cellStyle name="Normal 3 6 15 7" xfId="17339" xr:uid="{00000000-0005-0000-0000-000075780000}"/>
    <cellStyle name="Normal 3 6 15 7 2" xfId="34791" xr:uid="{00000000-0005-0000-0000-000076780000}"/>
    <cellStyle name="Normal 3 6 15 8" xfId="17340" xr:uid="{00000000-0005-0000-0000-000077780000}"/>
    <cellStyle name="Normal 3 6 15 8 2" xfId="34792" xr:uid="{00000000-0005-0000-0000-000078780000}"/>
    <cellStyle name="Normal 3 6 15 9" xfId="17341" xr:uid="{00000000-0005-0000-0000-000079780000}"/>
    <cellStyle name="Normal 3 6 15 9 2" xfId="34793" xr:uid="{00000000-0005-0000-0000-00007A780000}"/>
    <cellStyle name="Normal 3 6 16" xfId="17342" xr:uid="{00000000-0005-0000-0000-00007B780000}"/>
    <cellStyle name="Normal 3 6 16 10" xfId="17343" xr:uid="{00000000-0005-0000-0000-00007C780000}"/>
    <cellStyle name="Normal 3 6 16 10 2" xfId="34795" xr:uid="{00000000-0005-0000-0000-00007D780000}"/>
    <cellStyle name="Normal 3 6 16 11" xfId="17344" xr:uid="{00000000-0005-0000-0000-00007E780000}"/>
    <cellStyle name="Normal 3 6 16 11 2" xfId="34796" xr:uid="{00000000-0005-0000-0000-00007F780000}"/>
    <cellStyle name="Normal 3 6 16 12" xfId="17345" xr:uid="{00000000-0005-0000-0000-000080780000}"/>
    <cellStyle name="Normal 3 6 16 12 2" xfId="34797" xr:uid="{00000000-0005-0000-0000-000081780000}"/>
    <cellStyle name="Normal 3 6 16 13" xfId="17346" xr:uid="{00000000-0005-0000-0000-000082780000}"/>
    <cellStyle name="Normal 3 6 16 13 2" xfId="34798" xr:uid="{00000000-0005-0000-0000-000083780000}"/>
    <cellStyle name="Normal 3 6 16 14" xfId="17347" xr:uid="{00000000-0005-0000-0000-000084780000}"/>
    <cellStyle name="Normal 3 6 16 14 2" xfId="34799" xr:uid="{00000000-0005-0000-0000-000085780000}"/>
    <cellStyle name="Normal 3 6 16 15" xfId="17348" xr:uid="{00000000-0005-0000-0000-000086780000}"/>
    <cellStyle name="Normal 3 6 16 15 2" xfId="34800" xr:uid="{00000000-0005-0000-0000-000087780000}"/>
    <cellStyle name="Normal 3 6 16 16" xfId="34794" xr:uid="{00000000-0005-0000-0000-000088780000}"/>
    <cellStyle name="Normal 3 6 16 2" xfId="17349" xr:uid="{00000000-0005-0000-0000-000089780000}"/>
    <cellStyle name="Normal 3 6 16 2 10" xfId="17350" xr:uid="{00000000-0005-0000-0000-00008A780000}"/>
    <cellStyle name="Normal 3 6 16 2 10 2" xfId="34802" xr:uid="{00000000-0005-0000-0000-00008B780000}"/>
    <cellStyle name="Normal 3 6 16 2 11" xfId="17351" xr:uid="{00000000-0005-0000-0000-00008C780000}"/>
    <cellStyle name="Normal 3 6 16 2 11 2" xfId="34803" xr:uid="{00000000-0005-0000-0000-00008D780000}"/>
    <cellStyle name="Normal 3 6 16 2 12" xfId="17352" xr:uid="{00000000-0005-0000-0000-00008E780000}"/>
    <cellStyle name="Normal 3 6 16 2 12 2" xfId="34804" xr:uid="{00000000-0005-0000-0000-00008F780000}"/>
    <cellStyle name="Normal 3 6 16 2 13" xfId="17353" xr:uid="{00000000-0005-0000-0000-000090780000}"/>
    <cellStyle name="Normal 3 6 16 2 13 2" xfId="34805" xr:uid="{00000000-0005-0000-0000-000091780000}"/>
    <cellStyle name="Normal 3 6 16 2 14" xfId="17354" xr:uid="{00000000-0005-0000-0000-000092780000}"/>
    <cellStyle name="Normal 3 6 16 2 14 2" xfId="34806" xr:uid="{00000000-0005-0000-0000-000093780000}"/>
    <cellStyle name="Normal 3 6 16 2 15" xfId="34801" xr:uid="{00000000-0005-0000-0000-000094780000}"/>
    <cellStyle name="Normal 3 6 16 2 2" xfId="17355" xr:uid="{00000000-0005-0000-0000-000095780000}"/>
    <cellStyle name="Normal 3 6 16 2 2 2" xfId="34807" xr:uid="{00000000-0005-0000-0000-000096780000}"/>
    <cellStyle name="Normal 3 6 16 2 3" xfId="17356" xr:uid="{00000000-0005-0000-0000-000097780000}"/>
    <cellStyle name="Normal 3 6 16 2 3 2" xfId="34808" xr:uid="{00000000-0005-0000-0000-000098780000}"/>
    <cellStyle name="Normal 3 6 16 2 4" xfId="17357" xr:uid="{00000000-0005-0000-0000-000099780000}"/>
    <cellStyle name="Normal 3 6 16 2 4 2" xfId="34809" xr:uid="{00000000-0005-0000-0000-00009A780000}"/>
    <cellStyle name="Normal 3 6 16 2 5" xfId="17358" xr:uid="{00000000-0005-0000-0000-00009B780000}"/>
    <cellStyle name="Normal 3 6 16 2 5 2" xfId="34810" xr:uid="{00000000-0005-0000-0000-00009C780000}"/>
    <cellStyle name="Normal 3 6 16 2 6" xfId="17359" xr:uid="{00000000-0005-0000-0000-00009D780000}"/>
    <cellStyle name="Normal 3 6 16 2 6 2" xfId="34811" xr:uid="{00000000-0005-0000-0000-00009E780000}"/>
    <cellStyle name="Normal 3 6 16 2 7" xfId="17360" xr:uid="{00000000-0005-0000-0000-00009F780000}"/>
    <cellStyle name="Normal 3 6 16 2 7 2" xfId="34812" xr:uid="{00000000-0005-0000-0000-0000A0780000}"/>
    <cellStyle name="Normal 3 6 16 2 8" xfId="17361" xr:uid="{00000000-0005-0000-0000-0000A1780000}"/>
    <cellStyle name="Normal 3 6 16 2 8 2" xfId="34813" xr:uid="{00000000-0005-0000-0000-0000A2780000}"/>
    <cellStyle name="Normal 3 6 16 2 9" xfId="17362" xr:uid="{00000000-0005-0000-0000-0000A3780000}"/>
    <cellStyle name="Normal 3 6 16 2 9 2" xfId="34814" xr:uid="{00000000-0005-0000-0000-0000A4780000}"/>
    <cellStyle name="Normal 3 6 16 3" xfId="17363" xr:uid="{00000000-0005-0000-0000-0000A5780000}"/>
    <cellStyle name="Normal 3 6 16 3 2" xfId="34815" xr:uid="{00000000-0005-0000-0000-0000A6780000}"/>
    <cellStyle name="Normal 3 6 16 4" xfId="17364" xr:uid="{00000000-0005-0000-0000-0000A7780000}"/>
    <cellStyle name="Normal 3 6 16 4 2" xfId="34816" xr:uid="{00000000-0005-0000-0000-0000A8780000}"/>
    <cellStyle name="Normal 3 6 16 5" xfId="17365" xr:uid="{00000000-0005-0000-0000-0000A9780000}"/>
    <cellStyle name="Normal 3 6 16 5 2" xfId="34817" xr:uid="{00000000-0005-0000-0000-0000AA780000}"/>
    <cellStyle name="Normal 3 6 16 6" xfId="17366" xr:uid="{00000000-0005-0000-0000-0000AB780000}"/>
    <cellStyle name="Normal 3 6 16 6 2" xfId="34818" xr:uid="{00000000-0005-0000-0000-0000AC780000}"/>
    <cellStyle name="Normal 3 6 16 7" xfId="17367" xr:uid="{00000000-0005-0000-0000-0000AD780000}"/>
    <cellStyle name="Normal 3 6 16 7 2" xfId="34819" xr:uid="{00000000-0005-0000-0000-0000AE780000}"/>
    <cellStyle name="Normal 3 6 16 8" xfId="17368" xr:uid="{00000000-0005-0000-0000-0000AF780000}"/>
    <cellStyle name="Normal 3 6 16 8 2" xfId="34820" xr:uid="{00000000-0005-0000-0000-0000B0780000}"/>
    <cellStyle name="Normal 3 6 16 9" xfId="17369" xr:uid="{00000000-0005-0000-0000-0000B1780000}"/>
    <cellStyle name="Normal 3 6 16 9 2" xfId="34821" xr:uid="{00000000-0005-0000-0000-0000B2780000}"/>
    <cellStyle name="Normal 3 6 17" xfId="17370" xr:uid="{00000000-0005-0000-0000-0000B3780000}"/>
    <cellStyle name="Normal 3 6 17 10" xfId="17371" xr:uid="{00000000-0005-0000-0000-0000B4780000}"/>
    <cellStyle name="Normal 3 6 17 10 2" xfId="34823" xr:uid="{00000000-0005-0000-0000-0000B5780000}"/>
    <cellStyle name="Normal 3 6 17 11" xfId="17372" xr:uid="{00000000-0005-0000-0000-0000B6780000}"/>
    <cellStyle name="Normal 3 6 17 11 2" xfId="34824" xr:uid="{00000000-0005-0000-0000-0000B7780000}"/>
    <cellStyle name="Normal 3 6 17 12" xfId="17373" xr:uid="{00000000-0005-0000-0000-0000B8780000}"/>
    <cellStyle name="Normal 3 6 17 12 2" xfId="34825" xr:uid="{00000000-0005-0000-0000-0000B9780000}"/>
    <cellStyle name="Normal 3 6 17 13" xfId="17374" xr:uid="{00000000-0005-0000-0000-0000BA780000}"/>
    <cellStyle name="Normal 3 6 17 13 2" xfId="34826" xr:uid="{00000000-0005-0000-0000-0000BB780000}"/>
    <cellStyle name="Normal 3 6 17 14" xfId="17375" xr:uid="{00000000-0005-0000-0000-0000BC780000}"/>
    <cellStyle name="Normal 3 6 17 14 2" xfId="34827" xr:uid="{00000000-0005-0000-0000-0000BD780000}"/>
    <cellStyle name="Normal 3 6 17 15" xfId="34822" xr:uid="{00000000-0005-0000-0000-0000BE780000}"/>
    <cellStyle name="Normal 3 6 17 2" xfId="17376" xr:uid="{00000000-0005-0000-0000-0000BF780000}"/>
    <cellStyle name="Normal 3 6 17 2 2" xfId="34828" xr:uid="{00000000-0005-0000-0000-0000C0780000}"/>
    <cellStyle name="Normal 3 6 17 3" xfId="17377" xr:uid="{00000000-0005-0000-0000-0000C1780000}"/>
    <cellStyle name="Normal 3 6 17 3 2" xfId="34829" xr:uid="{00000000-0005-0000-0000-0000C2780000}"/>
    <cellStyle name="Normal 3 6 17 4" xfId="17378" xr:uid="{00000000-0005-0000-0000-0000C3780000}"/>
    <cellStyle name="Normal 3 6 17 4 2" xfId="34830" xr:uid="{00000000-0005-0000-0000-0000C4780000}"/>
    <cellStyle name="Normal 3 6 17 5" xfId="17379" xr:uid="{00000000-0005-0000-0000-0000C5780000}"/>
    <cellStyle name="Normal 3 6 17 5 2" xfId="34831" xr:uid="{00000000-0005-0000-0000-0000C6780000}"/>
    <cellStyle name="Normal 3 6 17 6" xfId="17380" xr:uid="{00000000-0005-0000-0000-0000C7780000}"/>
    <cellStyle name="Normal 3 6 17 6 2" xfId="34832" xr:uid="{00000000-0005-0000-0000-0000C8780000}"/>
    <cellStyle name="Normal 3 6 17 7" xfId="17381" xr:uid="{00000000-0005-0000-0000-0000C9780000}"/>
    <cellStyle name="Normal 3 6 17 7 2" xfId="34833" xr:uid="{00000000-0005-0000-0000-0000CA780000}"/>
    <cellStyle name="Normal 3 6 17 8" xfId="17382" xr:uid="{00000000-0005-0000-0000-0000CB780000}"/>
    <cellStyle name="Normal 3 6 17 8 2" xfId="34834" xr:uid="{00000000-0005-0000-0000-0000CC780000}"/>
    <cellStyle name="Normal 3 6 17 9" xfId="17383" xr:uid="{00000000-0005-0000-0000-0000CD780000}"/>
    <cellStyle name="Normal 3 6 17 9 2" xfId="34835" xr:uid="{00000000-0005-0000-0000-0000CE780000}"/>
    <cellStyle name="Normal 3 6 18" xfId="17384" xr:uid="{00000000-0005-0000-0000-0000CF780000}"/>
    <cellStyle name="Normal 3 6 18 10" xfId="17385" xr:uid="{00000000-0005-0000-0000-0000D0780000}"/>
    <cellStyle name="Normal 3 6 18 10 2" xfId="34837" xr:uid="{00000000-0005-0000-0000-0000D1780000}"/>
    <cellStyle name="Normal 3 6 18 11" xfId="17386" xr:uid="{00000000-0005-0000-0000-0000D2780000}"/>
    <cellStyle name="Normal 3 6 18 11 2" xfId="34838" xr:uid="{00000000-0005-0000-0000-0000D3780000}"/>
    <cellStyle name="Normal 3 6 18 12" xfId="17387" xr:uid="{00000000-0005-0000-0000-0000D4780000}"/>
    <cellStyle name="Normal 3 6 18 12 2" xfId="34839" xr:uid="{00000000-0005-0000-0000-0000D5780000}"/>
    <cellStyle name="Normal 3 6 18 13" xfId="17388" xr:uid="{00000000-0005-0000-0000-0000D6780000}"/>
    <cellStyle name="Normal 3 6 18 13 2" xfId="34840" xr:uid="{00000000-0005-0000-0000-0000D7780000}"/>
    <cellStyle name="Normal 3 6 18 14" xfId="17389" xr:uid="{00000000-0005-0000-0000-0000D8780000}"/>
    <cellStyle name="Normal 3 6 18 14 2" xfId="34841" xr:uid="{00000000-0005-0000-0000-0000D9780000}"/>
    <cellStyle name="Normal 3 6 18 15" xfId="34836" xr:uid="{00000000-0005-0000-0000-0000DA780000}"/>
    <cellStyle name="Normal 3 6 18 2" xfId="17390" xr:uid="{00000000-0005-0000-0000-0000DB780000}"/>
    <cellStyle name="Normal 3 6 18 2 2" xfId="34842" xr:uid="{00000000-0005-0000-0000-0000DC780000}"/>
    <cellStyle name="Normal 3 6 18 3" xfId="17391" xr:uid="{00000000-0005-0000-0000-0000DD780000}"/>
    <cellStyle name="Normal 3 6 18 3 2" xfId="34843" xr:uid="{00000000-0005-0000-0000-0000DE780000}"/>
    <cellStyle name="Normal 3 6 18 4" xfId="17392" xr:uid="{00000000-0005-0000-0000-0000DF780000}"/>
    <cellStyle name="Normal 3 6 18 4 2" xfId="34844" xr:uid="{00000000-0005-0000-0000-0000E0780000}"/>
    <cellStyle name="Normal 3 6 18 5" xfId="17393" xr:uid="{00000000-0005-0000-0000-0000E1780000}"/>
    <cellStyle name="Normal 3 6 18 5 2" xfId="34845" xr:uid="{00000000-0005-0000-0000-0000E2780000}"/>
    <cellStyle name="Normal 3 6 18 6" xfId="17394" xr:uid="{00000000-0005-0000-0000-0000E3780000}"/>
    <cellStyle name="Normal 3 6 18 6 2" xfId="34846" xr:uid="{00000000-0005-0000-0000-0000E4780000}"/>
    <cellStyle name="Normal 3 6 18 7" xfId="17395" xr:uid="{00000000-0005-0000-0000-0000E5780000}"/>
    <cellStyle name="Normal 3 6 18 7 2" xfId="34847" xr:uid="{00000000-0005-0000-0000-0000E6780000}"/>
    <cellStyle name="Normal 3 6 18 8" xfId="17396" xr:uid="{00000000-0005-0000-0000-0000E7780000}"/>
    <cellStyle name="Normal 3 6 18 8 2" xfId="34848" xr:uid="{00000000-0005-0000-0000-0000E8780000}"/>
    <cellStyle name="Normal 3 6 18 9" xfId="17397" xr:uid="{00000000-0005-0000-0000-0000E9780000}"/>
    <cellStyle name="Normal 3 6 18 9 2" xfId="34849" xr:uid="{00000000-0005-0000-0000-0000EA780000}"/>
    <cellStyle name="Normal 3 6 19" xfId="17398" xr:uid="{00000000-0005-0000-0000-0000EB780000}"/>
    <cellStyle name="Normal 3 6 19 10" xfId="17399" xr:uid="{00000000-0005-0000-0000-0000EC780000}"/>
    <cellStyle name="Normal 3 6 19 10 2" xfId="34851" xr:uid="{00000000-0005-0000-0000-0000ED780000}"/>
    <cellStyle name="Normal 3 6 19 11" xfId="17400" xr:uid="{00000000-0005-0000-0000-0000EE780000}"/>
    <cellStyle name="Normal 3 6 19 11 2" xfId="34852" xr:uid="{00000000-0005-0000-0000-0000EF780000}"/>
    <cellStyle name="Normal 3 6 19 12" xfId="17401" xr:uid="{00000000-0005-0000-0000-0000F0780000}"/>
    <cellStyle name="Normal 3 6 19 12 2" xfId="34853" xr:uid="{00000000-0005-0000-0000-0000F1780000}"/>
    <cellStyle name="Normal 3 6 19 13" xfId="17402" xr:uid="{00000000-0005-0000-0000-0000F2780000}"/>
    <cellStyle name="Normal 3 6 19 13 2" xfId="34854" xr:uid="{00000000-0005-0000-0000-0000F3780000}"/>
    <cellStyle name="Normal 3 6 19 14" xfId="17403" xr:uid="{00000000-0005-0000-0000-0000F4780000}"/>
    <cellStyle name="Normal 3 6 19 14 2" xfId="34855" xr:uid="{00000000-0005-0000-0000-0000F5780000}"/>
    <cellStyle name="Normal 3 6 19 15" xfId="34850" xr:uid="{00000000-0005-0000-0000-0000F6780000}"/>
    <cellStyle name="Normal 3 6 19 2" xfId="17404" xr:uid="{00000000-0005-0000-0000-0000F7780000}"/>
    <cellStyle name="Normal 3 6 19 2 2" xfId="34856" xr:uid="{00000000-0005-0000-0000-0000F8780000}"/>
    <cellStyle name="Normal 3 6 19 3" xfId="17405" xr:uid="{00000000-0005-0000-0000-0000F9780000}"/>
    <cellStyle name="Normal 3 6 19 3 2" xfId="34857" xr:uid="{00000000-0005-0000-0000-0000FA780000}"/>
    <cellStyle name="Normal 3 6 19 4" xfId="17406" xr:uid="{00000000-0005-0000-0000-0000FB780000}"/>
    <cellStyle name="Normal 3 6 19 4 2" xfId="34858" xr:uid="{00000000-0005-0000-0000-0000FC780000}"/>
    <cellStyle name="Normal 3 6 19 5" xfId="17407" xr:uid="{00000000-0005-0000-0000-0000FD780000}"/>
    <cellStyle name="Normal 3 6 19 5 2" xfId="34859" xr:uid="{00000000-0005-0000-0000-0000FE780000}"/>
    <cellStyle name="Normal 3 6 19 6" xfId="17408" xr:uid="{00000000-0005-0000-0000-0000FF780000}"/>
    <cellStyle name="Normal 3 6 19 6 2" xfId="34860" xr:uid="{00000000-0005-0000-0000-000000790000}"/>
    <cellStyle name="Normal 3 6 19 7" xfId="17409" xr:uid="{00000000-0005-0000-0000-000001790000}"/>
    <cellStyle name="Normal 3 6 19 7 2" xfId="34861" xr:uid="{00000000-0005-0000-0000-000002790000}"/>
    <cellStyle name="Normal 3 6 19 8" xfId="17410" xr:uid="{00000000-0005-0000-0000-000003790000}"/>
    <cellStyle name="Normal 3 6 19 8 2" xfId="34862" xr:uid="{00000000-0005-0000-0000-000004790000}"/>
    <cellStyle name="Normal 3 6 19 9" xfId="17411" xr:uid="{00000000-0005-0000-0000-000005790000}"/>
    <cellStyle name="Normal 3 6 19 9 2" xfId="34863" xr:uid="{00000000-0005-0000-0000-000006790000}"/>
    <cellStyle name="Normal 3 6 2" xfId="17412" xr:uid="{00000000-0005-0000-0000-000007790000}"/>
    <cellStyle name="Normal 3 6 20" xfId="17413" xr:uid="{00000000-0005-0000-0000-000008790000}"/>
    <cellStyle name="Normal 3 6 20 10" xfId="17414" xr:uid="{00000000-0005-0000-0000-000009790000}"/>
    <cellStyle name="Normal 3 6 20 10 2" xfId="34865" xr:uid="{00000000-0005-0000-0000-00000A790000}"/>
    <cellStyle name="Normal 3 6 20 11" xfId="17415" xr:uid="{00000000-0005-0000-0000-00000B790000}"/>
    <cellStyle name="Normal 3 6 20 11 2" xfId="34866" xr:uid="{00000000-0005-0000-0000-00000C790000}"/>
    <cellStyle name="Normal 3 6 20 12" xfId="17416" xr:uid="{00000000-0005-0000-0000-00000D790000}"/>
    <cellStyle name="Normal 3 6 20 12 2" xfId="34867" xr:uid="{00000000-0005-0000-0000-00000E790000}"/>
    <cellStyle name="Normal 3 6 20 13" xfId="17417" xr:uid="{00000000-0005-0000-0000-00000F790000}"/>
    <cellStyle name="Normal 3 6 20 13 2" xfId="34868" xr:uid="{00000000-0005-0000-0000-000010790000}"/>
    <cellStyle name="Normal 3 6 20 14" xfId="17418" xr:uid="{00000000-0005-0000-0000-000011790000}"/>
    <cellStyle name="Normal 3 6 20 14 2" xfId="34869" xr:uid="{00000000-0005-0000-0000-000012790000}"/>
    <cellStyle name="Normal 3 6 20 15" xfId="34864" xr:uid="{00000000-0005-0000-0000-000013790000}"/>
    <cellStyle name="Normal 3 6 20 2" xfId="17419" xr:uid="{00000000-0005-0000-0000-000014790000}"/>
    <cellStyle name="Normal 3 6 20 2 2" xfId="34870" xr:uid="{00000000-0005-0000-0000-000015790000}"/>
    <cellStyle name="Normal 3 6 20 3" xfId="17420" xr:uid="{00000000-0005-0000-0000-000016790000}"/>
    <cellStyle name="Normal 3 6 20 3 2" xfId="34871" xr:uid="{00000000-0005-0000-0000-000017790000}"/>
    <cellStyle name="Normal 3 6 20 4" xfId="17421" xr:uid="{00000000-0005-0000-0000-000018790000}"/>
    <cellStyle name="Normal 3 6 20 4 2" xfId="34872" xr:uid="{00000000-0005-0000-0000-000019790000}"/>
    <cellStyle name="Normal 3 6 20 5" xfId="17422" xr:uid="{00000000-0005-0000-0000-00001A790000}"/>
    <cellStyle name="Normal 3 6 20 5 2" xfId="34873" xr:uid="{00000000-0005-0000-0000-00001B790000}"/>
    <cellStyle name="Normal 3 6 20 6" xfId="17423" xr:uid="{00000000-0005-0000-0000-00001C790000}"/>
    <cellStyle name="Normal 3 6 20 6 2" xfId="34874" xr:uid="{00000000-0005-0000-0000-00001D790000}"/>
    <cellStyle name="Normal 3 6 20 7" xfId="17424" xr:uid="{00000000-0005-0000-0000-00001E790000}"/>
    <cellStyle name="Normal 3 6 20 7 2" xfId="34875" xr:uid="{00000000-0005-0000-0000-00001F790000}"/>
    <cellStyle name="Normal 3 6 20 8" xfId="17425" xr:uid="{00000000-0005-0000-0000-000020790000}"/>
    <cellStyle name="Normal 3 6 20 8 2" xfId="34876" xr:uid="{00000000-0005-0000-0000-000021790000}"/>
    <cellStyle name="Normal 3 6 20 9" xfId="17426" xr:uid="{00000000-0005-0000-0000-000022790000}"/>
    <cellStyle name="Normal 3 6 20 9 2" xfId="34877" xr:uid="{00000000-0005-0000-0000-000023790000}"/>
    <cellStyle name="Normal 3 6 21" xfId="17427" xr:uid="{00000000-0005-0000-0000-000024790000}"/>
    <cellStyle name="Normal 3 6 21 10" xfId="17428" xr:uid="{00000000-0005-0000-0000-000025790000}"/>
    <cellStyle name="Normal 3 6 21 10 2" xfId="34879" xr:uid="{00000000-0005-0000-0000-000026790000}"/>
    <cellStyle name="Normal 3 6 21 11" xfId="17429" xr:uid="{00000000-0005-0000-0000-000027790000}"/>
    <cellStyle name="Normal 3 6 21 11 2" xfId="34880" xr:uid="{00000000-0005-0000-0000-000028790000}"/>
    <cellStyle name="Normal 3 6 21 12" xfId="17430" xr:uid="{00000000-0005-0000-0000-000029790000}"/>
    <cellStyle name="Normal 3 6 21 12 2" xfId="34881" xr:uid="{00000000-0005-0000-0000-00002A790000}"/>
    <cellStyle name="Normal 3 6 21 13" xfId="17431" xr:uid="{00000000-0005-0000-0000-00002B790000}"/>
    <cellStyle name="Normal 3 6 21 13 2" xfId="34882" xr:uid="{00000000-0005-0000-0000-00002C790000}"/>
    <cellStyle name="Normal 3 6 21 14" xfId="17432" xr:uid="{00000000-0005-0000-0000-00002D790000}"/>
    <cellStyle name="Normal 3 6 21 14 2" xfId="34883" xr:uid="{00000000-0005-0000-0000-00002E790000}"/>
    <cellStyle name="Normal 3 6 21 15" xfId="34878" xr:uid="{00000000-0005-0000-0000-00002F790000}"/>
    <cellStyle name="Normal 3 6 21 2" xfId="17433" xr:uid="{00000000-0005-0000-0000-000030790000}"/>
    <cellStyle name="Normal 3 6 21 2 2" xfId="34884" xr:uid="{00000000-0005-0000-0000-000031790000}"/>
    <cellStyle name="Normal 3 6 21 3" xfId="17434" xr:uid="{00000000-0005-0000-0000-000032790000}"/>
    <cellStyle name="Normal 3 6 21 3 2" xfId="34885" xr:uid="{00000000-0005-0000-0000-000033790000}"/>
    <cellStyle name="Normal 3 6 21 4" xfId="17435" xr:uid="{00000000-0005-0000-0000-000034790000}"/>
    <cellStyle name="Normal 3 6 21 4 2" xfId="34886" xr:uid="{00000000-0005-0000-0000-000035790000}"/>
    <cellStyle name="Normal 3 6 21 5" xfId="17436" xr:uid="{00000000-0005-0000-0000-000036790000}"/>
    <cellStyle name="Normal 3 6 21 5 2" xfId="34887" xr:uid="{00000000-0005-0000-0000-000037790000}"/>
    <cellStyle name="Normal 3 6 21 6" xfId="17437" xr:uid="{00000000-0005-0000-0000-000038790000}"/>
    <cellStyle name="Normal 3 6 21 6 2" xfId="34888" xr:uid="{00000000-0005-0000-0000-000039790000}"/>
    <cellStyle name="Normal 3 6 21 7" xfId="17438" xr:uid="{00000000-0005-0000-0000-00003A790000}"/>
    <cellStyle name="Normal 3 6 21 7 2" xfId="34889" xr:uid="{00000000-0005-0000-0000-00003B790000}"/>
    <cellStyle name="Normal 3 6 21 8" xfId="17439" xr:uid="{00000000-0005-0000-0000-00003C790000}"/>
    <cellStyle name="Normal 3 6 21 8 2" xfId="34890" xr:uid="{00000000-0005-0000-0000-00003D790000}"/>
    <cellStyle name="Normal 3 6 21 9" xfId="17440" xr:uid="{00000000-0005-0000-0000-00003E790000}"/>
    <cellStyle name="Normal 3 6 21 9 2" xfId="34891" xr:uid="{00000000-0005-0000-0000-00003F790000}"/>
    <cellStyle name="Normal 3 6 22" xfId="17441" xr:uid="{00000000-0005-0000-0000-000040790000}"/>
    <cellStyle name="Normal 3 6 22 10" xfId="17442" xr:uid="{00000000-0005-0000-0000-000041790000}"/>
    <cellStyle name="Normal 3 6 22 10 2" xfId="34893" xr:uid="{00000000-0005-0000-0000-000042790000}"/>
    <cellStyle name="Normal 3 6 22 11" xfId="17443" xr:uid="{00000000-0005-0000-0000-000043790000}"/>
    <cellStyle name="Normal 3 6 22 11 2" xfId="34894" xr:uid="{00000000-0005-0000-0000-000044790000}"/>
    <cellStyle name="Normal 3 6 22 12" xfId="17444" xr:uid="{00000000-0005-0000-0000-000045790000}"/>
    <cellStyle name="Normal 3 6 22 12 2" xfId="34895" xr:uid="{00000000-0005-0000-0000-000046790000}"/>
    <cellStyle name="Normal 3 6 22 13" xfId="17445" xr:uid="{00000000-0005-0000-0000-000047790000}"/>
    <cellStyle name="Normal 3 6 22 13 2" xfId="34896" xr:uid="{00000000-0005-0000-0000-000048790000}"/>
    <cellStyle name="Normal 3 6 22 14" xfId="17446" xr:uid="{00000000-0005-0000-0000-000049790000}"/>
    <cellStyle name="Normal 3 6 22 14 2" xfId="34897" xr:uid="{00000000-0005-0000-0000-00004A790000}"/>
    <cellStyle name="Normal 3 6 22 15" xfId="34892" xr:uid="{00000000-0005-0000-0000-00004B790000}"/>
    <cellStyle name="Normal 3 6 22 2" xfId="17447" xr:uid="{00000000-0005-0000-0000-00004C790000}"/>
    <cellStyle name="Normal 3 6 22 2 2" xfId="34898" xr:uid="{00000000-0005-0000-0000-00004D790000}"/>
    <cellStyle name="Normal 3 6 22 3" xfId="17448" xr:uid="{00000000-0005-0000-0000-00004E790000}"/>
    <cellStyle name="Normal 3 6 22 3 2" xfId="34899" xr:uid="{00000000-0005-0000-0000-00004F790000}"/>
    <cellStyle name="Normal 3 6 22 4" xfId="17449" xr:uid="{00000000-0005-0000-0000-000050790000}"/>
    <cellStyle name="Normal 3 6 22 4 2" xfId="34900" xr:uid="{00000000-0005-0000-0000-000051790000}"/>
    <cellStyle name="Normal 3 6 22 5" xfId="17450" xr:uid="{00000000-0005-0000-0000-000052790000}"/>
    <cellStyle name="Normal 3 6 22 5 2" xfId="34901" xr:uid="{00000000-0005-0000-0000-000053790000}"/>
    <cellStyle name="Normal 3 6 22 6" xfId="17451" xr:uid="{00000000-0005-0000-0000-000054790000}"/>
    <cellStyle name="Normal 3 6 22 6 2" xfId="34902" xr:uid="{00000000-0005-0000-0000-000055790000}"/>
    <cellStyle name="Normal 3 6 22 7" xfId="17452" xr:uid="{00000000-0005-0000-0000-000056790000}"/>
    <cellStyle name="Normal 3 6 22 7 2" xfId="34903" xr:uid="{00000000-0005-0000-0000-000057790000}"/>
    <cellStyle name="Normal 3 6 22 8" xfId="17453" xr:uid="{00000000-0005-0000-0000-000058790000}"/>
    <cellStyle name="Normal 3 6 22 8 2" xfId="34904" xr:uid="{00000000-0005-0000-0000-000059790000}"/>
    <cellStyle name="Normal 3 6 22 9" xfId="17454" xr:uid="{00000000-0005-0000-0000-00005A790000}"/>
    <cellStyle name="Normal 3 6 22 9 2" xfId="34905" xr:uid="{00000000-0005-0000-0000-00005B790000}"/>
    <cellStyle name="Normal 3 6 23" xfId="17455" xr:uid="{00000000-0005-0000-0000-00005C790000}"/>
    <cellStyle name="Normal 3 6 24" xfId="17456" xr:uid="{00000000-0005-0000-0000-00005D790000}"/>
    <cellStyle name="Normal 3 6 25" xfId="17457" xr:uid="{00000000-0005-0000-0000-00005E790000}"/>
    <cellStyle name="Normal 3 6 25 10" xfId="17458" xr:uid="{00000000-0005-0000-0000-00005F790000}"/>
    <cellStyle name="Normal 3 6 25 10 2" xfId="34907" xr:uid="{00000000-0005-0000-0000-000060790000}"/>
    <cellStyle name="Normal 3 6 25 11" xfId="17459" xr:uid="{00000000-0005-0000-0000-000061790000}"/>
    <cellStyle name="Normal 3 6 25 11 2" xfId="34908" xr:uid="{00000000-0005-0000-0000-000062790000}"/>
    <cellStyle name="Normal 3 6 25 12" xfId="17460" xr:uid="{00000000-0005-0000-0000-000063790000}"/>
    <cellStyle name="Normal 3 6 25 12 2" xfId="34909" xr:uid="{00000000-0005-0000-0000-000064790000}"/>
    <cellStyle name="Normal 3 6 25 13" xfId="17461" xr:uid="{00000000-0005-0000-0000-000065790000}"/>
    <cellStyle name="Normal 3 6 25 13 2" xfId="34910" xr:uid="{00000000-0005-0000-0000-000066790000}"/>
    <cellStyle name="Normal 3 6 25 14" xfId="17462" xr:uid="{00000000-0005-0000-0000-000067790000}"/>
    <cellStyle name="Normal 3 6 25 14 2" xfId="34911" xr:uid="{00000000-0005-0000-0000-000068790000}"/>
    <cellStyle name="Normal 3 6 25 15" xfId="34906" xr:uid="{00000000-0005-0000-0000-000069790000}"/>
    <cellStyle name="Normal 3 6 25 2" xfId="17463" xr:uid="{00000000-0005-0000-0000-00006A790000}"/>
    <cellStyle name="Normal 3 6 25 2 2" xfId="34912" xr:uid="{00000000-0005-0000-0000-00006B790000}"/>
    <cellStyle name="Normal 3 6 25 3" xfId="17464" xr:uid="{00000000-0005-0000-0000-00006C790000}"/>
    <cellStyle name="Normal 3 6 25 3 2" xfId="34913" xr:uid="{00000000-0005-0000-0000-00006D790000}"/>
    <cellStyle name="Normal 3 6 25 4" xfId="17465" xr:uid="{00000000-0005-0000-0000-00006E790000}"/>
    <cellStyle name="Normal 3 6 25 4 2" xfId="34914" xr:uid="{00000000-0005-0000-0000-00006F790000}"/>
    <cellStyle name="Normal 3 6 25 5" xfId="17466" xr:uid="{00000000-0005-0000-0000-000070790000}"/>
    <cellStyle name="Normal 3 6 25 5 2" xfId="34915" xr:uid="{00000000-0005-0000-0000-000071790000}"/>
    <cellStyle name="Normal 3 6 25 6" xfId="17467" xr:uid="{00000000-0005-0000-0000-000072790000}"/>
    <cellStyle name="Normal 3 6 25 6 2" xfId="34916" xr:uid="{00000000-0005-0000-0000-000073790000}"/>
    <cellStyle name="Normal 3 6 25 7" xfId="17468" xr:uid="{00000000-0005-0000-0000-000074790000}"/>
    <cellStyle name="Normal 3 6 25 7 2" xfId="34917" xr:uid="{00000000-0005-0000-0000-000075790000}"/>
    <cellStyle name="Normal 3 6 25 8" xfId="17469" xr:uid="{00000000-0005-0000-0000-000076790000}"/>
    <cellStyle name="Normal 3 6 25 8 2" xfId="34918" xr:uid="{00000000-0005-0000-0000-000077790000}"/>
    <cellStyle name="Normal 3 6 25 9" xfId="17470" xr:uid="{00000000-0005-0000-0000-000078790000}"/>
    <cellStyle name="Normal 3 6 25 9 2" xfId="34919" xr:uid="{00000000-0005-0000-0000-000079790000}"/>
    <cellStyle name="Normal 3 6 26" xfId="17471" xr:uid="{00000000-0005-0000-0000-00007A790000}"/>
    <cellStyle name="Normal 3 6 26 10" xfId="17472" xr:uid="{00000000-0005-0000-0000-00007B790000}"/>
    <cellStyle name="Normal 3 6 26 10 2" xfId="34921" xr:uid="{00000000-0005-0000-0000-00007C790000}"/>
    <cellStyle name="Normal 3 6 26 11" xfId="17473" xr:uid="{00000000-0005-0000-0000-00007D790000}"/>
    <cellStyle name="Normal 3 6 26 11 2" xfId="34922" xr:uid="{00000000-0005-0000-0000-00007E790000}"/>
    <cellStyle name="Normal 3 6 26 12" xfId="17474" xr:uid="{00000000-0005-0000-0000-00007F790000}"/>
    <cellStyle name="Normal 3 6 26 12 2" xfId="34923" xr:uid="{00000000-0005-0000-0000-000080790000}"/>
    <cellStyle name="Normal 3 6 26 13" xfId="17475" xr:uid="{00000000-0005-0000-0000-000081790000}"/>
    <cellStyle name="Normal 3 6 26 13 2" xfId="34924" xr:uid="{00000000-0005-0000-0000-000082790000}"/>
    <cellStyle name="Normal 3 6 26 14" xfId="17476" xr:uid="{00000000-0005-0000-0000-000083790000}"/>
    <cellStyle name="Normal 3 6 26 14 2" xfId="34925" xr:uid="{00000000-0005-0000-0000-000084790000}"/>
    <cellStyle name="Normal 3 6 26 15" xfId="34920" xr:uid="{00000000-0005-0000-0000-000085790000}"/>
    <cellStyle name="Normal 3 6 26 2" xfId="17477" xr:uid="{00000000-0005-0000-0000-000086790000}"/>
    <cellStyle name="Normal 3 6 26 2 2" xfId="34926" xr:uid="{00000000-0005-0000-0000-000087790000}"/>
    <cellStyle name="Normal 3 6 26 3" xfId="17478" xr:uid="{00000000-0005-0000-0000-000088790000}"/>
    <cellStyle name="Normal 3 6 26 3 2" xfId="34927" xr:uid="{00000000-0005-0000-0000-000089790000}"/>
    <cellStyle name="Normal 3 6 26 4" xfId="17479" xr:uid="{00000000-0005-0000-0000-00008A790000}"/>
    <cellStyle name="Normal 3 6 26 4 2" xfId="34928" xr:uid="{00000000-0005-0000-0000-00008B790000}"/>
    <cellStyle name="Normal 3 6 26 5" xfId="17480" xr:uid="{00000000-0005-0000-0000-00008C790000}"/>
    <cellStyle name="Normal 3 6 26 5 2" xfId="34929" xr:uid="{00000000-0005-0000-0000-00008D790000}"/>
    <cellStyle name="Normal 3 6 26 6" xfId="17481" xr:uid="{00000000-0005-0000-0000-00008E790000}"/>
    <cellStyle name="Normal 3 6 26 6 2" xfId="34930" xr:uid="{00000000-0005-0000-0000-00008F790000}"/>
    <cellStyle name="Normal 3 6 26 7" xfId="17482" xr:uid="{00000000-0005-0000-0000-000090790000}"/>
    <cellStyle name="Normal 3 6 26 7 2" xfId="34931" xr:uid="{00000000-0005-0000-0000-000091790000}"/>
    <cellStyle name="Normal 3 6 26 8" xfId="17483" xr:uid="{00000000-0005-0000-0000-000092790000}"/>
    <cellStyle name="Normal 3 6 26 8 2" xfId="34932" xr:uid="{00000000-0005-0000-0000-000093790000}"/>
    <cellStyle name="Normal 3 6 26 9" xfId="17484" xr:uid="{00000000-0005-0000-0000-000094790000}"/>
    <cellStyle name="Normal 3 6 26 9 2" xfId="34933" xr:uid="{00000000-0005-0000-0000-000095790000}"/>
    <cellStyle name="Normal 3 6 3" xfId="17485" xr:uid="{00000000-0005-0000-0000-000096790000}"/>
    <cellStyle name="Normal 3 6 4" xfId="17486" xr:uid="{00000000-0005-0000-0000-000097790000}"/>
    <cellStyle name="Normal 3 6 5" xfId="17487" xr:uid="{00000000-0005-0000-0000-000098790000}"/>
    <cellStyle name="Normal 3 6 6" xfId="17488" xr:uid="{00000000-0005-0000-0000-000099790000}"/>
    <cellStyle name="Normal 3 6 7" xfId="17489" xr:uid="{00000000-0005-0000-0000-00009A790000}"/>
    <cellStyle name="Normal 3 6 8" xfId="17490" xr:uid="{00000000-0005-0000-0000-00009B790000}"/>
    <cellStyle name="Normal 3 6 9" xfId="17491" xr:uid="{00000000-0005-0000-0000-00009C790000}"/>
    <cellStyle name="Normal 3 7" xfId="17492" xr:uid="{00000000-0005-0000-0000-00009D790000}"/>
    <cellStyle name="Normal 3 7 10" xfId="17493" xr:uid="{00000000-0005-0000-0000-00009E790000}"/>
    <cellStyle name="Normal 3 7 11" xfId="17494" xr:uid="{00000000-0005-0000-0000-00009F790000}"/>
    <cellStyle name="Normal 3 7 11 10" xfId="17495" xr:uid="{00000000-0005-0000-0000-0000A0790000}"/>
    <cellStyle name="Normal 3 7 11 10 2" xfId="34935" xr:uid="{00000000-0005-0000-0000-0000A1790000}"/>
    <cellStyle name="Normal 3 7 11 11" xfId="17496" xr:uid="{00000000-0005-0000-0000-0000A2790000}"/>
    <cellStyle name="Normal 3 7 11 11 2" xfId="34936" xr:uid="{00000000-0005-0000-0000-0000A3790000}"/>
    <cellStyle name="Normal 3 7 11 12" xfId="17497" xr:uid="{00000000-0005-0000-0000-0000A4790000}"/>
    <cellStyle name="Normal 3 7 11 12 2" xfId="34937" xr:uid="{00000000-0005-0000-0000-0000A5790000}"/>
    <cellStyle name="Normal 3 7 11 13" xfId="17498" xr:uid="{00000000-0005-0000-0000-0000A6790000}"/>
    <cellStyle name="Normal 3 7 11 13 2" xfId="34938" xr:uid="{00000000-0005-0000-0000-0000A7790000}"/>
    <cellStyle name="Normal 3 7 11 14" xfId="17499" xr:uid="{00000000-0005-0000-0000-0000A8790000}"/>
    <cellStyle name="Normal 3 7 11 14 2" xfId="34939" xr:uid="{00000000-0005-0000-0000-0000A9790000}"/>
    <cellStyle name="Normal 3 7 11 15" xfId="17500" xr:uid="{00000000-0005-0000-0000-0000AA790000}"/>
    <cellStyle name="Normal 3 7 11 15 2" xfId="34940" xr:uid="{00000000-0005-0000-0000-0000AB790000}"/>
    <cellStyle name="Normal 3 7 11 16" xfId="17501" xr:uid="{00000000-0005-0000-0000-0000AC790000}"/>
    <cellStyle name="Normal 3 7 11 16 2" xfId="34941" xr:uid="{00000000-0005-0000-0000-0000AD790000}"/>
    <cellStyle name="Normal 3 7 11 17" xfId="17502" xr:uid="{00000000-0005-0000-0000-0000AE790000}"/>
    <cellStyle name="Normal 3 7 11 17 2" xfId="34942" xr:uid="{00000000-0005-0000-0000-0000AF790000}"/>
    <cellStyle name="Normal 3 7 11 18" xfId="34934" xr:uid="{00000000-0005-0000-0000-0000B0790000}"/>
    <cellStyle name="Normal 3 7 11 2" xfId="17503" xr:uid="{00000000-0005-0000-0000-0000B1790000}"/>
    <cellStyle name="Normal 3 7 11 3" xfId="17504" xr:uid="{00000000-0005-0000-0000-0000B2790000}"/>
    <cellStyle name="Normal 3 7 11 4" xfId="17505" xr:uid="{00000000-0005-0000-0000-0000B3790000}"/>
    <cellStyle name="Normal 3 7 11 5" xfId="17506" xr:uid="{00000000-0005-0000-0000-0000B4790000}"/>
    <cellStyle name="Normal 3 7 11 5 2" xfId="34943" xr:uid="{00000000-0005-0000-0000-0000B5790000}"/>
    <cellStyle name="Normal 3 7 11 6" xfId="17507" xr:uid="{00000000-0005-0000-0000-0000B6790000}"/>
    <cellStyle name="Normal 3 7 11 6 2" xfId="34944" xr:uid="{00000000-0005-0000-0000-0000B7790000}"/>
    <cellStyle name="Normal 3 7 11 7" xfId="17508" xr:uid="{00000000-0005-0000-0000-0000B8790000}"/>
    <cellStyle name="Normal 3 7 11 7 2" xfId="34945" xr:uid="{00000000-0005-0000-0000-0000B9790000}"/>
    <cellStyle name="Normal 3 7 11 8" xfId="17509" xr:uid="{00000000-0005-0000-0000-0000BA790000}"/>
    <cellStyle name="Normal 3 7 11 8 2" xfId="34946" xr:uid="{00000000-0005-0000-0000-0000BB790000}"/>
    <cellStyle name="Normal 3 7 11 9" xfId="17510" xr:uid="{00000000-0005-0000-0000-0000BC790000}"/>
    <cellStyle name="Normal 3 7 11 9 2" xfId="34947" xr:uid="{00000000-0005-0000-0000-0000BD790000}"/>
    <cellStyle name="Normal 3 7 12" xfId="17511" xr:uid="{00000000-0005-0000-0000-0000BE790000}"/>
    <cellStyle name="Normal 3 7 13" xfId="17512" xr:uid="{00000000-0005-0000-0000-0000BF790000}"/>
    <cellStyle name="Normal 3 7 14" xfId="17513" xr:uid="{00000000-0005-0000-0000-0000C0790000}"/>
    <cellStyle name="Normal 3 7 14 10" xfId="17514" xr:uid="{00000000-0005-0000-0000-0000C1790000}"/>
    <cellStyle name="Normal 3 7 14 10 2" xfId="34949" xr:uid="{00000000-0005-0000-0000-0000C2790000}"/>
    <cellStyle name="Normal 3 7 14 11" xfId="17515" xr:uid="{00000000-0005-0000-0000-0000C3790000}"/>
    <cellStyle name="Normal 3 7 14 11 2" xfId="34950" xr:uid="{00000000-0005-0000-0000-0000C4790000}"/>
    <cellStyle name="Normal 3 7 14 12" xfId="17516" xr:uid="{00000000-0005-0000-0000-0000C5790000}"/>
    <cellStyle name="Normal 3 7 14 12 2" xfId="34951" xr:uid="{00000000-0005-0000-0000-0000C6790000}"/>
    <cellStyle name="Normal 3 7 14 13" xfId="17517" xr:uid="{00000000-0005-0000-0000-0000C7790000}"/>
    <cellStyle name="Normal 3 7 14 13 2" xfId="34952" xr:uid="{00000000-0005-0000-0000-0000C8790000}"/>
    <cellStyle name="Normal 3 7 14 14" xfId="17518" xr:uid="{00000000-0005-0000-0000-0000C9790000}"/>
    <cellStyle name="Normal 3 7 14 14 2" xfId="34953" xr:uid="{00000000-0005-0000-0000-0000CA790000}"/>
    <cellStyle name="Normal 3 7 14 15" xfId="17519" xr:uid="{00000000-0005-0000-0000-0000CB790000}"/>
    <cellStyle name="Normal 3 7 14 15 2" xfId="34954" xr:uid="{00000000-0005-0000-0000-0000CC790000}"/>
    <cellStyle name="Normal 3 7 14 16" xfId="34948" xr:uid="{00000000-0005-0000-0000-0000CD790000}"/>
    <cellStyle name="Normal 3 7 14 2" xfId="17520" xr:uid="{00000000-0005-0000-0000-0000CE790000}"/>
    <cellStyle name="Normal 3 7 14 2 10" xfId="17521" xr:uid="{00000000-0005-0000-0000-0000CF790000}"/>
    <cellStyle name="Normal 3 7 14 2 10 2" xfId="34956" xr:uid="{00000000-0005-0000-0000-0000D0790000}"/>
    <cellStyle name="Normal 3 7 14 2 11" xfId="17522" xr:uid="{00000000-0005-0000-0000-0000D1790000}"/>
    <cellStyle name="Normal 3 7 14 2 11 2" xfId="34957" xr:uid="{00000000-0005-0000-0000-0000D2790000}"/>
    <cellStyle name="Normal 3 7 14 2 12" xfId="17523" xr:uid="{00000000-0005-0000-0000-0000D3790000}"/>
    <cellStyle name="Normal 3 7 14 2 12 2" xfId="34958" xr:uid="{00000000-0005-0000-0000-0000D4790000}"/>
    <cellStyle name="Normal 3 7 14 2 13" xfId="17524" xr:uid="{00000000-0005-0000-0000-0000D5790000}"/>
    <cellStyle name="Normal 3 7 14 2 13 2" xfId="34959" xr:uid="{00000000-0005-0000-0000-0000D6790000}"/>
    <cellStyle name="Normal 3 7 14 2 14" xfId="17525" xr:uid="{00000000-0005-0000-0000-0000D7790000}"/>
    <cellStyle name="Normal 3 7 14 2 14 2" xfId="34960" xr:uid="{00000000-0005-0000-0000-0000D8790000}"/>
    <cellStyle name="Normal 3 7 14 2 15" xfId="34955" xr:uid="{00000000-0005-0000-0000-0000D9790000}"/>
    <cellStyle name="Normal 3 7 14 2 2" xfId="17526" xr:uid="{00000000-0005-0000-0000-0000DA790000}"/>
    <cellStyle name="Normal 3 7 14 2 2 2" xfId="34961" xr:uid="{00000000-0005-0000-0000-0000DB790000}"/>
    <cellStyle name="Normal 3 7 14 2 3" xfId="17527" xr:uid="{00000000-0005-0000-0000-0000DC790000}"/>
    <cellStyle name="Normal 3 7 14 2 3 2" xfId="34962" xr:uid="{00000000-0005-0000-0000-0000DD790000}"/>
    <cellStyle name="Normal 3 7 14 2 4" xfId="17528" xr:uid="{00000000-0005-0000-0000-0000DE790000}"/>
    <cellStyle name="Normal 3 7 14 2 4 2" xfId="34963" xr:uid="{00000000-0005-0000-0000-0000DF790000}"/>
    <cellStyle name="Normal 3 7 14 2 5" xfId="17529" xr:uid="{00000000-0005-0000-0000-0000E0790000}"/>
    <cellStyle name="Normal 3 7 14 2 5 2" xfId="34964" xr:uid="{00000000-0005-0000-0000-0000E1790000}"/>
    <cellStyle name="Normal 3 7 14 2 6" xfId="17530" xr:uid="{00000000-0005-0000-0000-0000E2790000}"/>
    <cellStyle name="Normal 3 7 14 2 6 2" xfId="34965" xr:uid="{00000000-0005-0000-0000-0000E3790000}"/>
    <cellStyle name="Normal 3 7 14 2 7" xfId="17531" xr:uid="{00000000-0005-0000-0000-0000E4790000}"/>
    <cellStyle name="Normal 3 7 14 2 7 2" xfId="34966" xr:uid="{00000000-0005-0000-0000-0000E5790000}"/>
    <cellStyle name="Normal 3 7 14 2 8" xfId="17532" xr:uid="{00000000-0005-0000-0000-0000E6790000}"/>
    <cellStyle name="Normal 3 7 14 2 8 2" xfId="34967" xr:uid="{00000000-0005-0000-0000-0000E7790000}"/>
    <cellStyle name="Normal 3 7 14 2 9" xfId="17533" xr:uid="{00000000-0005-0000-0000-0000E8790000}"/>
    <cellStyle name="Normal 3 7 14 2 9 2" xfId="34968" xr:uid="{00000000-0005-0000-0000-0000E9790000}"/>
    <cellStyle name="Normal 3 7 14 3" xfId="17534" xr:uid="{00000000-0005-0000-0000-0000EA790000}"/>
    <cellStyle name="Normal 3 7 14 3 2" xfId="34969" xr:uid="{00000000-0005-0000-0000-0000EB790000}"/>
    <cellStyle name="Normal 3 7 14 4" xfId="17535" xr:uid="{00000000-0005-0000-0000-0000EC790000}"/>
    <cellStyle name="Normal 3 7 14 4 2" xfId="34970" xr:uid="{00000000-0005-0000-0000-0000ED790000}"/>
    <cellStyle name="Normal 3 7 14 5" xfId="17536" xr:uid="{00000000-0005-0000-0000-0000EE790000}"/>
    <cellStyle name="Normal 3 7 14 5 2" xfId="34971" xr:uid="{00000000-0005-0000-0000-0000EF790000}"/>
    <cellStyle name="Normal 3 7 14 6" xfId="17537" xr:uid="{00000000-0005-0000-0000-0000F0790000}"/>
    <cellStyle name="Normal 3 7 14 6 2" xfId="34972" xr:uid="{00000000-0005-0000-0000-0000F1790000}"/>
    <cellStyle name="Normal 3 7 14 7" xfId="17538" xr:uid="{00000000-0005-0000-0000-0000F2790000}"/>
    <cellStyle name="Normal 3 7 14 7 2" xfId="34973" xr:uid="{00000000-0005-0000-0000-0000F3790000}"/>
    <cellStyle name="Normal 3 7 14 8" xfId="17539" xr:uid="{00000000-0005-0000-0000-0000F4790000}"/>
    <cellStyle name="Normal 3 7 14 8 2" xfId="34974" xr:uid="{00000000-0005-0000-0000-0000F5790000}"/>
    <cellStyle name="Normal 3 7 14 9" xfId="17540" xr:uid="{00000000-0005-0000-0000-0000F6790000}"/>
    <cellStyle name="Normal 3 7 14 9 2" xfId="34975" xr:uid="{00000000-0005-0000-0000-0000F7790000}"/>
    <cellStyle name="Normal 3 7 15" xfId="17541" xr:uid="{00000000-0005-0000-0000-0000F8790000}"/>
    <cellStyle name="Normal 3 7 15 10" xfId="17542" xr:uid="{00000000-0005-0000-0000-0000F9790000}"/>
    <cellStyle name="Normal 3 7 15 10 2" xfId="34977" xr:uid="{00000000-0005-0000-0000-0000FA790000}"/>
    <cellStyle name="Normal 3 7 15 11" xfId="17543" xr:uid="{00000000-0005-0000-0000-0000FB790000}"/>
    <cellStyle name="Normal 3 7 15 11 2" xfId="34978" xr:uid="{00000000-0005-0000-0000-0000FC790000}"/>
    <cellStyle name="Normal 3 7 15 12" xfId="17544" xr:uid="{00000000-0005-0000-0000-0000FD790000}"/>
    <cellStyle name="Normal 3 7 15 12 2" xfId="34979" xr:uid="{00000000-0005-0000-0000-0000FE790000}"/>
    <cellStyle name="Normal 3 7 15 13" xfId="17545" xr:uid="{00000000-0005-0000-0000-0000FF790000}"/>
    <cellStyle name="Normal 3 7 15 13 2" xfId="34980" xr:uid="{00000000-0005-0000-0000-0000007A0000}"/>
    <cellStyle name="Normal 3 7 15 14" xfId="17546" xr:uid="{00000000-0005-0000-0000-0000017A0000}"/>
    <cellStyle name="Normal 3 7 15 14 2" xfId="34981" xr:uid="{00000000-0005-0000-0000-0000027A0000}"/>
    <cellStyle name="Normal 3 7 15 15" xfId="17547" xr:uid="{00000000-0005-0000-0000-0000037A0000}"/>
    <cellStyle name="Normal 3 7 15 15 2" xfId="34982" xr:uid="{00000000-0005-0000-0000-0000047A0000}"/>
    <cellStyle name="Normal 3 7 15 16" xfId="34976" xr:uid="{00000000-0005-0000-0000-0000057A0000}"/>
    <cellStyle name="Normal 3 7 15 2" xfId="17548" xr:uid="{00000000-0005-0000-0000-0000067A0000}"/>
    <cellStyle name="Normal 3 7 15 2 10" xfId="17549" xr:uid="{00000000-0005-0000-0000-0000077A0000}"/>
    <cellStyle name="Normal 3 7 15 2 10 2" xfId="34984" xr:uid="{00000000-0005-0000-0000-0000087A0000}"/>
    <cellStyle name="Normal 3 7 15 2 11" xfId="17550" xr:uid="{00000000-0005-0000-0000-0000097A0000}"/>
    <cellStyle name="Normal 3 7 15 2 11 2" xfId="34985" xr:uid="{00000000-0005-0000-0000-00000A7A0000}"/>
    <cellStyle name="Normal 3 7 15 2 12" xfId="17551" xr:uid="{00000000-0005-0000-0000-00000B7A0000}"/>
    <cellStyle name="Normal 3 7 15 2 12 2" xfId="34986" xr:uid="{00000000-0005-0000-0000-00000C7A0000}"/>
    <cellStyle name="Normal 3 7 15 2 13" xfId="17552" xr:uid="{00000000-0005-0000-0000-00000D7A0000}"/>
    <cellStyle name="Normal 3 7 15 2 13 2" xfId="34987" xr:uid="{00000000-0005-0000-0000-00000E7A0000}"/>
    <cellStyle name="Normal 3 7 15 2 14" xfId="17553" xr:uid="{00000000-0005-0000-0000-00000F7A0000}"/>
    <cellStyle name="Normal 3 7 15 2 14 2" xfId="34988" xr:uid="{00000000-0005-0000-0000-0000107A0000}"/>
    <cellStyle name="Normal 3 7 15 2 15" xfId="34983" xr:uid="{00000000-0005-0000-0000-0000117A0000}"/>
    <cellStyle name="Normal 3 7 15 2 2" xfId="17554" xr:uid="{00000000-0005-0000-0000-0000127A0000}"/>
    <cellStyle name="Normal 3 7 15 2 2 2" xfId="34989" xr:uid="{00000000-0005-0000-0000-0000137A0000}"/>
    <cellStyle name="Normal 3 7 15 2 3" xfId="17555" xr:uid="{00000000-0005-0000-0000-0000147A0000}"/>
    <cellStyle name="Normal 3 7 15 2 3 2" xfId="34990" xr:uid="{00000000-0005-0000-0000-0000157A0000}"/>
    <cellStyle name="Normal 3 7 15 2 4" xfId="17556" xr:uid="{00000000-0005-0000-0000-0000167A0000}"/>
    <cellStyle name="Normal 3 7 15 2 4 2" xfId="34991" xr:uid="{00000000-0005-0000-0000-0000177A0000}"/>
    <cellStyle name="Normal 3 7 15 2 5" xfId="17557" xr:uid="{00000000-0005-0000-0000-0000187A0000}"/>
    <cellStyle name="Normal 3 7 15 2 5 2" xfId="34992" xr:uid="{00000000-0005-0000-0000-0000197A0000}"/>
    <cellStyle name="Normal 3 7 15 2 6" xfId="17558" xr:uid="{00000000-0005-0000-0000-00001A7A0000}"/>
    <cellStyle name="Normal 3 7 15 2 6 2" xfId="34993" xr:uid="{00000000-0005-0000-0000-00001B7A0000}"/>
    <cellStyle name="Normal 3 7 15 2 7" xfId="17559" xr:uid="{00000000-0005-0000-0000-00001C7A0000}"/>
    <cellStyle name="Normal 3 7 15 2 7 2" xfId="34994" xr:uid="{00000000-0005-0000-0000-00001D7A0000}"/>
    <cellStyle name="Normal 3 7 15 2 8" xfId="17560" xr:uid="{00000000-0005-0000-0000-00001E7A0000}"/>
    <cellStyle name="Normal 3 7 15 2 8 2" xfId="34995" xr:uid="{00000000-0005-0000-0000-00001F7A0000}"/>
    <cellStyle name="Normal 3 7 15 2 9" xfId="17561" xr:uid="{00000000-0005-0000-0000-0000207A0000}"/>
    <cellStyle name="Normal 3 7 15 2 9 2" xfId="34996" xr:uid="{00000000-0005-0000-0000-0000217A0000}"/>
    <cellStyle name="Normal 3 7 15 3" xfId="17562" xr:uid="{00000000-0005-0000-0000-0000227A0000}"/>
    <cellStyle name="Normal 3 7 15 3 2" xfId="34997" xr:uid="{00000000-0005-0000-0000-0000237A0000}"/>
    <cellStyle name="Normal 3 7 15 4" xfId="17563" xr:uid="{00000000-0005-0000-0000-0000247A0000}"/>
    <cellStyle name="Normal 3 7 15 4 2" xfId="34998" xr:uid="{00000000-0005-0000-0000-0000257A0000}"/>
    <cellStyle name="Normal 3 7 15 5" xfId="17564" xr:uid="{00000000-0005-0000-0000-0000267A0000}"/>
    <cellStyle name="Normal 3 7 15 5 2" xfId="34999" xr:uid="{00000000-0005-0000-0000-0000277A0000}"/>
    <cellStyle name="Normal 3 7 15 6" xfId="17565" xr:uid="{00000000-0005-0000-0000-0000287A0000}"/>
    <cellStyle name="Normal 3 7 15 6 2" xfId="35000" xr:uid="{00000000-0005-0000-0000-0000297A0000}"/>
    <cellStyle name="Normal 3 7 15 7" xfId="17566" xr:uid="{00000000-0005-0000-0000-00002A7A0000}"/>
    <cellStyle name="Normal 3 7 15 7 2" xfId="35001" xr:uid="{00000000-0005-0000-0000-00002B7A0000}"/>
    <cellStyle name="Normal 3 7 15 8" xfId="17567" xr:uid="{00000000-0005-0000-0000-00002C7A0000}"/>
    <cellStyle name="Normal 3 7 15 8 2" xfId="35002" xr:uid="{00000000-0005-0000-0000-00002D7A0000}"/>
    <cellStyle name="Normal 3 7 15 9" xfId="17568" xr:uid="{00000000-0005-0000-0000-00002E7A0000}"/>
    <cellStyle name="Normal 3 7 15 9 2" xfId="35003" xr:uid="{00000000-0005-0000-0000-00002F7A0000}"/>
    <cellStyle name="Normal 3 7 16" xfId="17569" xr:uid="{00000000-0005-0000-0000-0000307A0000}"/>
    <cellStyle name="Normal 3 7 16 10" xfId="17570" xr:uid="{00000000-0005-0000-0000-0000317A0000}"/>
    <cellStyle name="Normal 3 7 16 10 2" xfId="35005" xr:uid="{00000000-0005-0000-0000-0000327A0000}"/>
    <cellStyle name="Normal 3 7 16 11" xfId="17571" xr:uid="{00000000-0005-0000-0000-0000337A0000}"/>
    <cellStyle name="Normal 3 7 16 11 2" xfId="35006" xr:uid="{00000000-0005-0000-0000-0000347A0000}"/>
    <cellStyle name="Normal 3 7 16 12" xfId="17572" xr:uid="{00000000-0005-0000-0000-0000357A0000}"/>
    <cellStyle name="Normal 3 7 16 12 2" xfId="35007" xr:uid="{00000000-0005-0000-0000-0000367A0000}"/>
    <cellStyle name="Normal 3 7 16 13" xfId="17573" xr:uid="{00000000-0005-0000-0000-0000377A0000}"/>
    <cellStyle name="Normal 3 7 16 13 2" xfId="35008" xr:uid="{00000000-0005-0000-0000-0000387A0000}"/>
    <cellStyle name="Normal 3 7 16 14" xfId="17574" xr:uid="{00000000-0005-0000-0000-0000397A0000}"/>
    <cellStyle name="Normal 3 7 16 14 2" xfId="35009" xr:uid="{00000000-0005-0000-0000-00003A7A0000}"/>
    <cellStyle name="Normal 3 7 16 15" xfId="17575" xr:uid="{00000000-0005-0000-0000-00003B7A0000}"/>
    <cellStyle name="Normal 3 7 16 15 2" xfId="35010" xr:uid="{00000000-0005-0000-0000-00003C7A0000}"/>
    <cellStyle name="Normal 3 7 16 16" xfId="35004" xr:uid="{00000000-0005-0000-0000-00003D7A0000}"/>
    <cellStyle name="Normal 3 7 16 2" xfId="17576" xr:uid="{00000000-0005-0000-0000-00003E7A0000}"/>
    <cellStyle name="Normal 3 7 16 2 10" xfId="17577" xr:uid="{00000000-0005-0000-0000-00003F7A0000}"/>
    <cellStyle name="Normal 3 7 16 2 10 2" xfId="35012" xr:uid="{00000000-0005-0000-0000-0000407A0000}"/>
    <cellStyle name="Normal 3 7 16 2 11" xfId="17578" xr:uid="{00000000-0005-0000-0000-0000417A0000}"/>
    <cellStyle name="Normal 3 7 16 2 11 2" xfId="35013" xr:uid="{00000000-0005-0000-0000-0000427A0000}"/>
    <cellStyle name="Normal 3 7 16 2 12" xfId="17579" xr:uid="{00000000-0005-0000-0000-0000437A0000}"/>
    <cellStyle name="Normal 3 7 16 2 12 2" xfId="35014" xr:uid="{00000000-0005-0000-0000-0000447A0000}"/>
    <cellStyle name="Normal 3 7 16 2 13" xfId="17580" xr:uid="{00000000-0005-0000-0000-0000457A0000}"/>
    <cellStyle name="Normal 3 7 16 2 13 2" xfId="35015" xr:uid="{00000000-0005-0000-0000-0000467A0000}"/>
    <cellStyle name="Normal 3 7 16 2 14" xfId="17581" xr:uid="{00000000-0005-0000-0000-0000477A0000}"/>
    <cellStyle name="Normal 3 7 16 2 14 2" xfId="35016" xr:uid="{00000000-0005-0000-0000-0000487A0000}"/>
    <cellStyle name="Normal 3 7 16 2 15" xfId="35011" xr:uid="{00000000-0005-0000-0000-0000497A0000}"/>
    <cellStyle name="Normal 3 7 16 2 2" xfId="17582" xr:uid="{00000000-0005-0000-0000-00004A7A0000}"/>
    <cellStyle name="Normal 3 7 16 2 2 2" xfId="35017" xr:uid="{00000000-0005-0000-0000-00004B7A0000}"/>
    <cellStyle name="Normal 3 7 16 2 3" xfId="17583" xr:uid="{00000000-0005-0000-0000-00004C7A0000}"/>
    <cellStyle name="Normal 3 7 16 2 3 2" xfId="35018" xr:uid="{00000000-0005-0000-0000-00004D7A0000}"/>
    <cellStyle name="Normal 3 7 16 2 4" xfId="17584" xr:uid="{00000000-0005-0000-0000-00004E7A0000}"/>
    <cellStyle name="Normal 3 7 16 2 4 2" xfId="35019" xr:uid="{00000000-0005-0000-0000-00004F7A0000}"/>
    <cellStyle name="Normal 3 7 16 2 5" xfId="17585" xr:uid="{00000000-0005-0000-0000-0000507A0000}"/>
    <cellStyle name="Normal 3 7 16 2 5 2" xfId="35020" xr:uid="{00000000-0005-0000-0000-0000517A0000}"/>
    <cellStyle name="Normal 3 7 16 2 6" xfId="17586" xr:uid="{00000000-0005-0000-0000-0000527A0000}"/>
    <cellStyle name="Normal 3 7 16 2 6 2" xfId="35021" xr:uid="{00000000-0005-0000-0000-0000537A0000}"/>
    <cellStyle name="Normal 3 7 16 2 7" xfId="17587" xr:uid="{00000000-0005-0000-0000-0000547A0000}"/>
    <cellStyle name="Normal 3 7 16 2 7 2" xfId="35022" xr:uid="{00000000-0005-0000-0000-0000557A0000}"/>
    <cellStyle name="Normal 3 7 16 2 8" xfId="17588" xr:uid="{00000000-0005-0000-0000-0000567A0000}"/>
    <cellStyle name="Normal 3 7 16 2 8 2" xfId="35023" xr:uid="{00000000-0005-0000-0000-0000577A0000}"/>
    <cellStyle name="Normal 3 7 16 2 9" xfId="17589" xr:uid="{00000000-0005-0000-0000-0000587A0000}"/>
    <cellStyle name="Normal 3 7 16 2 9 2" xfId="35024" xr:uid="{00000000-0005-0000-0000-0000597A0000}"/>
    <cellStyle name="Normal 3 7 16 3" xfId="17590" xr:uid="{00000000-0005-0000-0000-00005A7A0000}"/>
    <cellStyle name="Normal 3 7 16 3 2" xfId="35025" xr:uid="{00000000-0005-0000-0000-00005B7A0000}"/>
    <cellStyle name="Normal 3 7 16 4" xfId="17591" xr:uid="{00000000-0005-0000-0000-00005C7A0000}"/>
    <cellStyle name="Normal 3 7 16 4 2" xfId="35026" xr:uid="{00000000-0005-0000-0000-00005D7A0000}"/>
    <cellStyle name="Normal 3 7 16 5" xfId="17592" xr:uid="{00000000-0005-0000-0000-00005E7A0000}"/>
    <cellStyle name="Normal 3 7 16 5 2" xfId="35027" xr:uid="{00000000-0005-0000-0000-00005F7A0000}"/>
    <cellStyle name="Normal 3 7 16 6" xfId="17593" xr:uid="{00000000-0005-0000-0000-0000607A0000}"/>
    <cellStyle name="Normal 3 7 16 6 2" xfId="35028" xr:uid="{00000000-0005-0000-0000-0000617A0000}"/>
    <cellStyle name="Normal 3 7 16 7" xfId="17594" xr:uid="{00000000-0005-0000-0000-0000627A0000}"/>
    <cellStyle name="Normal 3 7 16 7 2" xfId="35029" xr:uid="{00000000-0005-0000-0000-0000637A0000}"/>
    <cellStyle name="Normal 3 7 16 8" xfId="17595" xr:uid="{00000000-0005-0000-0000-0000647A0000}"/>
    <cellStyle name="Normal 3 7 16 8 2" xfId="35030" xr:uid="{00000000-0005-0000-0000-0000657A0000}"/>
    <cellStyle name="Normal 3 7 16 9" xfId="17596" xr:uid="{00000000-0005-0000-0000-0000667A0000}"/>
    <cellStyle name="Normal 3 7 16 9 2" xfId="35031" xr:uid="{00000000-0005-0000-0000-0000677A0000}"/>
    <cellStyle name="Normal 3 7 17" xfId="17597" xr:uid="{00000000-0005-0000-0000-0000687A0000}"/>
    <cellStyle name="Normal 3 7 17 10" xfId="17598" xr:uid="{00000000-0005-0000-0000-0000697A0000}"/>
    <cellStyle name="Normal 3 7 17 10 2" xfId="35033" xr:uid="{00000000-0005-0000-0000-00006A7A0000}"/>
    <cellStyle name="Normal 3 7 17 11" xfId="17599" xr:uid="{00000000-0005-0000-0000-00006B7A0000}"/>
    <cellStyle name="Normal 3 7 17 11 2" xfId="35034" xr:uid="{00000000-0005-0000-0000-00006C7A0000}"/>
    <cellStyle name="Normal 3 7 17 12" xfId="17600" xr:uid="{00000000-0005-0000-0000-00006D7A0000}"/>
    <cellStyle name="Normal 3 7 17 12 2" xfId="35035" xr:uid="{00000000-0005-0000-0000-00006E7A0000}"/>
    <cellStyle name="Normal 3 7 17 13" xfId="17601" xr:uid="{00000000-0005-0000-0000-00006F7A0000}"/>
    <cellStyle name="Normal 3 7 17 13 2" xfId="35036" xr:uid="{00000000-0005-0000-0000-0000707A0000}"/>
    <cellStyle name="Normal 3 7 17 14" xfId="17602" xr:uid="{00000000-0005-0000-0000-0000717A0000}"/>
    <cellStyle name="Normal 3 7 17 14 2" xfId="35037" xr:uid="{00000000-0005-0000-0000-0000727A0000}"/>
    <cellStyle name="Normal 3 7 17 15" xfId="35032" xr:uid="{00000000-0005-0000-0000-0000737A0000}"/>
    <cellStyle name="Normal 3 7 17 2" xfId="17603" xr:uid="{00000000-0005-0000-0000-0000747A0000}"/>
    <cellStyle name="Normal 3 7 17 2 2" xfId="35038" xr:uid="{00000000-0005-0000-0000-0000757A0000}"/>
    <cellStyle name="Normal 3 7 17 3" xfId="17604" xr:uid="{00000000-0005-0000-0000-0000767A0000}"/>
    <cellStyle name="Normal 3 7 17 3 2" xfId="35039" xr:uid="{00000000-0005-0000-0000-0000777A0000}"/>
    <cellStyle name="Normal 3 7 17 4" xfId="17605" xr:uid="{00000000-0005-0000-0000-0000787A0000}"/>
    <cellStyle name="Normal 3 7 17 4 2" xfId="35040" xr:uid="{00000000-0005-0000-0000-0000797A0000}"/>
    <cellStyle name="Normal 3 7 17 5" xfId="17606" xr:uid="{00000000-0005-0000-0000-00007A7A0000}"/>
    <cellStyle name="Normal 3 7 17 5 2" xfId="35041" xr:uid="{00000000-0005-0000-0000-00007B7A0000}"/>
    <cellStyle name="Normal 3 7 17 6" xfId="17607" xr:uid="{00000000-0005-0000-0000-00007C7A0000}"/>
    <cellStyle name="Normal 3 7 17 6 2" xfId="35042" xr:uid="{00000000-0005-0000-0000-00007D7A0000}"/>
    <cellStyle name="Normal 3 7 17 7" xfId="17608" xr:uid="{00000000-0005-0000-0000-00007E7A0000}"/>
    <cellStyle name="Normal 3 7 17 7 2" xfId="35043" xr:uid="{00000000-0005-0000-0000-00007F7A0000}"/>
    <cellStyle name="Normal 3 7 17 8" xfId="17609" xr:uid="{00000000-0005-0000-0000-0000807A0000}"/>
    <cellStyle name="Normal 3 7 17 8 2" xfId="35044" xr:uid="{00000000-0005-0000-0000-0000817A0000}"/>
    <cellStyle name="Normal 3 7 17 9" xfId="17610" xr:uid="{00000000-0005-0000-0000-0000827A0000}"/>
    <cellStyle name="Normal 3 7 17 9 2" xfId="35045" xr:uid="{00000000-0005-0000-0000-0000837A0000}"/>
    <cellStyle name="Normal 3 7 18" xfId="17611" xr:uid="{00000000-0005-0000-0000-0000847A0000}"/>
    <cellStyle name="Normal 3 7 18 10" xfId="17612" xr:uid="{00000000-0005-0000-0000-0000857A0000}"/>
    <cellStyle name="Normal 3 7 18 10 2" xfId="35047" xr:uid="{00000000-0005-0000-0000-0000867A0000}"/>
    <cellStyle name="Normal 3 7 18 11" xfId="17613" xr:uid="{00000000-0005-0000-0000-0000877A0000}"/>
    <cellStyle name="Normal 3 7 18 11 2" xfId="35048" xr:uid="{00000000-0005-0000-0000-0000887A0000}"/>
    <cellStyle name="Normal 3 7 18 12" xfId="17614" xr:uid="{00000000-0005-0000-0000-0000897A0000}"/>
    <cellStyle name="Normal 3 7 18 12 2" xfId="35049" xr:uid="{00000000-0005-0000-0000-00008A7A0000}"/>
    <cellStyle name="Normal 3 7 18 13" xfId="17615" xr:uid="{00000000-0005-0000-0000-00008B7A0000}"/>
    <cellStyle name="Normal 3 7 18 13 2" xfId="35050" xr:uid="{00000000-0005-0000-0000-00008C7A0000}"/>
    <cellStyle name="Normal 3 7 18 14" xfId="17616" xr:uid="{00000000-0005-0000-0000-00008D7A0000}"/>
    <cellStyle name="Normal 3 7 18 14 2" xfId="35051" xr:uid="{00000000-0005-0000-0000-00008E7A0000}"/>
    <cellStyle name="Normal 3 7 18 15" xfId="35046" xr:uid="{00000000-0005-0000-0000-00008F7A0000}"/>
    <cellStyle name="Normal 3 7 18 2" xfId="17617" xr:uid="{00000000-0005-0000-0000-0000907A0000}"/>
    <cellStyle name="Normal 3 7 18 2 2" xfId="35052" xr:uid="{00000000-0005-0000-0000-0000917A0000}"/>
    <cellStyle name="Normal 3 7 18 3" xfId="17618" xr:uid="{00000000-0005-0000-0000-0000927A0000}"/>
    <cellStyle name="Normal 3 7 18 3 2" xfId="35053" xr:uid="{00000000-0005-0000-0000-0000937A0000}"/>
    <cellStyle name="Normal 3 7 18 4" xfId="17619" xr:uid="{00000000-0005-0000-0000-0000947A0000}"/>
    <cellStyle name="Normal 3 7 18 4 2" xfId="35054" xr:uid="{00000000-0005-0000-0000-0000957A0000}"/>
    <cellStyle name="Normal 3 7 18 5" xfId="17620" xr:uid="{00000000-0005-0000-0000-0000967A0000}"/>
    <cellStyle name="Normal 3 7 18 5 2" xfId="35055" xr:uid="{00000000-0005-0000-0000-0000977A0000}"/>
    <cellStyle name="Normal 3 7 18 6" xfId="17621" xr:uid="{00000000-0005-0000-0000-0000987A0000}"/>
    <cellStyle name="Normal 3 7 18 6 2" xfId="35056" xr:uid="{00000000-0005-0000-0000-0000997A0000}"/>
    <cellStyle name="Normal 3 7 18 7" xfId="17622" xr:uid="{00000000-0005-0000-0000-00009A7A0000}"/>
    <cellStyle name="Normal 3 7 18 7 2" xfId="35057" xr:uid="{00000000-0005-0000-0000-00009B7A0000}"/>
    <cellStyle name="Normal 3 7 18 8" xfId="17623" xr:uid="{00000000-0005-0000-0000-00009C7A0000}"/>
    <cellStyle name="Normal 3 7 18 8 2" xfId="35058" xr:uid="{00000000-0005-0000-0000-00009D7A0000}"/>
    <cellStyle name="Normal 3 7 18 9" xfId="17624" xr:uid="{00000000-0005-0000-0000-00009E7A0000}"/>
    <cellStyle name="Normal 3 7 18 9 2" xfId="35059" xr:uid="{00000000-0005-0000-0000-00009F7A0000}"/>
    <cellStyle name="Normal 3 7 19" xfId="17625" xr:uid="{00000000-0005-0000-0000-0000A07A0000}"/>
    <cellStyle name="Normal 3 7 19 10" xfId="17626" xr:uid="{00000000-0005-0000-0000-0000A17A0000}"/>
    <cellStyle name="Normal 3 7 19 10 2" xfId="35061" xr:uid="{00000000-0005-0000-0000-0000A27A0000}"/>
    <cellStyle name="Normal 3 7 19 11" xfId="17627" xr:uid="{00000000-0005-0000-0000-0000A37A0000}"/>
    <cellStyle name="Normal 3 7 19 11 2" xfId="35062" xr:uid="{00000000-0005-0000-0000-0000A47A0000}"/>
    <cellStyle name="Normal 3 7 19 12" xfId="17628" xr:uid="{00000000-0005-0000-0000-0000A57A0000}"/>
    <cellStyle name="Normal 3 7 19 12 2" xfId="35063" xr:uid="{00000000-0005-0000-0000-0000A67A0000}"/>
    <cellStyle name="Normal 3 7 19 13" xfId="17629" xr:uid="{00000000-0005-0000-0000-0000A77A0000}"/>
    <cellStyle name="Normal 3 7 19 13 2" xfId="35064" xr:uid="{00000000-0005-0000-0000-0000A87A0000}"/>
    <cellStyle name="Normal 3 7 19 14" xfId="17630" xr:uid="{00000000-0005-0000-0000-0000A97A0000}"/>
    <cellStyle name="Normal 3 7 19 14 2" xfId="35065" xr:uid="{00000000-0005-0000-0000-0000AA7A0000}"/>
    <cellStyle name="Normal 3 7 19 15" xfId="35060" xr:uid="{00000000-0005-0000-0000-0000AB7A0000}"/>
    <cellStyle name="Normal 3 7 19 2" xfId="17631" xr:uid="{00000000-0005-0000-0000-0000AC7A0000}"/>
    <cellStyle name="Normal 3 7 19 2 2" xfId="35066" xr:uid="{00000000-0005-0000-0000-0000AD7A0000}"/>
    <cellStyle name="Normal 3 7 19 3" xfId="17632" xr:uid="{00000000-0005-0000-0000-0000AE7A0000}"/>
    <cellStyle name="Normal 3 7 19 3 2" xfId="35067" xr:uid="{00000000-0005-0000-0000-0000AF7A0000}"/>
    <cellStyle name="Normal 3 7 19 4" xfId="17633" xr:uid="{00000000-0005-0000-0000-0000B07A0000}"/>
    <cellStyle name="Normal 3 7 19 4 2" xfId="35068" xr:uid="{00000000-0005-0000-0000-0000B17A0000}"/>
    <cellStyle name="Normal 3 7 19 5" xfId="17634" xr:uid="{00000000-0005-0000-0000-0000B27A0000}"/>
    <cellStyle name="Normal 3 7 19 5 2" xfId="35069" xr:uid="{00000000-0005-0000-0000-0000B37A0000}"/>
    <cellStyle name="Normal 3 7 19 6" xfId="17635" xr:uid="{00000000-0005-0000-0000-0000B47A0000}"/>
    <cellStyle name="Normal 3 7 19 6 2" xfId="35070" xr:uid="{00000000-0005-0000-0000-0000B57A0000}"/>
    <cellStyle name="Normal 3 7 19 7" xfId="17636" xr:uid="{00000000-0005-0000-0000-0000B67A0000}"/>
    <cellStyle name="Normal 3 7 19 7 2" xfId="35071" xr:uid="{00000000-0005-0000-0000-0000B77A0000}"/>
    <cellStyle name="Normal 3 7 19 8" xfId="17637" xr:uid="{00000000-0005-0000-0000-0000B87A0000}"/>
    <cellStyle name="Normal 3 7 19 8 2" xfId="35072" xr:uid="{00000000-0005-0000-0000-0000B97A0000}"/>
    <cellStyle name="Normal 3 7 19 9" xfId="17638" xr:uid="{00000000-0005-0000-0000-0000BA7A0000}"/>
    <cellStyle name="Normal 3 7 19 9 2" xfId="35073" xr:uid="{00000000-0005-0000-0000-0000BB7A0000}"/>
    <cellStyle name="Normal 3 7 2" xfId="17639" xr:uid="{00000000-0005-0000-0000-0000BC7A0000}"/>
    <cellStyle name="Normal 3 7 20" xfId="17640" xr:uid="{00000000-0005-0000-0000-0000BD7A0000}"/>
    <cellStyle name="Normal 3 7 20 10" xfId="17641" xr:uid="{00000000-0005-0000-0000-0000BE7A0000}"/>
    <cellStyle name="Normal 3 7 20 10 2" xfId="35075" xr:uid="{00000000-0005-0000-0000-0000BF7A0000}"/>
    <cellStyle name="Normal 3 7 20 11" xfId="17642" xr:uid="{00000000-0005-0000-0000-0000C07A0000}"/>
    <cellStyle name="Normal 3 7 20 11 2" xfId="35076" xr:uid="{00000000-0005-0000-0000-0000C17A0000}"/>
    <cellStyle name="Normal 3 7 20 12" xfId="17643" xr:uid="{00000000-0005-0000-0000-0000C27A0000}"/>
    <cellStyle name="Normal 3 7 20 12 2" xfId="35077" xr:uid="{00000000-0005-0000-0000-0000C37A0000}"/>
    <cellStyle name="Normal 3 7 20 13" xfId="17644" xr:uid="{00000000-0005-0000-0000-0000C47A0000}"/>
    <cellStyle name="Normal 3 7 20 13 2" xfId="35078" xr:uid="{00000000-0005-0000-0000-0000C57A0000}"/>
    <cellStyle name="Normal 3 7 20 14" xfId="17645" xr:uid="{00000000-0005-0000-0000-0000C67A0000}"/>
    <cellStyle name="Normal 3 7 20 14 2" xfId="35079" xr:uid="{00000000-0005-0000-0000-0000C77A0000}"/>
    <cellStyle name="Normal 3 7 20 15" xfId="35074" xr:uid="{00000000-0005-0000-0000-0000C87A0000}"/>
    <cellStyle name="Normal 3 7 20 2" xfId="17646" xr:uid="{00000000-0005-0000-0000-0000C97A0000}"/>
    <cellStyle name="Normal 3 7 20 2 2" xfId="35080" xr:uid="{00000000-0005-0000-0000-0000CA7A0000}"/>
    <cellStyle name="Normal 3 7 20 3" xfId="17647" xr:uid="{00000000-0005-0000-0000-0000CB7A0000}"/>
    <cellStyle name="Normal 3 7 20 3 2" xfId="35081" xr:uid="{00000000-0005-0000-0000-0000CC7A0000}"/>
    <cellStyle name="Normal 3 7 20 4" xfId="17648" xr:uid="{00000000-0005-0000-0000-0000CD7A0000}"/>
    <cellStyle name="Normal 3 7 20 4 2" xfId="35082" xr:uid="{00000000-0005-0000-0000-0000CE7A0000}"/>
    <cellStyle name="Normal 3 7 20 5" xfId="17649" xr:uid="{00000000-0005-0000-0000-0000CF7A0000}"/>
    <cellStyle name="Normal 3 7 20 5 2" xfId="35083" xr:uid="{00000000-0005-0000-0000-0000D07A0000}"/>
    <cellStyle name="Normal 3 7 20 6" xfId="17650" xr:uid="{00000000-0005-0000-0000-0000D17A0000}"/>
    <cellStyle name="Normal 3 7 20 6 2" xfId="35084" xr:uid="{00000000-0005-0000-0000-0000D27A0000}"/>
    <cellStyle name="Normal 3 7 20 7" xfId="17651" xr:uid="{00000000-0005-0000-0000-0000D37A0000}"/>
    <cellStyle name="Normal 3 7 20 7 2" xfId="35085" xr:uid="{00000000-0005-0000-0000-0000D47A0000}"/>
    <cellStyle name="Normal 3 7 20 8" xfId="17652" xr:uid="{00000000-0005-0000-0000-0000D57A0000}"/>
    <cellStyle name="Normal 3 7 20 8 2" xfId="35086" xr:uid="{00000000-0005-0000-0000-0000D67A0000}"/>
    <cellStyle name="Normal 3 7 20 9" xfId="17653" xr:uid="{00000000-0005-0000-0000-0000D77A0000}"/>
    <cellStyle name="Normal 3 7 20 9 2" xfId="35087" xr:uid="{00000000-0005-0000-0000-0000D87A0000}"/>
    <cellStyle name="Normal 3 7 21" xfId="17654" xr:uid="{00000000-0005-0000-0000-0000D97A0000}"/>
    <cellStyle name="Normal 3 7 21 10" xfId="17655" xr:uid="{00000000-0005-0000-0000-0000DA7A0000}"/>
    <cellStyle name="Normal 3 7 21 10 2" xfId="35089" xr:uid="{00000000-0005-0000-0000-0000DB7A0000}"/>
    <cellStyle name="Normal 3 7 21 11" xfId="17656" xr:uid="{00000000-0005-0000-0000-0000DC7A0000}"/>
    <cellStyle name="Normal 3 7 21 11 2" xfId="35090" xr:uid="{00000000-0005-0000-0000-0000DD7A0000}"/>
    <cellStyle name="Normal 3 7 21 12" xfId="17657" xr:uid="{00000000-0005-0000-0000-0000DE7A0000}"/>
    <cellStyle name="Normal 3 7 21 12 2" xfId="35091" xr:uid="{00000000-0005-0000-0000-0000DF7A0000}"/>
    <cellStyle name="Normal 3 7 21 13" xfId="17658" xr:uid="{00000000-0005-0000-0000-0000E07A0000}"/>
    <cellStyle name="Normal 3 7 21 13 2" xfId="35092" xr:uid="{00000000-0005-0000-0000-0000E17A0000}"/>
    <cellStyle name="Normal 3 7 21 14" xfId="17659" xr:uid="{00000000-0005-0000-0000-0000E27A0000}"/>
    <cellStyle name="Normal 3 7 21 14 2" xfId="35093" xr:uid="{00000000-0005-0000-0000-0000E37A0000}"/>
    <cellStyle name="Normal 3 7 21 15" xfId="35088" xr:uid="{00000000-0005-0000-0000-0000E47A0000}"/>
    <cellStyle name="Normal 3 7 21 2" xfId="17660" xr:uid="{00000000-0005-0000-0000-0000E57A0000}"/>
    <cellStyle name="Normal 3 7 21 2 2" xfId="35094" xr:uid="{00000000-0005-0000-0000-0000E67A0000}"/>
    <cellStyle name="Normal 3 7 21 3" xfId="17661" xr:uid="{00000000-0005-0000-0000-0000E77A0000}"/>
    <cellStyle name="Normal 3 7 21 3 2" xfId="35095" xr:uid="{00000000-0005-0000-0000-0000E87A0000}"/>
    <cellStyle name="Normal 3 7 21 4" xfId="17662" xr:uid="{00000000-0005-0000-0000-0000E97A0000}"/>
    <cellStyle name="Normal 3 7 21 4 2" xfId="35096" xr:uid="{00000000-0005-0000-0000-0000EA7A0000}"/>
    <cellStyle name="Normal 3 7 21 5" xfId="17663" xr:uid="{00000000-0005-0000-0000-0000EB7A0000}"/>
    <cellStyle name="Normal 3 7 21 5 2" xfId="35097" xr:uid="{00000000-0005-0000-0000-0000EC7A0000}"/>
    <cellStyle name="Normal 3 7 21 6" xfId="17664" xr:uid="{00000000-0005-0000-0000-0000ED7A0000}"/>
    <cellStyle name="Normal 3 7 21 6 2" xfId="35098" xr:uid="{00000000-0005-0000-0000-0000EE7A0000}"/>
    <cellStyle name="Normal 3 7 21 7" xfId="17665" xr:uid="{00000000-0005-0000-0000-0000EF7A0000}"/>
    <cellStyle name="Normal 3 7 21 7 2" xfId="35099" xr:uid="{00000000-0005-0000-0000-0000F07A0000}"/>
    <cellStyle name="Normal 3 7 21 8" xfId="17666" xr:uid="{00000000-0005-0000-0000-0000F17A0000}"/>
    <cellStyle name="Normal 3 7 21 8 2" xfId="35100" xr:uid="{00000000-0005-0000-0000-0000F27A0000}"/>
    <cellStyle name="Normal 3 7 21 9" xfId="17667" xr:uid="{00000000-0005-0000-0000-0000F37A0000}"/>
    <cellStyle name="Normal 3 7 21 9 2" xfId="35101" xr:uid="{00000000-0005-0000-0000-0000F47A0000}"/>
    <cellStyle name="Normal 3 7 22" xfId="17668" xr:uid="{00000000-0005-0000-0000-0000F57A0000}"/>
    <cellStyle name="Normal 3 7 22 10" xfId="17669" xr:uid="{00000000-0005-0000-0000-0000F67A0000}"/>
    <cellStyle name="Normal 3 7 22 10 2" xfId="35103" xr:uid="{00000000-0005-0000-0000-0000F77A0000}"/>
    <cellStyle name="Normal 3 7 22 11" xfId="17670" xr:uid="{00000000-0005-0000-0000-0000F87A0000}"/>
    <cellStyle name="Normal 3 7 22 11 2" xfId="35104" xr:uid="{00000000-0005-0000-0000-0000F97A0000}"/>
    <cellStyle name="Normal 3 7 22 12" xfId="17671" xr:uid="{00000000-0005-0000-0000-0000FA7A0000}"/>
    <cellStyle name="Normal 3 7 22 12 2" xfId="35105" xr:uid="{00000000-0005-0000-0000-0000FB7A0000}"/>
    <cellStyle name="Normal 3 7 22 13" xfId="17672" xr:uid="{00000000-0005-0000-0000-0000FC7A0000}"/>
    <cellStyle name="Normal 3 7 22 13 2" xfId="35106" xr:uid="{00000000-0005-0000-0000-0000FD7A0000}"/>
    <cellStyle name="Normal 3 7 22 14" xfId="17673" xr:uid="{00000000-0005-0000-0000-0000FE7A0000}"/>
    <cellStyle name="Normal 3 7 22 14 2" xfId="35107" xr:uid="{00000000-0005-0000-0000-0000FF7A0000}"/>
    <cellStyle name="Normal 3 7 22 15" xfId="35102" xr:uid="{00000000-0005-0000-0000-0000007B0000}"/>
    <cellStyle name="Normal 3 7 22 2" xfId="17674" xr:uid="{00000000-0005-0000-0000-0000017B0000}"/>
    <cellStyle name="Normal 3 7 22 2 2" xfId="35108" xr:uid="{00000000-0005-0000-0000-0000027B0000}"/>
    <cellStyle name="Normal 3 7 22 3" xfId="17675" xr:uid="{00000000-0005-0000-0000-0000037B0000}"/>
    <cellStyle name="Normal 3 7 22 3 2" xfId="35109" xr:uid="{00000000-0005-0000-0000-0000047B0000}"/>
    <cellStyle name="Normal 3 7 22 4" xfId="17676" xr:uid="{00000000-0005-0000-0000-0000057B0000}"/>
    <cellStyle name="Normal 3 7 22 4 2" xfId="35110" xr:uid="{00000000-0005-0000-0000-0000067B0000}"/>
    <cellStyle name="Normal 3 7 22 5" xfId="17677" xr:uid="{00000000-0005-0000-0000-0000077B0000}"/>
    <cellStyle name="Normal 3 7 22 5 2" xfId="35111" xr:uid="{00000000-0005-0000-0000-0000087B0000}"/>
    <cellStyle name="Normal 3 7 22 6" xfId="17678" xr:uid="{00000000-0005-0000-0000-0000097B0000}"/>
    <cellStyle name="Normal 3 7 22 6 2" xfId="35112" xr:uid="{00000000-0005-0000-0000-00000A7B0000}"/>
    <cellStyle name="Normal 3 7 22 7" xfId="17679" xr:uid="{00000000-0005-0000-0000-00000B7B0000}"/>
    <cellStyle name="Normal 3 7 22 7 2" xfId="35113" xr:uid="{00000000-0005-0000-0000-00000C7B0000}"/>
    <cellStyle name="Normal 3 7 22 8" xfId="17680" xr:uid="{00000000-0005-0000-0000-00000D7B0000}"/>
    <cellStyle name="Normal 3 7 22 8 2" xfId="35114" xr:uid="{00000000-0005-0000-0000-00000E7B0000}"/>
    <cellStyle name="Normal 3 7 22 9" xfId="17681" xr:uid="{00000000-0005-0000-0000-00000F7B0000}"/>
    <cellStyle name="Normal 3 7 22 9 2" xfId="35115" xr:uid="{00000000-0005-0000-0000-0000107B0000}"/>
    <cellStyle name="Normal 3 7 23" xfId="17682" xr:uid="{00000000-0005-0000-0000-0000117B0000}"/>
    <cellStyle name="Normal 3 7 24" xfId="17683" xr:uid="{00000000-0005-0000-0000-0000127B0000}"/>
    <cellStyle name="Normal 3 7 25" xfId="17684" xr:uid="{00000000-0005-0000-0000-0000137B0000}"/>
    <cellStyle name="Normal 3 7 25 10" xfId="17685" xr:uid="{00000000-0005-0000-0000-0000147B0000}"/>
    <cellStyle name="Normal 3 7 25 10 2" xfId="35117" xr:uid="{00000000-0005-0000-0000-0000157B0000}"/>
    <cellStyle name="Normal 3 7 25 11" xfId="17686" xr:uid="{00000000-0005-0000-0000-0000167B0000}"/>
    <cellStyle name="Normal 3 7 25 11 2" xfId="35118" xr:uid="{00000000-0005-0000-0000-0000177B0000}"/>
    <cellStyle name="Normal 3 7 25 12" xfId="17687" xr:uid="{00000000-0005-0000-0000-0000187B0000}"/>
    <cellStyle name="Normal 3 7 25 12 2" xfId="35119" xr:uid="{00000000-0005-0000-0000-0000197B0000}"/>
    <cellStyle name="Normal 3 7 25 13" xfId="17688" xr:uid="{00000000-0005-0000-0000-00001A7B0000}"/>
    <cellStyle name="Normal 3 7 25 13 2" xfId="35120" xr:uid="{00000000-0005-0000-0000-00001B7B0000}"/>
    <cellStyle name="Normal 3 7 25 14" xfId="17689" xr:uid="{00000000-0005-0000-0000-00001C7B0000}"/>
    <cellStyle name="Normal 3 7 25 14 2" xfId="35121" xr:uid="{00000000-0005-0000-0000-00001D7B0000}"/>
    <cellStyle name="Normal 3 7 25 15" xfId="35116" xr:uid="{00000000-0005-0000-0000-00001E7B0000}"/>
    <cellStyle name="Normal 3 7 25 2" xfId="17690" xr:uid="{00000000-0005-0000-0000-00001F7B0000}"/>
    <cellStyle name="Normal 3 7 25 2 2" xfId="35122" xr:uid="{00000000-0005-0000-0000-0000207B0000}"/>
    <cellStyle name="Normal 3 7 25 3" xfId="17691" xr:uid="{00000000-0005-0000-0000-0000217B0000}"/>
    <cellStyle name="Normal 3 7 25 3 2" xfId="35123" xr:uid="{00000000-0005-0000-0000-0000227B0000}"/>
    <cellStyle name="Normal 3 7 25 4" xfId="17692" xr:uid="{00000000-0005-0000-0000-0000237B0000}"/>
    <cellStyle name="Normal 3 7 25 4 2" xfId="35124" xr:uid="{00000000-0005-0000-0000-0000247B0000}"/>
    <cellStyle name="Normal 3 7 25 5" xfId="17693" xr:uid="{00000000-0005-0000-0000-0000257B0000}"/>
    <cellStyle name="Normal 3 7 25 5 2" xfId="35125" xr:uid="{00000000-0005-0000-0000-0000267B0000}"/>
    <cellStyle name="Normal 3 7 25 6" xfId="17694" xr:uid="{00000000-0005-0000-0000-0000277B0000}"/>
    <cellStyle name="Normal 3 7 25 6 2" xfId="35126" xr:uid="{00000000-0005-0000-0000-0000287B0000}"/>
    <cellStyle name="Normal 3 7 25 7" xfId="17695" xr:uid="{00000000-0005-0000-0000-0000297B0000}"/>
    <cellStyle name="Normal 3 7 25 7 2" xfId="35127" xr:uid="{00000000-0005-0000-0000-00002A7B0000}"/>
    <cellStyle name="Normal 3 7 25 8" xfId="17696" xr:uid="{00000000-0005-0000-0000-00002B7B0000}"/>
    <cellStyle name="Normal 3 7 25 8 2" xfId="35128" xr:uid="{00000000-0005-0000-0000-00002C7B0000}"/>
    <cellStyle name="Normal 3 7 25 9" xfId="17697" xr:uid="{00000000-0005-0000-0000-00002D7B0000}"/>
    <cellStyle name="Normal 3 7 25 9 2" xfId="35129" xr:uid="{00000000-0005-0000-0000-00002E7B0000}"/>
    <cellStyle name="Normal 3 7 26" xfId="17698" xr:uid="{00000000-0005-0000-0000-00002F7B0000}"/>
    <cellStyle name="Normal 3 7 26 10" xfId="17699" xr:uid="{00000000-0005-0000-0000-0000307B0000}"/>
    <cellStyle name="Normal 3 7 26 10 2" xfId="35131" xr:uid="{00000000-0005-0000-0000-0000317B0000}"/>
    <cellStyle name="Normal 3 7 26 11" xfId="17700" xr:uid="{00000000-0005-0000-0000-0000327B0000}"/>
    <cellStyle name="Normal 3 7 26 11 2" xfId="35132" xr:uid="{00000000-0005-0000-0000-0000337B0000}"/>
    <cellStyle name="Normal 3 7 26 12" xfId="17701" xr:uid="{00000000-0005-0000-0000-0000347B0000}"/>
    <cellStyle name="Normal 3 7 26 12 2" xfId="35133" xr:uid="{00000000-0005-0000-0000-0000357B0000}"/>
    <cellStyle name="Normal 3 7 26 13" xfId="17702" xr:uid="{00000000-0005-0000-0000-0000367B0000}"/>
    <cellStyle name="Normal 3 7 26 13 2" xfId="35134" xr:uid="{00000000-0005-0000-0000-0000377B0000}"/>
    <cellStyle name="Normal 3 7 26 14" xfId="17703" xr:uid="{00000000-0005-0000-0000-0000387B0000}"/>
    <cellStyle name="Normal 3 7 26 14 2" xfId="35135" xr:uid="{00000000-0005-0000-0000-0000397B0000}"/>
    <cellStyle name="Normal 3 7 26 15" xfId="35130" xr:uid="{00000000-0005-0000-0000-00003A7B0000}"/>
    <cellStyle name="Normal 3 7 26 2" xfId="17704" xr:uid="{00000000-0005-0000-0000-00003B7B0000}"/>
    <cellStyle name="Normal 3 7 26 2 2" xfId="35136" xr:uid="{00000000-0005-0000-0000-00003C7B0000}"/>
    <cellStyle name="Normal 3 7 26 3" xfId="17705" xr:uid="{00000000-0005-0000-0000-00003D7B0000}"/>
    <cellStyle name="Normal 3 7 26 3 2" xfId="35137" xr:uid="{00000000-0005-0000-0000-00003E7B0000}"/>
    <cellStyle name="Normal 3 7 26 4" xfId="17706" xr:uid="{00000000-0005-0000-0000-00003F7B0000}"/>
    <cellStyle name="Normal 3 7 26 4 2" xfId="35138" xr:uid="{00000000-0005-0000-0000-0000407B0000}"/>
    <cellStyle name="Normal 3 7 26 5" xfId="17707" xr:uid="{00000000-0005-0000-0000-0000417B0000}"/>
    <cellStyle name="Normal 3 7 26 5 2" xfId="35139" xr:uid="{00000000-0005-0000-0000-0000427B0000}"/>
    <cellStyle name="Normal 3 7 26 6" xfId="17708" xr:uid="{00000000-0005-0000-0000-0000437B0000}"/>
    <cellStyle name="Normal 3 7 26 6 2" xfId="35140" xr:uid="{00000000-0005-0000-0000-0000447B0000}"/>
    <cellStyle name="Normal 3 7 26 7" xfId="17709" xr:uid="{00000000-0005-0000-0000-0000457B0000}"/>
    <cellStyle name="Normal 3 7 26 7 2" xfId="35141" xr:uid="{00000000-0005-0000-0000-0000467B0000}"/>
    <cellStyle name="Normal 3 7 26 8" xfId="17710" xr:uid="{00000000-0005-0000-0000-0000477B0000}"/>
    <cellStyle name="Normal 3 7 26 8 2" xfId="35142" xr:uid="{00000000-0005-0000-0000-0000487B0000}"/>
    <cellStyle name="Normal 3 7 26 9" xfId="17711" xr:uid="{00000000-0005-0000-0000-0000497B0000}"/>
    <cellStyle name="Normal 3 7 26 9 2" xfId="35143" xr:uid="{00000000-0005-0000-0000-00004A7B0000}"/>
    <cellStyle name="Normal 3 7 3" xfId="17712" xr:uid="{00000000-0005-0000-0000-00004B7B0000}"/>
    <cellStyle name="Normal 3 7 4" xfId="17713" xr:uid="{00000000-0005-0000-0000-00004C7B0000}"/>
    <cellStyle name="Normal 3 7 5" xfId="17714" xr:uid="{00000000-0005-0000-0000-00004D7B0000}"/>
    <cellStyle name="Normal 3 7 6" xfId="17715" xr:uid="{00000000-0005-0000-0000-00004E7B0000}"/>
    <cellStyle name="Normal 3 7 7" xfId="17716" xr:uid="{00000000-0005-0000-0000-00004F7B0000}"/>
    <cellStyle name="Normal 3 7 8" xfId="17717" xr:uid="{00000000-0005-0000-0000-0000507B0000}"/>
    <cellStyle name="Normal 3 7 9" xfId="17718" xr:uid="{00000000-0005-0000-0000-0000517B0000}"/>
    <cellStyle name="Normal 3 8" xfId="17719" xr:uid="{00000000-0005-0000-0000-0000527B0000}"/>
    <cellStyle name="Normal 3 8 10" xfId="17720" xr:uid="{00000000-0005-0000-0000-0000537B0000}"/>
    <cellStyle name="Normal 3 8 11" xfId="17721" xr:uid="{00000000-0005-0000-0000-0000547B0000}"/>
    <cellStyle name="Normal 3 8 11 10" xfId="17722" xr:uid="{00000000-0005-0000-0000-0000557B0000}"/>
    <cellStyle name="Normal 3 8 11 10 2" xfId="35145" xr:uid="{00000000-0005-0000-0000-0000567B0000}"/>
    <cellStyle name="Normal 3 8 11 11" xfId="17723" xr:uid="{00000000-0005-0000-0000-0000577B0000}"/>
    <cellStyle name="Normal 3 8 11 11 2" xfId="35146" xr:uid="{00000000-0005-0000-0000-0000587B0000}"/>
    <cellStyle name="Normal 3 8 11 12" xfId="17724" xr:uid="{00000000-0005-0000-0000-0000597B0000}"/>
    <cellStyle name="Normal 3 8 11 12 2" xfId="35147" xr:uid="{00000000-0005-0000-0000-00005A7B0000}"/>
    <cellStyle name="Normal 3 8 11 13" xfId="17725" xr:uid="{00000000-0005-0000-0000-00005B7B0000}"/>
    <cellStyle name="Normal 3 8 11 13 2" xfId="35148" xr:uid="{00000000-0005-0000-0000-00005C7B0000}"/>
    <cellStyle name="Normal 3 8 11 14" xfId="17726" xr:uid="{00000000-0005-0000-0000-00005D7B0000}"/>
    <cellStyle name="Normal 3 8 11 14 2" xfId="35149" xr:uid="{00000000-0005-0000-0000-00005E7B0000}"/>
    <cellStyle name="Normal 3 8 11 15" xfId="17727" xr:uid="{00000000-0005-0000-0000-00005F7B0000}"/>
    <cellStyle name="Normal 3 8 11 15 2" xfId="35150" xr:uid="{00000000-0005-0000-0000-0000607B0000}"/>
    <cellStyle name="Normal 3 8 11 16" xfId="17728" xr:uid="{00000000-0005-0000-0000-0000617B0000}"/>
    <cellStyle name="Normal 3 8 11 16 2" xfId="35151" xr:uid="{00000000-0005-0000-0000-0000627B0000}"/>
    <cellStyle name="Normal 3 8 11 17" xfId="17729" xr:uid="{00000000-0005-0000-0000-0000637B0000}"/>
    <cellStyle name="Normal 3 8 11 17 2" xfId="35152" xr:uid="{00000000-0005-0000-0000-0000647B0000}"/>
    <cellStyle name="Normal 3 8 11 18" xfId="35144" xr:uid="{00000000-0005-0000-0000-0000657B0000}"/>
    <cellStyle name="Normal 3 8 11 2" xfId="17730" xr:uid="{00000000-0005-0000-0000-0000667B0000}"/>
    <cellStyle name="Normal 3 8 11 3" xfId="17731" xr:uid="{00000000-0005-0000-0000-0000677B0000}"/>
    <cellStyle name="Normal 3 8 11 4" xfId="17732" xr:uid="{00000000-0005-0000-0000-0000687B0000}"/>
    <cellStyle name="Normal 3 8 11 5" xfId="17733" xr:uid="{00000000-0005-0000-0000-0000697B0000}"/>
    <cellStyle name="Normal 3 8 11 5 2" xfId="35153" xr:uid="{00000000-0005-0000-0000-00006A7B0000}"/>
    <cellStyle name="Normal 3 8 11 6" xfId="17734" xr:uid="{00000000-0005-0000-0000-00006B7B0000}"/>
    <cellStyle name="Normal 3 8 11 6 2" xfId="35154" xr:uid="{00000000-0005-0000-0000-00006C7B0000}"/>
    <cellStyle name="Normal 3 8 11 7" xfId="17735" xr:uid="{00000000-0005-0000-0000-00006D7B0000}"/>
    <cellStyle name="Normal 3 8 11 7 2" xfId="35155" xr:uid="{00000000-0005-0000-0000-00006E7B0000}"/>
    <cellStyle name="Normal 3 8 11 8" xfId="17736" xr:uid="{00000000-0005-0000-0000-00006F7B0000}"/>
    <cellStyle name="Normal 3 8 11 8 2" xfId="35156" xr:uid="{00000000-0005-0000-0000-0000707B0000}"/>
    <cellStyle name="Normal 3 8 11 9" xfId="17737" xr:uid="{00000000-0005-0000-0000-0000717B0000}"/>
    <cellStyle name="Normal 3 8 11 9 2" xfId="35157" xr:uid="{00000000-0005-0000-0000-0000727B0000}"/>
    <cellStyle name="Normal 3 8 12" xfId="17738" xr:uid="{00000000-0005-0000-0000-0000737B0000}"/>
    <cellStyle name="Normal 3 8 13" xfId="17739" xr:uid="{00000000-0005-0000-0000-0000747B0000}"/>
    <cellStyle name="Normal 3 8 14" xfId="17740" xr:uid="{00000000-0005-0000-0000-0000757B0000}"/>
    <cellStyle name="Normal 3 8 14 10" xfId="17741" xr:uid="{00000000-0005-0000-0000-0000767B0000}"/>
    <cellStyle name="Normal 3 8 14 10 2" xfId="35159" xr:uid="{00000000-0005-0000-0000-0000777B0000}"/>
    <cellStyle name="Normal 3 8 14 11" xfId="17742" xr:uid="{00000000-0005-0000-0000-0000787B0000}"/>
    <cellStyle name="Normal 3 8 14 11 2" xfId="35160" xr:uid="{00000000-0005-0000-0000-0000797B0000}"/>
    <cellStyle name="Normal 3 8 14 12" xfId="17743" xr:uid="{00000000-0005-0000-0000-00007A7B0000}"/>
    <cellStyle name="Normal 3 8 14 12 2" xfId="35161" xr:uid="{00000000-0005-0000-0000-00007B7B0000}"/>
    <cellStyle name="Normal 3 8 14 13" xfId="17744" xr:uid="{00000000-0005-0000-0000-00007C7B0000}"/>
    <cellStyle name="Normal 3 8 14 13 2" xfId="35162" xr:uid="{00000000-0005-0000-0000-00007D7B0000}"/>
    <cellStyle name="Normal 3 8 14 14" xfId="17745" xr:uid="{00000000-0005-0000-0000-00007E7B0000}"/>
    <cellStyle name="Normal 3 8 14 14 2" xfId="35163" xr:uid="{00000000-0005-0000-0000-00007F7B0000}"/>
    <cellStyle name="Normal 3 8 14 15" xfId="17746" xr:uid="{00000000-0005-0000-0000-0000807B0000}"/>
    <cellStyle name="Normal 3 8 14 15 2" xfId="35164" xr:uid="{00000000-0005-0000-0000-0000817B0000}"/>
    <cellStyle name="Normal 3 8 14 16" xfId="35158" xr:uid="{00000000-0005-0000-0000-0000827B0000}"/>
    <cellStyle name="Normal 3 8 14 2" xfId="17747" xr:uid="{00000000-0005-0000-0000-0000837B0000}"/>
    <cellStyle name="Normal 3 8 14 2 10" xfId="17748" xr:uid="{00000000-0005-0000-0000-0000847B0000}"/>
    <cellStyle name="Normal 3 8 14 2 10 2" xfId="35166" xr:uid="{00000000-0005-0000-0000-0000857B0000}"/>
    <cellStyle name="Normal 3 8 14 2 11" xfId="17749" xr:uid="{00000000-0005-0000-0000-0000867B0000}"/>
    <cellStyle name="Normal 3 8 14 2 11 2" xfId="35167" xr:uid="{00000000-0005-0000-0000-0000877B0000}"/>
    <cellStyle name="Normal 3 8 14 2 12" xfId="17750" xr:uid="{00000000-0005-0000-0000-0000887B0000}"/>
    <cellStyle name="Normal 3 8 14 2 12 2" xfId="35168" xr:uid="{00000000-0005-0000-0000-0000897B0000}"/>
    <cellStyle name="Normal 3 8 14 2 13" xfId="17751" xr:uid="{00000000-0005-0000-0000-00008A7B0000}"/>
    <cellStyle name="Normal 3 8 14 2 13 2" xfId="35169" xr:uid="{00000000-0005-0000-0000-00008B7B0000}"/>
    <cellStyle name="Normal 3 8 14 2 14" xfId="17752" xr:uid="{00000000-0005-0000-0000-00008C7B0000}"/>
    <cellStyle name="Normal 3 8 14 2 14 2" xfId="35170" xr:uid="{00000000-0005-0000-0000-00008D7B0000}"/>
    <cellStyle name="Normal 3 8 14 2 15" xfId="35165" xr:uid="{00000000-0005-0000-0000-00008E7B0000}"/>
    <cellStyle name="Normal 3 8 14 2 2" xfId="17753" xr:uid="{00000000-0005-0000-0000-00008F7B0000}"/>
    <cellStyle name="Normal 3 8 14 2 2 2" xfId="35171" xr:uid="{00000000-0005-0000-0000-0000907B0000}"/>
    <cellStyle name="Normal 3 8 14 2 3" xfId="17754" xr:uid="{00000000-0005-0000-0000-0000917B0000}"/>
    <cellStyle name="Normal 3 8 14 2 3 2" xfId="35172" xr:uid="{00000000-0005-0000-0000-0000927B0000}"/>
    <cellStyle name="Normal 3 8 14 2 4" xfId="17755" xr:uid="{00000000-0005-0000-0000-0000937B0000}"/>
    <cellStyle name="Normal 3 8 14 2 4 2" xfId="35173" xr:uid="{00000000-0005-0000-0000-0000947B0000}"/>
    <cellStyle name="Normal 3 8 14 2 5" xfId="17756" xr:uid="{00000000-0005-0000-0000-0000957B0000}"/>
    <cellStyle name="Normal 3 8 14 2 5 2" xfId="35174" xr:uid="{00000000-0005-0000-0000-0000967B0000}"/>
    <cellStyle name="Normal 3 8 14 2 6" xfId="17757" xr:uid="{00000000-0005-0000-0000-0000977B0000}"/>
    <cellStyle name="Normal 3 8 14 2 6 2" xfId="35175" xr:uid="{00000000-0005-0000-0000-0000987B0000}"/>
    <cellStyle name="Normal 3 8 14 2 7" xfId="17758" xr:uid="{00000000-0005-0000-0000-0000997B0000}"/>
    <cellStyle name="Normal 3 8 14 2 7 2" xfId="35176" xr:uid="{00000000-0005-0000-0000-00009A7B0000}"/>
    <cellStyle name="Normal 3 8 14 2 8" xfId="17759" xr:uid="{00000000-0005-0000-0000-00009B7B0000}"/>
    <cellStyle name="Normal 3 8 14 2 8 2" xfId="35177" xr:uid="{00000000-0005-0000-0000-00009C7B0000}"/>
    <cellStyle name="Normal 3 8 14 2 9" xfId="17760" xr:uid="{00000000-0005-0000-0000-00009D7B0000}"/>
    <cellStyle name="Normal 3 8 14 2 9 2" xfId="35178" xr:uid="{00000000-0005-0000-0000-00009E7B0000}"/>
    <cellStyle name="Normal 3 8 14 3" xfId="17761" xr:uid="{00000000-0005-0000-0000-00009F7B0000}"/>
    <cellStyle name="Normal 3 8 14 3 2" xfId="35179" xr:uid="{00000000-0005-0000-0000-0000A07B0000}"/>
    <cellStyle name="Normal 3 8 14 4" xfId="17762" xr:uid="{00000000-0005-0000-0000-0000A17B0000}"/>
    <cellStyle name="Normal 3 8 14 4 2" xfId="35180" xr:uid="{00000000-0005-0000-0000-0000A27B0000}"/>
    <cellStyle name="Normal 3 8 14 5" xfId="17763" xr:uid="{00000000-0005-0000-0000-0000A37B0000}"/>
    <cellStyle name="Normal 3 8 14 5 2" xfId="35181" xr:uid="{00000000-0005-0000-0000-0000A47B0000}"/>
    <cellStyle name="Normal 3 8 14 6" xfId="17764" xr:uid="{00000000-0005-0000-0000-0000A57B0000}"/>
    <cellStyle name="Normal 3 8 14 6 2" xfId="35182" xr:uid="{00000000-0005-0000-0000-0000A67B0000}"/>
    <cellStyle name="Normal 3 8 14 7" xfId="17765" xr:uid="{00000000-0005-0000-0000-0000A77B0000}"/>
    <cellStyle name="Normal 3 8 14 7 2" xfId="35183" xr:uid="{00000000-0005-0000-0000-0000A87B0000}"/>
    <cellStyle name="Normal 3 8 14 8" xfId="17766" xr:uid="{00000000-0005-0000-0000-0000A97B0000}"/>
    <cellStyle name="Normal 3 8 14 8 2" xfId="35184" xr:uid="{00000000-0005-0000-0000-0000AA7B0000}"/>
    <cellStyle name="Normal 3 8 14 9" xfId="17767" xr:uid="{00000000-0005-0000-0000-0000AB7B0000}"/>
    <cellStyle name="Normal 3 8 14 9 2" xfId="35185" xr:uid="{00000000-0005-0000-0000-0000AC7B0000}"/>
    <cellStyle name="Normal 3 8 15" xfId="17768" xr:uid="{00000000-0005-0000-0000-0000AD7B0000}"/>
    <cellStyle name="Normal 3 8 15 10" xfId="17769" xr:uid="{00000000-0005-0000-0000-0000AE7B0000}"/>
    <cellStyle name="Normal 3 8 15 10 2" xfId="35187" xr:uid="{00000000-0005-0000-0000-0000AF7B0000}"/>
    <cellStyle name="Normal 3 8 15 11" xfId="17770" xr:uid="{00000000-0005-0000-0000-0000B07B0000}"/>
    <cellStyle name="Normal 3 8 15 11 2" xfId="35188" xr:uid="{00000000-0005-0000-0000-0000B17B0000}"/>
    <cellStyle name="Normal 3 8 15 12" xfId="17771" xr:uid="{00000000-0005-0000-0000-0000B27B0000}"/>
    <cellStyle name="Normal 3 8 15 12 2" xfId="35189" xr:uid="{00000000-0005-0000-0000-0000B37B0000}"/>
    <cellStyle name="Normal 3 8 15 13" xfId="17772" xr:uid="{00000000-0005-0000-0000-0000B47B0000}"/>
    <cellStyle name="Normal 3 8 15 13 2" xfId="35190" xr:uid="{00000000-0005-0000-0000-0000B57B0000}"/>
    <cellStyle name="Normal 3 8 15 14" xfId="17773" xr:uid="{00000000-0005-0000-0000-0000B67B0000}"/>
    <cellStyle name="Normal 3 8 15 14 2" xfId="35191" xr:uid="{00000000-0005-0000-0000-0000B77B0000}"/>
    <cellStyle name="Normal 3 8 15 15" xfId="17774" xr:uid="{00000000-0005-0000-0000-0000B87B0000}"/>
    <cellStyle name="Normal 3 8 15 15 2" xfId="35192" xr:uid="{00000000-0005-0000-0000-0000B97B0000}"/>
    <cellStyle name="Normal 3 8 15 16" xfId="35186" xr:uid="{00000000-0005-0000-0000-0000BA7B0000}"/>
    <cellStyle name="Normal 3 8 15 2" xfId="17775" xr:uid="{00000000-0005-0000-0000-0000BB7B0000}"/>
    <cellStyle name="Normal 3 8 15 2 10" xfId="17776" xr:uid="{00000000-0005-0000-0000-0000BC7B0000}"/>
    <cellStyle name="Normal 3 8 15 2 10 2" xfId="35194" xr:uid="{00000000-0005-0000-0000-0000BD7B0000}"/>
    <cellStyle name="Normal 3 8 15 2 11" xfId="17777" xr:uid="{00000000-0005-0000-0000-0000BE7B0000}"/>
    <cellStyle name="Normal 3 8 15 2 11 2" xfId="35195" xr:uid="{00000000-0005-0000-0000-0000BF7B0000}"/>
    <cellStyle name="Normal 3 8 15 2 12" xfId="17778" xr:uid="{00000000-0005-0000-0000-0000C07B0000}"/>
    <cellStyle name="Normal 3 8 15 2 12 2" xfId="35196" xr:uid="{00000000-0005-0000-0000-0000C17B0000}"/>
    <cellStyle name="Normal 3 8 15 2 13" xfId="17779" xr:uid="{00000000-0005-0000-0000-0000C27B0000}"/>
    <cellStyle name="Normal 3 8 15 2 13 2" xfId="35197" xr:uid="{00000000-0005-0000-0000-0000C37B0000}"/>
    <cellStyle name="Normal 3 8 15 2 14" xfId="17780" xr:uid="{00000000-0005-0000-0000-0000C47B0000}"/>
    <cellStyle name="Normal 3 8 15 2 14 2" xfId="35198" xr:uid="{00000000-0005-0000-0000-0000C57B0000}"/>
    <cellStyle name="Normal 3 8 15 2 15" xfId="35193" xr:uid="{00000000-0005-0000-0000-0000C67B0000}"/>
    <cellStyle name="Normal 3 8 15 2 2" xfId="17781" xr:uid="{00000000-0005-0000-0000-0000C77B0000}"/>
    <cellStyle name="Normal 3 8 15 2 2 2" xfId="35199" xr:uid="{00000000-0005-0000-0000-0000C87B0000}"/>
    <cellStyle name="Normal 3 8 15 2 3" xfId="17782" xr:uid="{00000000-0005-0000-0000-0000C97B0000}"/>
    <cellStyle name="Normal 3 8 15 2 3 2" xfId="35200" xr:uid="{00000000-0005-0000-0000-0000CA7B0000}"/>
    <cellStyle name="Normal 3 8 15 2 4" xfId="17783" xr:uid="{00000000-0005-0000-0000-0000CB7B0000}"/>
    <cellStyle name="Normal 3 8 15 2 4 2" xfId="35201" xr:uid="{00000000-0005-0000-0000-0000CC7B0000}"/>
    <cellStyle name="Normal 3 8 15 2 5" xfId="17784" xr:uid="{00000000-0005-0000-0000-0000CD7B0000}"/>
    <cellStyle name="Normal 3 8 15 2 5 2" xfId="35202" xr:uid="{00000000-0005-0000-0000-0000CE7B0000}"/>
    <cellStyle name="Normal 3 8 15 2 6" xfId="17785" xr:uid="{00000000-0005-0000-0000-0000CF7B0000}"/>
    <cellStyle name="Normal 3 8 15 2 6 2" xfId="35203" xr:uid="{00000000-0005-0000-0000-0000D07B0000}"/>
    <cellStyle name="Normal 3 8 15 2 7" xfId="17786" xr:uid="{00000000-0005-0000-0000-0000D17B0000}"/>
    <cellStyle name="Normal 3 8 15 2 7 2" xfId="35204" xr:uid="{00000000-0005-0000-0000-0000D27B0000}"/>
    <cellStyle name="Normal 3 8 15 2 8" xfId="17787" xr:uid="{00000000-0005-0000-0000-0000D37B0000}"/>
    <cellStyle name="Normal 3 8 15 2 8 2" xfId="35205" xr:uid="{00000000-0005-0000-0000-0000D47B0000}"/>
    <cellStyle name="Normal 3 8 15 2 9" xfId="17788" xr:uid="{00000000-0005-0000-0000-0000D57B0000}"/>
    <cellStyle name="Normal 3 8 15 2 9 2" xfId="35206" xr:uid="{00000000-0005-0000-0000-0000D67B0000}"/>
    <cellStyle name="Normal 3 8 15 3" xfId="17789" xr:uid="{00000000-0005-0000-0000-0000D77B0000}"/>
    <cellStyle name="Normal 3 8 15 3 2" xfId="35207" xr:uid="{00000000-0005-0000-0000-0000D87B0000}"/>
    <cellStyle name="Normal 3 8 15 4" xfId="17790" xr:uid="{00000000-0005-0000-0000-0000D97B0000}"/>
    <cellStyle name="Normal 3 8 15 4 2" xfId="35208" xr:uid="{00000000-0005-0000-0000-0000DA7B0000}"/>
    <cellStyle name="Normal 3 8 15 5" xfId="17791" xr:uid="{00000000-0005-0000-0000-0000DB7B0000}"/>
    <cellStyle name="Normal 3 8 15 5 2" xfId="35209" xr:uid="{00000000-0005-0000-0000-0000DC7B0000}"/>
    <cellStyle name="Normal 3 8 15 6" xfId="17792" xr:uid="{00000000-0005-0000-0000-0000DD7B0000}"/>
    <cellStyle name="Normal 3 8 15 6 2" xfId="35210" xr:uid="{00000000-0005-0000-0000-0000DE7B0000}"/>
    <cellStyle name="Normal 3 8 15 7" xfId="17793" xr:uid="{00000000-0005-0000-0000-0000DF7B0000}"/>
    <cellStyle name="Normal 3 8 15 7 2" xfId="35211" xr:uid="{00000000-0005-0000-0000-0000E07B0000}"/>
    <cellStyle name="Normal 3 8 15 8" xfId="17794" xr:uid="{00000000-0005-0000-0000-0000E17B0000}"/>
    <cellStyle name="Normal 3 8 15 8 2" xfId="35212" xr:uid="{00000000-0005-0000-0000-0000E27B0000}"/>
    <cellStyle name="Normal 3 8 15 9" xfId="17795" xr:uid="{00000000-0005-0000-0000-0000E37B0000}"/>
    <cellStyle name="Normal 3 8 15 9 2" xfId="35213" xr:uid="{00000000-0005-0000-0000-0000E47B0000}"/>
    <cellStyle name="Normal 3 8 16" xfId="17796" xr:uid="{00000000-0005-0000-0000-0000E57B0000}"/>
    <cellStyle name="Normal 3 8 16 10" xfId="17797" xr:uid="{00000000-0005-0000-0000-0000E67B0000}"/>
    <cellStyle name="Normal 3 8 16 10 2" xfId="35215" xr:uid="{00000000-0005-0000-0000-0000E77B0000}"/>
    <cellStyle name="Normal 3 8 16 11" xfId="17798" xr:uid="{00000000-0005-0000-0000-0000E87B0000}"/>
    <cellStyle name="Normal 3 8 16 11 2" xfId="35216" xr:uid="{00000000-0005-0000-0000-0000E97B0000}"/>
    <cellStyle name="Normal 3 8 16 12" xfId="17799" xr:uid="{00000000-0005-0000-0000-0000EA7B0000}"/>
    <cellStyle name="Normal 3 8 16 12 2" xfId="35217" xr:uid="{00000000-0005-0000-0000-0000EB7B0000}"/>
    <cellStyle name="Normal 3 8 16 13" xfId="17800" xr:uid="{00000000-0005-0000-0000-0000EC7B0000}"/>
    <cellStyle name="Normal 3 8 16 13 2" xfId="35218" xr:uid="{00000000-0005-0000-0000-0000ED7B0000}"/>
    <cellStyle name="Normal 3 8 16 14" xfId="17801" xr:uid="{00000000-0005-0000-0000-0000EE7B0000}"/>
    <cellStyle name="Normal 3 8 16 14 2" xfId="35219" xr:uid="{00000000-0005-0000-0000-0000EF7B0000}"/>
    <cellStyle name="Normal 3 8 16 15" xfId="17802" xr:uid="{00000000-0005-0000-0000-0000F07B0000}"/>
    <cellStyle name="Normal 3 8 16 15 2" xfId="35220" xr:uid="{00000000-0005-0000-0000-0000F17B0000}"/>
    <cellStyle name="Normal 3 8 16 16" xfId="35214" xr:uid="{00000000-0005-0000-0000-0000F27B0000}"/>
    <cellStyle name="Normal 3 8 16 2" xfId="17803" xr:uid="{00000000-0005-0000-0000-0000F37B0000}"/>
    <cellStyle name="Normal 3 8 16 2 10" xfId="17804" xr:uid="{00000000-0005-0000-0000-0000F47B0000}"/>
    <cellStyle name="Normal 3 8 16 2 10 2" xfId="35222" xr:uid="{00000000-0005-0000-0000-0000F57B0000}"/>
    <cellStyle name="Normal 3 8 16 2 11" xfId="17805" xr:uid="{00000000-0005-0000-0000-0000F67B0000}"/>
    <cellStyle name="Normal 3 8 16 2 11 2" xfId="35223" xr:uid="{00000000-0005-0000-0000-0000F77B0000}"/>
    <cellStyle name="Normal 3 8 16 2 12" xfId="17806" xr:uid="{00000000-0005-0000-0000-0000F87B0000}"/>
    <cellStyle name="Normal 3 8 16 2 12 2" xfId="35224" xr:uid="{00000000-0005-0000-0000-0000F97B0000}"/>
    <cellStyle name="Normal 3 8 16 2 13" xfId="17807" xr:uid="{00000000-0005-0000-0000-0000FA7B0000}"/>
    <cellStyle name="Normal 3 8 16 2 13 2" xfId="35225" xr:uid="{00000000-0005-0000-0000-0000FB7B0000}"/>
    <cellStyle name="Normal 3 8 16 2 14" xfId="17808" xr:uid="{00000000-0005-0000-0000-0000FC7B0000}"/>
    <cellStyle name="Normal 3 8 16 2 14 2" xfId="35226" xr:uid="{00000000-0005-0000-0000-0000FD7B0000}"/>
    <cellStyle name="Normal 3 8 16 2 15" xfId="35221" xr:uid="{00000000-0005-0000-0000-0000FE7B0000}"/>
    <cellStyle name="Normal 3 8 16 2 2" xfId="17809" xr:uid="{00000000-0005-0000-0000-0000FF7B0000}"/>
    <cellStyle name="Normal 3 8 16 2 2 2" xfId="35227" xr:uid="{00000000-0005-0000-0000-0000007C0000}"/>
    <cellStyle name="Normal 3 8 16 2 3" xfId="17810" xr:uid="{00000000-0005-0000-0000-0000017C0000}"/>
    <cellStyle name="Normal 3 8 16 2 3 2" xfId="35228" xr:uid="{00000000-0005-0000-0000-0000027C0000}"/>
    <cellStyle name="Normal 3 8 16 2 4" xfId="17811" xr:uid="{00000000-0005-0000-0000-0000037C0000}"/>
    <cellStyle name="Normal 3 8 16 2 4 2" xfId="35229" xr:uid="{00000000-0005-0000-0000-0000047C0000}"/>
    <cellStyle name="Normal 3 8 16 2 5" xfId="17812" xr:uid="{00000000-0005-0000-0000-0000057C0000}"/>
    <cellStyle name="Normal 3 8 16 2 5 2" xfId="35230" xr:uid="{00000000-0005-0000-0000-0000067C0000}"/>
    <cellStyle name="Normal 3 8 16 2 6" xfId="17813" xr:uid="{00000000-0005-0000-0000-0000077C0000}"/>
    <cellStyle name="Normal 3 8 16 2 6 2" xfId="35231" xr:uid="{00000000-0005-0000-0000-0000087C0000}"/>
    <cellStyle name="Normal 3 8 16 2 7" xfId="17814" xr:uid="{00000000-0005-0000-0000-0000097C0000}"/>
    <cellStyle name="Normal 3 8 16 2 7 2" xfId="35232" xr:uid="{00000000-0005-0000-0000-00000A7C0000}"/>
    <cellStyle name="Normal 3 8 16 2 8" xfId="17815" xr:uid="{00000000-0005-0000-0000-00000B7C0000}"/>
    <cellStyle name="Normal 3 8 16 2 8 2" xfId="35233" xr:uid="{00000000-0005-0000-0000-00000C7C0000}"/>
    <cellStyle name="Normal 3 8 16 2 9" xfId="17816" xr:uid="{00000000-0005-0000-0000-00000D7C0000}"/>
    <cellStyle name="Normal 3 8 16 2 9 2" xfId="35234" xr:uid="{00000000-0005-0000-0000-00000E7C0000}"/>
    <cellStyle name="Normal 3 8 16 3" xfId="17817" xr:uid="{00000000-0005-0000-0000-00000F7C0000}"/>
    <cellStyle name="Normal 3 8 16 3 2" xfId="35235" xr:uid="{00000000-0005-0000-0000-0000107C0000}"/>
    <cellStyle name="Normal 3 8 16 4" xfId="17818" xr:uid="{00000000-0005-0000-0000-0000117C0000}"/>
    <cellStyle name="Normal 3 8 16 4 2" xfId="35236" xr:uid="{00000000-0005-0000-0000-0000127C0000}"/>
    <cellStyle name="Normal 3 8 16 5" xfId="17819" xr:uid="{00000000-0005-0000-0000-0000137C0000}"/>
    <cellStyle name="Normal 3 8 16 5 2" xfId="35237" xr:uid="{00000000-0005-0000-0000-0000147C0000}"/>
    <cellStyle name="Normal 3 8 16 6" xfId="17820" xr:uid="{00000000-0005-0000-0000-0000157C0000}"/>
    <cellStyle name="Normal 3 8 16 6 2" xfId="35238" xr:uid="{00000000-0005-0000-0000-0000167C0000}"/>
    <cellStyle name="Normal 3 8 16 7" xfId="17821" xr:uid="{00000000-0005-0000-0000-0000177C0000}"/>
    <cellStyle name="Normal 3 8 16 7 2" xfId="35239" xr:uid="{00000000-0005-0000-0000-0000187C0000}"/>
    <cellStyle name="Normal 3 8 16 8" xfId="17822" xr:uid="{00000000-0005-0000-0000-0000197C0000}"/>
    <cellStyle name="Normal 3 8 16 8 2" xfId="35240" xr:uid="{00000000-0005-0000-0000-00001A7C0000}"/>
    <cellStyle name="Normal 3 8 16 9" xfId="17823" xr:uid="{00000000-0005-0000-0000-00001B7C0000}"/>
    <cellStyle name="Normal 3 8 16 9 2" xfId="35241" xr:uid="{00000000-0005-0000-0000-00001C7C0000}"/>
    <cellStyle name="Normal 3 8 17" xfId="17824" xr:uid="{00000000-0005-0000-0000-00001D7C0000}"/>
    <cellStyle name="Normal 3 8 17 10" xfId="17825" xr:uid="{00000000-0005-0000-0000-00001E7C0000}"/>
    <cellStyle name="Normal 3 8 17 10 2" xfId="35243" xr:uid="{00000000-0005-0000-0000-00001F7C0000}"/>
    <cellStyle name="Normal 3 8 17 11" xfId="17826" xr:uid="{00000000-0005-0000-0000-0000207C0000}"/>
    <cellStyle name="Normal 3 8 17 11 2" xfId="35244" xr:uid="{00000000-0005-0000-0000-0000217C0000}"/>
    <cellStyle name="Normal 3 8 17 12" xfId="17827" xr:uid="{00000000-0005-0000-0000-0000227C0000}"/>
    <cellStyle name="Normal 3 8 17 12 2" xfId="35245" xr:uid="{00000000-0005-0000-0000-0000237C0000}"/>
    <cellStyle name="Normal 3 8 17 13" xfId="17828" xr:uid="{00000000-0005-0000-0000-0000247C0000}"/>
    <cellStyle name="Normal 3 8 17 13 2" xfId="35246" xr:uid="{00000000-0005-0000-0000-0000257C0000}"/>
    <cellStyle name="Normal 3 8 17 14" xfId="17829" xr:uid="{00000000-0005-0000-0000-0000267C0000}"/>
    <cellStyle name="Normal 3 8 17 14 2" xfId="35247" xr:uid="{00000000-0005-0000-0000-0000277C0000}"/>
    <cellStyle name="Normal 3 8 17 15" xfId="35242" xr:uid="{00000000-0005-0000-0000-0000287C0000}"/>
    <cellStyle name="Normal 3 8 17 2" xfId="17830" xr:uid="{00000000-0005-0000-0000-0000297C0000}"/>
    <cellStyle name="Normal 3 8 17 2 2" xfId="35248" xr:uid="{00000000-0005-0000-0000-00002A7C0000}"/>
    <cellStyle name="Normal 3 8 17 3" xfId="17831" xr:uid="{00000000-0005-0000-0000-00002B7C0000}"/>
    <cellStyle name="Normal 3 8 17 3 2" xfId="35249" xr:uid="{00000000-0005-0000-0000-00002C7C0000}"/>
    <cellStyle name="Normal 3 8 17 4" xfId="17832" xr:uid="{00000000-0005-0000-0000-00002D7C0000}"/>
    <cellStyle name="Normal 3 8 17 4 2" xfId="35250" xr:uid="{00000000-0005-0000-0000-00002E7C0000}"/>
    <cellStyle name="Normal 3 8 17 5" xfId="17833" xr:uid="{00000000-0005-0000-0000-00002F7C0000}"/>
    <cellStyle name="Normal 3 8 17 5 2" xfId="35251" xr:uid="{00000000-0005-0000-0000-0000307C0000}"/>
    <cellStyle name="Normal 3 8 17 6" xfId="17834" xr:uid="{00000000-0005-0000-0000-0000317C0000}"/>
    <cellStyle name="Normal 3 8 17 6 2" xfId="35252" xr:uid="{00000000-0005-0000-0000-0000327C0000}"/>
    <cellStyle name="Normal 3 8 17 7" xfId="17835" xr:uid="{00000000-0005-0000-0000-0000337C0000}"/>
    <cellStyle name="Normal 3 8 17 7 2" xfId="35253" xr:uid="{00000000-0005-0000-0000-0000347C0000}"/>
    <cellStyle name="Normal 3 8 17 8" xfId="17836" xr:uid="{00000000-0005-0000-0000-0000357C0000}"/>
    <cellStyle name="Normal 3 8 17 8 2" xfId="35254" xr:uid="{00000000-0005-0000-0000-0000367C0000}"/>
    <cellStyle name="Normal 3 8 17 9" xfId="17837" xr:uid="{00000000-0005-0000-0000-0000377C0000}"/>
    <cellStyle name="Normal 3 8 17 9 2" xfId="35255" xr:uid="{00000000-0005-0000-0000-0000387C0000}"/>
    <cellStyle name="Normal 3 8 18" xfId="17838" xr:uid="{00000000-0005-0000-0000-0000397C0000}"/>
    <cellStyle name="Normal 3 8 18 10" xfId="17839" xr:uid="{00000000-0005-0000-0000-00003A7C0000}"/>
    <cellStyle name="Normal 3 8 18 10 2" xfId="35257" xr:uid="{00000000-0005-0000-0000-00003B7C0000}"/>
    <cellStyle name="Normal 3 8 18 11" xfId="17840" xr:uid="{00000000-0005-0000-0000-00003C7C0000}"/>
    <cellStyle name="Normal 3 8 18 11 2" xfId="35258" xr:uid="{00000000-0005-0000-0000-00003D7C0000}"/>
    <cellStyle name="Normal 3 8 18 12" xfId="17841" xr:uid="{00000000-0005-0000-0000-00003E7C0000}"/>
    <cellStyle name="Normal 3 8 18 12 2" xfId="35259" xr:uid="{00000000-0005-0000-0000-00003F7C0000}"/>
    <cellStyle name="Normal 3 8 18 13" xfId="17842" xr:uid="{00000000-0005-0000-0000-0000407C0000}"/>
    <cellStyle name="Normal 3 8 18 13 2" xfId="35260" xr:uid="{00000000-0005-0000-0000-0000417C0000}"/>
    <cellStyle name="Normal 3 8 18 14" xfId="17843" xr:uid="{00000000-0005-0000-0000-0000427C0000}"/>
    <cellStyle name="Normal 3 8 18 14 2" xfId="35261" xr:uid="{00000000-0005-0000-0000-0000437C0000}"/>
    <cellStyle name="Normal 3 8 18 15" xfId="35256" xr:uid="{00000000-0005-0000-0000-0000447C0000}"/>
    <cellStyle name="Normal 3 8 18 2" xfId="17844" xr:uid="{00000000-0005-0000-0000-0000457C0000}"/>
    <cellStyle name="Normal 3 8 18 2 2" xfId="35262" xr:uid="{00000000-0005-0000-0000-0000467C0000}"/>
    <cellStyle name="Normal 3 8 18 3" xfId="17845" xr:uid="{00000000-0005-0000-0000-0000477C0000}"/>
    <cellStyle name="Normal 3 8 18 3 2" xfId="35263" xr:uid="{00000000-0005-0000-0000-0000487C0000}"/>
    <cellStyle name="Normal 3 8 18 4" xfId="17846" xr:uid="{00000000-0005-0000-0000-0000497C0000}"/>
    <cellStyle name="Normal 3 8 18 4 2" xfId="35264" xr:uid="{00000000-0005-0000-0000-00004A7C0000}"/>
    <cellStyle name="Normal 3 8 18 5" xfId="17847" xr:uid="{00000000-0005-0000-0000-00004B7C0000}"/>
    <cellStyle name="Normal 3 8 18 5 2" xfId="35265" xr:uid="{00000000-0005-0000-0000-00004C7C0000}"/>
    <cellStyle name="Normal 3 8 18 6" xfId="17848" xr:uid="{00000000-0005-0000-0000-00004D7C0000}"/>
    <cellStyle name="Normal 3 8 18 6 2" xfId="35266" xr:uid="{00000000-0005-0000-0000-00004E7C0000}"/>
    <cellStyle name="Normal 3 8 18 7" xfId="17849" xr:uid="{00000000-0005-0000-0000-00004F7C0000}"/>
    <cellStyle name="Normal 3 8 18 7 2" xfId="35267" xr:uid="{00000000-0005-0000-0000-0000507C0000}"/>
    <cellStyle name="Normal 3 8 18 8" xfId="17850" xr:uid="{00000000-0005-0000-0000-0000517C0000}"/>
    <cellStyle name="Normal 3 8 18 8 2" xfId="35268" xr:uid="{00000000-0005-0000-0000-0000527C0000}"/>
    <cellStyle name="Normal 3 8 18 9" xfId="17851" xr:uid="{00000000-0005-0000-0000-0000537C0000}"/>
    <cellStyle name="Normal 3 8 18 9 2" xfId="35269" xr:uid="{00000000-0005-0000-0000-0000547C0000}"/>
    <cellStyle name="Normal 3 8 19" xfId="17852" xr:uid="{00000000-0005-0000-0000-0000557C0000}"/>
    <cellStyle name="Normal 3 8 19 10" xfId="17853" xr:uid="{00000000-0005-0000-0000-0000567C0000}"/>
    <cellStyle name="Normal 3 8 19 10 2" xfId="35271" xr:uid="{00000000-0005-0000-0000-0000577C0000}"/>
    <cellStyle name="Normal 3 8 19 11" xfId="17854" xr:uid="{00000000-0005-0000-0000-0000587C0000}"/>
    <cellStyle name="Normal 3 8 19 11 2" xfId="35272" xr:uid="{00000000-0005-0000-0000-0000597C0000}"/>
    <cellStyle name="Normal 3 8 19 12" xfId="17855" xr:uid="{00000000-0005-0000-0000-00005A7C0000}"/>
    <cellStyle name="Normal 3 8 19 12 2" xfId="35273" xr:uid="{00000000-0005-0000-0000-00005B7C0000}"/>
    <cellStyle name="Normal 3 8 19 13" xfId="17856" xr:uid="{00000000-0005-0000-0000-00005C7C0000}"/>
    <cellStyle name="Normal 3 8 19 13 2" xfId="35274" xr:uid="{00000000-0005-0000-0000-00005D7C0000}"/>
    <cellStyle name="Normal 3 8 19 14" xfId="17857" xr:uid="{00000000-0005-0000-0000-00005E7C0000}"/>
    <cellStyle name="Normal 3 8 19 14 2" xfId="35275" xr:uid="{00000000-0005-0000-0000-00005F7C0000}"/>
    <cellStyle name="Normal 3 8 19 15" xfId="35270" xr:uid="{00000000-0005-0000-0000-0000607C0000}"/>
    <cellStyle name="Normal 3 8 19 2" xfId="17858" xr:uid="{00000000-0005-0000-0000-0000617C0000}"/>
    <cellStyle name="Normal 3 8 19 2 2" xfId="35276" xr:uid="{00000000-0005-0000-0000-0000627C0000}"/>
    <cellStyle name="Normal 3 8 19 3" xfId="17859" xr:uid="{00000000-0005-0000-0000-0000637C0000}"/>
    <cellStyle name="Normal 3 8 19 3 2" xfId="35277" xr:uid="{00000000-0005-0000-0000-0000647C0000}"/>
    <cellStyle name="Normal 3 8 19 4" xfId="17860" xr:uid="{00000000-0005-0000-0000-0000657C0000}"/>
    <cellStyle name="Normal 3 8 19 4 2" xfId="35278" xr:uid="{00000000-0005-0000-0000-0000667C0000}"/>
    <cellStyle name="Normal 3 8 19 5" xfId="17861" xr:uid="{00000000-0005-0000-0000-0000677C0000}"/>
    <cellStyle name="Normal 3 8 19 5 2" xfId="35279" xr:uid="{00000000-0005-0000-0000-0000687C0000}"/>
    <cellStyle name="Normal 3 8 19 6" xfId="17862" xr:uid="{00000000-0005-0000-0000-0000697C0000}"/>
    <cellStyle name="Normal 3 8 19 6 2" xfId="35280" xr:uid="{00000000-0005-0000-0000-00006A7C0000}"/>
    <cellStyle name="Normal 3 8 19 7" xfId="17863" xr:uid="{00000000-0005-0000-0000-00006B7C0000}"/>
    <cellStyle name="Normal 3 8 19 7 2" xfId="35281" xr:uid="{00000000-0005-0000-0000-00006C7C0000}"/>
    <cellStyle name="Normal 3 8 19 8" xfId="17864" xr:uid="{00000000-0005-0000-0000-00006D7C0000}"/>
    <cellStyle name="Normal 3 8 19 8 2" xfId="35282" xr:uid="{00000000-0005-0000-0000-00006E7C0000}"/>
    <cellStyle name="Normal 3 8 19 9" xfId="17865" xr:uid="{00000000-0005-0000-0000-00006F7C0000}"/>
    <cellStyle name="Normal 3 8 19 9 2" xfId="35283" xr:uid="{00000000-0005-0000-0000-0000707C0000}"/>
    <cellStyle name="Normal 3 8 2" xfId="17866" xr:uid="{00000000-0005-0000-0000-0000717C0000}"/>
    <cellStyle name="Normal 3 8 20" xfId="17867" xr:uid="{00000000-0005-0000-0000-0000727C0000}"/>
    <cellStyle name="Normal 3 8 20 10" xfId="17868" xr:uid="{00000000-0005-0000-0000-0000737C0000}"/>
    <cellStyle name="Normal 3 8 20 10 2" xfId="35285" xr:uid="{00000000-0005-0000-0000-0000747C0000}"/>
    <cellStyle name="Normal 3 8 20 11" xfId="17869" xr:uid="{00000000-0005-0000-0000-0000757C0000}"/>
    <cellStyle name="Normal 3 8 20 11 2" xfId="35286" xr:uid="{00000000-0005-0000-0000-0000767C0000}"/>
    <cellStyle name="Normal 3 8 20 12" xfId="17870" xr:uid="{00000000-0005-0000-0000-0000777C0000}"/>
    <cellStyle name="Normal 3 8 20 12 2" xfId="35287" xr:uid="{00000000-0005-0000-0000-0000787C0000}"/>
    <cellStyle name="Normal 3 8 20 13" xfId="17871" xr:uid="{00000000-0005-0000-0000-0000797C0000}"/>
    <cellStyle name="Normal 3 8 20 13 2" xfId="35288" xr:uid="{00000000-0005-0000-0000-00007A7C0000}"/>
    <cellStyle name="Normal 3 8 20 14" xfId="17872" xr:uid="{00000000-0005-0000-0000-00007B7C0000}"/>
    <cellStyle name="Normal 3 8 20 14 2" xfId="35289" xr:uid="{00000000-0005-0000-0000-00007C7C0000}"/>
    <cellStyle name="Normal 3 8 20 15" xfId="35284" xr:uid="{00000000-0005-0000-0000-00007D7C0000}"/>
    <cellStyle name="Normal 3 8 20 2" xfId="17873" xr:uid="{00000000-0005-0000-0000-00007E7C0000}"/>
    <cellStyle name="Normal 3 8 20 2 2" xfId="35290" xr:uid="{00000000-0005-0000-0000-00007F7C0000}"/>
    <cellStyle name="Normal 3 8 20 3" xfId="17874" xr:uid="{00000000-0005-0000-0000-0000807C0000}"/>
    <cellStyle name="Normal 3 8 20 3 2" xfId="35291" xr:uid="{00000000-0005-0000-0000-0000817C0000}"/>
    <cellStyle name="Normal 3 8 20 4" xfId="17875" xr:uid="{00000000-0005-0000-0000-0000827C0000}"/>
    <cellStyle name="Normal 3 8 20 4 2" xfId="35292" xr:uid="{00000000-0005-0000-0000-0000837C0000}"/>
    <cellStyle name="Normal 3 8 20 5" xfId="17876" xr:uid="{00000000-0005-0000-0000-0000847C0000}"/>
    <cellStyle name="Normal 3 8 20 5 2" xfId="35293" xr:uid="{00000000-0005-0000-0000-0000857C0000}"/>
    <cellStyle name="Normal 3 8 20 6" xfId="17877" xr:uid="{00000000-0005-0000-0000-0000867C0000}"/>
    <cellStyle name="Normal 3 8 20 6 2" xfId="35294" xr:uid="{00000000-0005-0000-0000-0000877C0000}"/>
    <cellStyle name="Normal 3 8 20 7" xfId="17878" xr:uid="{00000000-0005-0000-0000-0000887C0000}"/>
    <cellStyle name="Normal 3 8 20 7 2" xfId="35295" xr:uid="{00000000-0005-0000-0000-0000897C0000}"/>
    <cellStyle name="Normal 3 8 20 8" xfId="17879" xr:uid="{00000000-0005-0000-0000-00008A7C0000}"/>
    <cellStyle name="Normal 3 8 20 8 2" xfId="35296" xr:uid="{00000000-0005-0000-0000-00008B7C0000}"/>
    <cellStyle name="Normal 3 8 20 9" xfId="17880" xr:uid="{00000000-0005-0000-0000-00008C7C0000}"/>
    <cellStyle name="Normal 3 8 20 9 2" xfId="35297" xr:uid="{00000000-0005-0000-0000-00008D7C0000}"/>
    <cellStyle name="Normal 3 8 21" xfId="17881" xr:uid="{00000000-0005-0000-0000-00008E7C0000}"/>
    <cellStyle name="Normal 3 8 21 10" xfId="17882" xr:uid="{00000000-0005-0000-0000-00008F7C0000}"/>
    <cellStyle name="Normal 3 8 21 10 2" xfId="35299" xr:uid="{00000000-0005-0000-0000-0000907C0000}"/>
    <cellStyle name="Normal 3 8 21 11" xfId="17883" xr:uid="{00000000-0005-0000-0000-0000917C0000}"/>
    <cellStyle name="Normal 3 8 21 11 2" xfId="35300" xr:uid="{00000000-0005-0000-0000-0000927C0000}"/>
    <cellStyle name="Normal 3 8 21 12" xfId="17884" xr:uid="{00000000-0005-0000-0000-0000937C0000}"/>
    <cellStyle name="Normal 3 8 21 12 2" xfId="35301" xr:uid="{00000000-0005-0000-0000-0000947C0000}"/>
    <cellStyle name="Normal 3 8 21 13" xfId="17885" xr:uid="{00000000-0005-0000-0000-0000957C0000}"/>
    <cellStyle name="Normal 3 8 21 13 2" xfId="35302" xr:uid="{00000000-0005-0000-0000-0000967C0000}"/>
    <cellStyle name="Normal 3 8 21 14" xfId="17886" xr:uid="{00000000-0005-0000-0000-0000977C0000}"/>
    <cellStyle name="Normal 3 8 21 14 2" xfId="35303" xr:uid="{00000000-0005-0000-0000-0000987C0000}"/>
    <cellStyle name="Normal 3 8 21 15" xfId="35298" xr:uid="{00000000-0005-0000-0000-0000997C0000}"/>
    <cellStyle name="Normal 3 8 21 2" xfId="17887" xr:uid="{00000000-0005-0000-0000-00009A7C0000}"/>
    <cellStyle name="Normal 3 8 21 2 2" xfId="35304" xr:uid="{00000000-0005-0000-0000-00009B7C0000}"/>
    <cellStyle name="Normal 3 8 21 3" xfId="17888" xr:uid="{00000000-0005-0000-0000-00009C7C0000}"/>
    <cellStyle name="Normal 3 8 21 3 2" xfId="35305" xr:uid="{00000000-0005-0000-0000-00009D7C0000}"/>
    <cellStyle name="Normal 3 8 21 4" xfId="17889" xr:uid="{00000000-0005-0000-0000-00009E7C0000}"/>
    <cellStyle name="Normal 3 8 21 4 2" xfId="35306" xr:uid="{00000000-0005-0000-0000-00009F7C0000}"/>
    <cellStyle name="Normal 3 8 21 5" xfId="17890" xr:uid="{00000000-0005-0000-0000-0000A07C0000}"/>
    <cellStyle name="Normal 3 8 21 5 2" xfId="35307" xr:uid="{00000000-0005-0000-0000-0000A17C0000}"/>
    <cellStyle name="Normal 3 8 21 6" xfId="17891" xr:uid="{00000000-0005-0000-0000-0000A27C0000}"/>
    <cellStyle name="Normal 3 8 21 6 2" xfId="35308" xr:uid="{00000000-0005-0000-0000-0000A37C0000}"/>
    <cellStyle name="Normal 3 8 21 7" xfId="17892" xr:uid="{00000000-0005-0000-0000-0000A47C0000}"/>
    <cellStyle name="Normal 3 8 21 7 2" xfId="35309" xr:uid="{00000000-0005-0000-0000-0000A57C0000}"/>
    <cellStyle name="Normal 3 8 21 8" xfId="17893" xr:uid="{00000000-0005-0000-0000-0000A67C0000}"/>
    <cellStyle name="Normal 3 8 21 8 2" xfId="35310" xr:uid="{00000000-0005-0000-0000-0000A77C0000}"/>
    <cellStyle name="Normal 3 8 21 9" xfId="17894" xr:uid="{00000000-0005-0000-0000-0000A87C0000}"/>
    <cellStyle name="Normal 3 8 21 9 2" xfId="35311" xr:uid="{00000000-0005-0000-0000-0000A97C0000}"/>
    <cellStyle name="Normal 3 8 22" xfId="17895" xr:uid="{00000000-0005-0000-0000-0000AA7C0000}"/>
    <cellStyle name="Normal 3 8 22 10" xfId="17896" xr:uid="{00000000-0005-0000-0000-0000AB7C0000}"/>
    <cellStyle name="Normal 3 8 22 10 2" xfId="35313" xr:uid="{00000000-0005-0000-0000-0000AC7C0000}"/>
    <cellStyle name="Normal 3 8 22 11" xfId="17897" xr:uid="{00000000-0005-0000-0000-0000AD7C0000}"/>
    <cellStyle name="Normal 3 8 22 11 2" xfId="35314" xr:uid="{00000000-0005-0000-0000-0000AE7C0000}"/>
    <cellStyle name="Normal 3 8 22 12" xfId="17898" xr:uid="{00000000-0005-0000-0000-0000AF7C0000}"/>
    <cellStyle name="Normal 3 8 22 12 2" xfId="35315" xr:uid="{00000000-0005-0000-0000-0000B07C0000}"/>
    <cellStyle name="Normal 3 8 22 13" xfId="17899" xr:uid="{00000000-0005-0000-0000-0000B17C0000}"/>
    <cellStyle name="Normal 3 8 22 13 2" xfId="35316" xr:uid="{00000000-0005-0000-0000-0000B27C0000}"/>
    <cellStyle name="Normal 3 8 22 14" xfId="17900" xr:uid="{00000000-0005-0000-0000-0000B37C0000}"/>
    <cellStyle name="Normal 3 8 22 14 2" xfId="35317" xr:uid="{00000000-0005-0000-0000-0000B47C0000}"/>
    <cellStyle name="Normal 3 8 22 15" xfId="35312" xr:uid="{00000000-0005-0000-0000-0000B57C0000}"/>
    <cellStyle name="Normal 3 8 22 2" xfId="17901" xr:uid="{00000000-0005-0000-0000-0000B67C0000}"/>
    <cellStyle name="Normal 3 8 22 2 2" xfId="35318" xr:uid="{00000000-0005-0000-0000-0000B77C0000}"/>
    <cellStyle name="Normal 3 8 22 3" xfId="17902" xr:uid="{00000000-0005-0000-0000-0000B87C0000}"/>
    <cellStyle name="Normal 3 8 22 3 2" xfId="35319" xr:uid="{00000000-0005-0000-0000-0000B97C0000}"/>
    <cellStyle name="Normal 3 8 22 4" xfId="17903" xr:uid="{00000000-0005-0000-0000-0000BA7C0000}"/>
    <cellStyle name="Normal 3 8 22 4 2" xfId="35320" xr:uid="{00000000-0005-0000-0000-0000BB7C0000}"/>
    <cellStyle name="Normal 3 8 22 5" xfId="17904" xr:uid="{00000000-0005-0000-0000-0000BC7C0000}"/>
    <cellStyle name="Normal 3 8 22 5 2" xfId="35321" xr:uid="{00000000-0005-0000-0000-0000BD7C0000}"/>
    <cellStyle name="Normal 3 8 22 6" xfId="17905" xr:uid="{00000000-0005-0000-0000-0000BE7C0000}"/>
    <cellStyle name="Normal 3 8 22 6 2" xfId="35322" xr:uid="{00000000-0005-0000-0000-0000BF7C0000}"/>
    <cellStyle name="Normal 3 8 22 7" xfId="17906" xr:uid="{00000000-0005-0000-0000-0000C07C0000}"/>
    <cellStyle name="Normal 3 8 22 7 2" xfId="35323" xr:uid="{00000000-0005-0000-0000-0000C17C0000}"/>
    <cellStyle name="Normal 3 8 22 8" xfId="17907" xr:uid="{00000000-0005-0000-0000-0000C27C0000}"/>
    <cellStyle name="Normal 3 8 22 8 2" xfId="35324" xr:uid="{00000000-0005-0000-0000-0000C37C0000}"/>
    <cellStyle name="Normal 3 8 22 9" xfId="17908" xr:uid="{00000000-0005-0000-0000-0000C47C0000}"/>
    <cellStyle name="Normal 3 8 22 9 2" xfId="35325" xr:uid="{00000000-0005-0000-0000-0000C57C0000}"/>
    <cellStyle name="Normal 3 8 23" xfId="17909" xr:uid="{00000000-0005-0000-0000-0000C67C0000}"/>
    <cellStyle name="Normal 3 8 24" xfId="17910" xr:uid="{00000000-0005-0000-0000-0000C77C0000}"/>
    <cellStyle name="Normal 3 8 25" xfId="17911" xr:uid="{00000000-0005-0000-0000-0000C87C0000}"/>
    <cellStyle name="Normal 3 8 25 10" xfId="17912" xr:uid="{00000000-0005-0000-0000-0000C97C0000}"/>
    <cellStyle name="Normal 3 8 25 10 2" xfId="35327" xr:uid="{00000000-0005-0000-0000-0000CA7C0000}"/>
    <cellStyle name="Normal 3 8 25 11" xfId="17913" xr:uid="{00000000-0005-0000-0000-0000CB7C0000}"/>
    <cellStyle name="Normal 3 8 25 11 2" xfId="35328" xr:uid="{00000000-0005-0000-0000-0000CC7C0000}"/>
    <cellStyle name="Normal 3 8 25 12" xfId="17914" xr:uid="{00000000-0005-0000-0000-0000CD7C0000}"/>
    <cellStyle name="Normal 3 8 25 12 2" xfId="35329" xr:uid="{00000000-0005-0000-0000-0000CE7C0000}"/>
    <cellStyle name="Normal 3 8 25 13" xfId="17915" xr:uid="{00000000-0005-0000-0000-0000CF7C0000}"/>
    <cellStyle name="Normal 3 8 25 13 2" xfId="35330" xr:uid="{00000000-0005-0000-0000-0000D07C0000}"/>
    <cellStyle name="Normal 3 8 25 14" xfId="17916" xr:uid="{00000000-0005-0000-0000-0000D17C0000}"/>
    <cellStyle name="Normal 3 8 25 14 2" xfId="35331" xr:uid="{00000000-0005-0000-0000-0000D27C0000}"/>
    <cellStyle name="Normal 3 8 25 15" xfId="35326" xr:uid="{00000000-0005-0000-0000-0000D37C0000}"/>
    <cellStyle name="Normal 3 8 25 2" xfId="17917" xr:uid="{00000000-0005-0000-0000-0000D47C0000}"/>
    <cellStyle name="Normal 3 8 25 2 2" xfId="35332" xr:uid="{00000000-0005-0000-0000-0000D57C0000}"/>
    <cellStyle name="Normal 3 8 25 3" xfId="17918" xr:uid="{00000000-0005-0000-0000-0000D67C0000}"/>
    <cellStyle name="Normal 3 8 25 3 2" xfId="35333" xr:uid="{00000000-0005-0000-0000-0000D77C0000}"/>
    <cellStyle name="Normal 3 8 25 4" xfId="17919" xr:uid="{00000000-0005-0000-0000-0000D87C0000}"/>
    <cellStyle name="Normal 3 8 25 4 2" xfId="35334" xr:uid="{00000000-0005-0000-0000-0000D97C0000}"/>
    <cellStyle name="Normal 3 8 25 5" xfId="17920" xr:uid="{00000000-0005-0000-0000-0000DA7C0000}"/>
    <cellStyle name="Normal 3 8 25 5 2" xfId="35335" xr:uid="{00000000-0005-0000-0000-0000DB7C0000}"/>
    <cellStyle name="Normal 3 8 25 6" xfId="17921" xr:uid="{00000000-0005-0000-0000-0000DC7C0000}"/>
    <cellStyle name="Normal 3 8 25 6 2" xfId="35336" xr:uid="{00000000-0005-0000-0000-0000DD7C0000}"/>
    <cellStyle name="Normal 3 8 25 7" xfId="17922" xr:uid="{00000000-0005-0000-0000-0000DE7C0000}"/>
    <cellStyle name="Normal 3 8 25 7 2" xfId="35337" xr:uid="{00000000-0005-0000-0000-0000DF7C0000}"/>
    <cellStyle name="Normal 3 8 25 8" xfId="17923" xr:uid="{00000000-0005-0000-0000-0000E07C0000}"/>
    <cellStyle name="Normal 3 8 25 8 2" xfId="35338" xr:uid="{00000000-0005-0000-0000-0000E17C0000}"/>
    <cellStyle name="Normal 3 8 25 9" xfId="17924" xr:uid="{00000000-0005-0000-0000-0000E27C0000}"/>
    <cellStyle name="Normal 3 8 25 9 2" xfId="35339" xr:uid="{00000000-0005-0000-0000-0000E37C0000}"/>
    <cellStyle name="Normal 3 8 26" xfId="17925" xr:uid="{00000000-0005-0000-0000-0000E47C0000}"/>
    <cellStyle name="Normal 3 8 26 10" xfId="17926" xr:uid="{00000000-0005-0000-0000-0000E57C0000}"/>
    <cellStyle name="Normal 3 8 26 10 2" xfId="35341" xr:uid="{00000000-0005-0000-0000-0000E67C0000}"/>
    <cellStyle name="Normal 3 8 26 11" xfId="17927" xr:uid="{00000000-0005-0000-0000-0000E77C0000}"/>
    <cellStyle name="Normal 3 8 26 11 2" xfId="35342" xr:uid="{00000000-0005-0000-0000-0000E87C0000}"/>
    <cellStyle name="Normal 3 8 26 12" xfId="17928" xr:uid="{00000000-0005-0000-0000-0000E97C0000}"/>
    <cellStyle name="Normal 3 8 26 12 2" xfId="35343" xr:uid="{00000000-0005-0000-0000-0000EA7C0000}"/>
    <cellStyle name="Normal 3 8 26 13" xfId="17929" xr:uid="{00000000-0005-0000-0000-0000EB7C0000}"/>
    <cellStyle name="Normal 3 8 26 13 2" xfId="35344" xr:uid="{00000000-0005-0000-0000-0000EC7C0000}"/>
    <cellStyle name="Normal 3 8 26 14" xfId="17930" xr:uid="{00000000-0005-0000-0000-0000ED7C0000}"/>
    <cellStyle name="Normal 3 8 26 14 2" xfId="35345" xr:uid="{00000000-0005-0000-0000-0000EE7C0000}"/>
    <cellStyle name="Normal 3 8 26 15" xfId="35340" xr:uid="{00000000-0005-0000-0000-0000EF7C0000}"/>
    <cellStyle name="Normal 3 8 26 2" xfId="17931" xr:uid="{00000000-0005-0000-0000-0000F07C0000}"/>
    <cellStyle name="Normal 3 8 26 2 2" xfId="35346" xr:uid="{00000000-0005-0000-0000-0000F17C0000}"/>
    <cellStyle name="Normal 3 8 26 3" xfId="17932" xr:uid="{00000000-0005-0000-0000-0000F27C0000}"/>
    <cellStyle name="Normal 3 8 26 3 2" xfId="35347" xr:uid="{00000000-0005-0000-0000-0000F37C0000}"/>
    <cellStyle name="Normal 3 8 26 4" xfId="17933" xr:uid="{00000000-0005-0000-0000-0000F47C0000}"/>
    <cellStyle name="Normal 3 8 26 4 2" xfId="35348" xr:uid="{00000000-0005-0000-0000-0000F57C0000}"/>
    <cellStyle name="Normal 3 8 26 5" xfId="17934" xr:uid="{00000000-0005-0000-0000-0000F67C0000}"/>
    <cellStyle name="Normal 3 8 26 5 2" xfId="35349" xr:uid="{00000000-0005-0000-0000-0000F77C0000}"/>
    <cellStyle name="Normal 3 8 26 6" xfId="17935" xr:uid="{00000000-0005-0000-0000-0000F87C0000}"/>
    <cellStyle name="Normal 3 8 26 6 2" xfId="35350" xr:uid="{00000000-0005-0000-0000-0000F97C0000}"/>
    <cellStyle name="Normal 3 8 26 7" xfId="17936" xr:uid="{00000000-0005-0000-0000-0000FA7C0000}"/>
    <cellStyle name="Normal 3 8 26 7 2" xfId="35351" xr:uid="{00000000-0005-0000-0000-0000FB7C0000}"/>
    <cellStyle name="Normal 3 8 26 8" xfId="17937" xr:uid="{00000000-0005-0000-0000-0000FC7C0000}"/>
    <cellStyle name="Normal 3 8 26 8 2" xfId="35352" xr:uid="{00000000-0005-0000-0000-0000FD7C0000}"/>
    <cellStyle name="Normal 3 8 26 9" xfId="17938" xr:uid="{00000000-0005-0000-0000-0000FE7C0000}"/>
    <cellStyle name="Normal 3 8 26 9 2" xfId="35353" xr:uid="{00000000-0005-0000-0000-0000FF7C0000}"/>
    <cellStyle name="Normal 3 8 3" xfId="17939" xr:uid="{00000000-0005-0000-0000-0000007D0000}"/>
    <cellStyle name="Normal 3 8 4" xfId="17940" xr:uid="{00000000-0005-0000-0000-0000017D0000}"/>
    <cellStyle name="Normal 3 8 5" xfId="17941" xr:uid="{00000000-0005-0000-0000-0000027D0000}"/>
    <cellStyle name="Normal 3 8 6" xfId="17942" xr:uid="{00000000-0005-0000-0000-0000037D0000}"/>
    <cellStyle name="Normal 3 8 7" xfId="17943" xr:uid="{00000000-0005-0000-0000-0000047D0000}"/>
    <cellStyle name="Normal 3 8 8" xfId="17944" xr:uid="{00000000-0005-0000-0000-0000057D0000}"/>
    <cellStyle name="Normal 3 8 9" xfId="17945" xr:uid="{00000000-0005-0000-0000-0000067D0000}"/>
    <cellStyle name="Normal 3 9" xfId="17946" xr:uid="{00000000-0005-0000-0000-0000077D0000}"/>
    <cellStyle name="Normal 3 9 10" xfId="17947" xr:uid="{00000000-0005-0000-0000-0000087D0000}"/>
    <cellStyle name="Normal 3 9 11" xfId="17948" xr:uid="{00000000-0005-0000-0000-0000097D0000}"/>
    <cellStyle name="Normal 3 9 11 10" xfId="17949" xr:uid="{00000000-0005-0000-0000-00000A7D0000}"/>
    <cellStyle name="Normal 3 9 11 10 2" xfId="35355" xr:uid="{00000000-0005-0000-0000-00000B7D0000}"/>
    <cellStyle name="Normal 3 9 11 11" xfId="17950" xr:uid="{00000000-0005-0000-0000-00000C7D0000}"/>
    <cellStyle name="Normal 3 9 11 11 2" xfId="35356" xr:uid="{00000000-0005-0000-0000-00000D7D0000}"/>
    <cellStyle name="Normal 3 9 11 12" xfId="17951" xr:uid="{00000000-0005-0000-0000-00000E7D0000}"/>
    <cellStyle name="Normal 3 9 11 12 2" xfId="35357" xr:uid="{00000000-0005-0000-0000-00000F7D0000}"/>
    <cellStyle name="Normal 3 9 11 13" xfId="17952" xr:uid="{00000000-0005-0000-0000-0000107D0000}"/>
    <cellStyle name="Normal 3 9 11 13 2" xfId="35358" xr:uid="{00000000-0005-0000-0000-0000117D0000}"/>
    <cellStyle name="Normal 3 9 11 14" xfId="17953" xr:uid="{00000000-0005-0000-0000-0000127D0000}"/>
    <cellStyle name="Normal 3 9 11 14 2" xfId="35359" xr:uid="{00000000-0005-0000-0000-0000137D0000}"/>
    <cellStyle name="Normal 3 9 11 15" xfId="17954" xr:uid="{00000000-0005-0000-0000-0000147D0000}"/>
    <cellStyle name="Normal 3 9 11 15 2" xfId="35360" xr:uid="{00000000-0005-0000-0000-0000157D0000}"/>
    <cellStyle name="Normal 3 9 11 16" xfId="17955" xr:uid="{00000000-0005-0000-0000-0000167D0000}"/>
    <cellStyle name="Normal 3 9 11 16 2" xfId="35361" xr:uid="{00000000-0005-0000-0000-0000177D0000}"/>
    <cellStyle name="Normal 3 9 11 17" xfId="17956" xr:uid="{00000000-0005-0000-0000-0000187D0000}"/>
    <cellStyle name="Normal 3 9 11 17 2" xfId="35362" xr:uid="{00000000-0005-0000-0000-0000197D0000}"/>
    <cellStyle name="Normal 3 9 11 18" xfId="35354" xr:uid="{00000000-0005-0000-0000-00001A7D0000}"/>
    <cellStyle name="Normal 3 9 11 2" xfId="17957" xr:uid="{00000000-0005-0000-0000-00001B7D0000}"/>
    <cellStyle name="Normal 3 9 11 3" xfId="17958" xr:uid="{00000000-0005-0000-0000-00001C7D0000}"/>
    <cellStyle name="Normal 3 9 11 4" xfId="17959" xr:uid="{00000000-0005-0000-0000-00001D7D0000}"/>
    <cellStyle name="Normal 3 9 11 5" xfId="17960" xr:uid="{00000000-0005-0000-0000-00001E7D0000}"/>
    <cellStyle name="Normal 3 9 11 5 2" xfId="35363" xr:uid="{00000000-0005-0000-0000-00001F7D0000}"/>
    <cellStyle name="Normal 3 9 11 6" xfId="17961" xr:uid="{00000000-0005-0000-0000-0000207D0000}"/>
    <cellStyle name="Normal 3 9 11 6 2" xfId="35364" xr:uid="{00000000-0005-0000-0000-0000217D0000}"/>
    <cellStyle name="Normal 3 9 11 7" xfId="17962" xr:uid="{00000000-0005-0000-0000-0000227D0000}"/>
    <cellStyle name="Normal 3 9 11 7 2" xfId="35365" xr:uid="{00000000-0005-0000-0000-0000237D0000}"/>
    <cellStyle name="Normal 3 9 11 8" xfId="17963" xr:uid="{00000000-0005-0000-0000-0000247D0000}"/>
    <cellStyle name="Normal 3 9 11 8 2" xfId="35366" xr:uid="{00000000-0005-0000-0000-0000257D0000}"/>
    <cellStyle name="Normal 3 9 11 9" xfId="17964" xr:uid="{00000000-0005-0000-0000-0000267D0000}"/>
    <cellStyle name="Normal 3 9 11 9 2" xfId="35367" xr:uid="{00000000-0005-0000-0000-0000277D0000}"/>
    <cellStyle name="Normal 3 9 12" xfId="17965" xr:uid="{00000000-0005-0000-0000-0000287D0000}"/>
    <cellStyle name="Normal 3 9 13" xfId="17966" xr:uid="{00000000-0005-0000-0000-0000297D0000}"/>
    <cellStyle name="Normal 3 9 14" xfId="17967" xr:uid="{00000000-0005-0000-0000-00002A7D0000}"/>
    <cellStyle name="Normal 3 9 14 10" xfId="17968" xr:uid="{00000000-0005-0000-0000-00002B7D0000}"/>
    <cellStyle name="Normal 3 9 14 10 2" xfId="35369" xr:uid="{00000000-0005-0000-0000-00002C7D0000}"/>
    <cellStyle name="Normal 3 9 14 11" xfId="17969" xr:uid="{00000000-0005-0000-0000-00002D7D0000}"/>
    <cellStyle name="Normal 3 9 14 11 2" xfId="35370" xr:uid="{00000000-0005-0000-0000-00002E7D0000}"/>
    <cellStyle name="Normal 3 9 14 12" xfId="17970" xr:uid="{00000000-0005-0000-0000-00002F7D0000}"/>
    <cellStyle name="Normal 3 9 14 12 2" xfId="35371" xr:uid="{00000000-0005-0000-0000-0000307D0000}"/>
    <cellStyle name="Normal 3 9 14 13" xfId="17971" xr:uid="{00000000-0005-0000-0000-0000317D0000}"/>
    <cellStyle name="Normal 3 9 14 13 2" xfId="35372" xr:uid="{00000000-0005-0000-0000-0000327D0000}"/>
    <cellStyle name="Normal 3 9 14 14" xfId="17972" xr:uid="{00000000-0005-0000-0000-0000337D0000}"/>
    <cellStyle name="Normal 3 9 14 14 2" xfId="35373" xr:uid="{00000000-0005-0000-0000-0000347D0000}"/>
    <cellStyle name="Normal 3 9 14 15" xfId="17973" xr:uid="{00000000-0005-0000-0000-0000357D0000}"/>
    <cellStyle name="Normal 3 9 14 15 2" xfId="35374" xr:uid="{00000000-0005-0000-0000-0000367D0000}"/>
    <cellStyle name="Normal 3 9 14 16" xfId="35368" xr:uid="{00000000-0005-0000-0000-0000377D0000}"/>
    <cellStyle name="Normal 3 9 14 2" xfId="17974" xr:uid="{00000000-0005-0000-0000-0000387D0000}"/>
    <cellStyle name="Normal 3 9 14 2 10" xfId="17975" xr:uid="{00000000-0005-0000-0000-0000397D0000}"/>
    <cellStyle name="Normal 3 9 14 2 10 2" xfId="35376" xr:uid="{00000000-0005-0000-0000-00003A7D0000}"/>
    <cellStyle name="Normal 3 9 14 2 11" xfId="17976" xr:uid="{00000000-0005-0000-0000-00003B7D0000}"/>
    <cellStyle name="Normal 3 9 14 2 11 2" xfId="35377" xr:uid="{00000000-0005-0000-0000-00003C7D0000}"/>
    <cellStyle name="Normal 3 9 14 2 12" xfId="17977" xr:uid="{00000000-0005-0000-0000-00003D7D0000}"/>
    <cellStyle name="Normal 3 9 14 2 12 2" xfId="35378" xr:uid="{00000000-0005-0000-0000-00003E7D0000}"/>
    <cellStyle name="Normal 3 9 14 2 13" xfId="17978" xr:uid="{00000000-0005-0000-0000-00003F7D0000}"/>
    <cellStyle name="Normal 3 9 14 2 13 2" xfId="35379" xr:uid="{00000000-0005-0000-0000-0000407D0000}"/>
    <cellStyle name="Normal 3 9 14 2 14" xfId="17979" xr:uid="{00000000-0005-0000-0000-0000417D0000}"/>
    <cellStyle name="Normal 3 9 14 2 14 2" xfId="35380" xr:uid="{00000000-0005-0000-0000-0000427D0000}"/>
    <cellStyle name="Normal 3 9 14 2 15" xfId="35375" xr:uid="{00000000-0005-0000-0000-0000437D0000}"/>
    <cellStyle name="Normal 3 9 14 2 2" xfId="17980" xr:uid="{00000000-0005-0000-0000-0000447D0000}"/>
    <cellStyle name="Normal 3 9 14 2 2 2" xfId="35381" xr:uid="{00000000-0005-0000-0000-0000457D0000}"/>
    <cellStyle name="Normal 3 9 14 2 3" xfId="17981" xr:uid="{00000000-0005-0000-0000-0000467D0000}"/>
    <cellStyle name="Normal 3 9 14 2 3 2" xfId="35382" xr:uid="{00000000-0005-0000-0000-0000477D0000}"/>
    <cellStyle name="Normal 3 9 14 2 4" xfId="17982" xr:uid="{00000000-0005-0000-0000-0000487D0000}"/>
    <cellStyle name="Normal 3 9 14 2 4 2" xfId="35383" xr:uid="{00000000-0005-0000-0000-0000497D0000}"/>
    <cellStyle name="Normal 3 9 14 2 5" xfId="17983" xr:uid="{00000000-0005-0000-0000-00004A7D0000}"/>
    <cellStyle name="Normal 3 9 14 2 5 2" xfId="35384" xr:uid="{00000000-0005-0000-0000-00004B7D0000}"/>
    <cellStyle name="Normal 3 9 14 2 6" xfId="17984" xr:uid="{00000000-0005-0000-0000-00004C7D0000}"/>
    <cellStyle name="Normal 3 9 14 2 6 2" xfId="35385" xr:uid="{00000000-0005-0000-0000-00004D7D0000}"/>
    <cellStyle name="Normal 3 9 14 2 7" xfId="17985" xr:uid="{00000000-0005-0000-0000-00004E7D0000}"/>
    <cellStyle name="Normal 3 9 14 2 7 2" xfId="35386" xr:uid="{00000000-0005-0000-0000-00004F7D0000}"/>
    <cellStyle name="Normal 3 9 14 2 8" xfId="17986" xr:uid="{00000000-0005-0000-0000-0000507D0000}"/>
    <cellStyle name="Normal 3 9 14 2 8 2" xfId="35387" xr:uid="{00000000-0005-0000-0000-0000517D0000}"/>
    <cellStyle name="Normal 3 9 14 2 9" xfId="17987" xr:uid="{00000000-0005-0000-0000-0000527D0000}"/>
    <cellStyle name="Normal 3 9 14 2 9 2" xfId="35388" xr:uid="{00000000-0005-0000-0000-0000537D0000}"/>
    <cellStyle name="Normal 3 9 14 3" xfId="17988" xr:uid="{00000000-0005-0000-0000-0000547D0000}"/>
    <cellStyle name="Normal 3 9 14 3 2" xfId="35389" xr:uid="{00000000-0005-0000-0000-0000557D0000}"/>
    <cellStyle name="Normal 3 9 14 4" xfId="17989" xr:uid="{00000000-0005-0000-0000-0000567D0000}"/>
    <cellStyle name="Normal 3 9 14 4 2" xfId="35390" xr:uid="{00000000-0005-0000-0000-0000577D0000}"/>
    <cellStyle name="Normal 3 9 14 5" xfId="17990" xr:uid="{00000000-0005-0000-0000-0000587D0000}"/>
    <cellStyle name="Normal 3 9 14 5 2" xfId="35391" xr:uid="{00000000-0005-0000-0000-0000597D0000}"/>
    <cellStyle name="Normal 3 9 14 6" xfId="17991" xr:uid="{00000000-0005-0000-0000-00005A7D0000}"/>
    <cellStyle name="Normal 3 9 14 6 2" xfId="35392" xr:uid="{00000000-0005-0000-0000-00005B7D0000}"/>
    <cellStyle name="Normal 3 9 14 7" xfId="17992" xr:uid="{00000000-0005-0000-0000-00005C7D0000}"/>
    <cellStyle name="Normal 3 9 14 7 2" xfId="35393" xr:uid="{00000000-0005-0000-0000-00005D7D0000}"/>
    <cellStyle name="Normal 3 9 14 8" xfId="17993" xr:uid="{00000000-0005-0000-0000-00005E7D0000}"/>
    <cellStyle name="Normal 3 9 14 8 2" xfId="35394" xr:uid="{00000000-0005-0000-0000-00005F7D0000}"/>
    <cellStyle name="Normal 3 9 14 9" xfId="17994" xr:uid="{00000000-0005-0000-0000-0000607D0000}"/>
    <cellStyle name="Normal 3 9 14 9 2" xfId="35395" xr:uid="{00000000-0005-0000-0000-0000617D0000}"/>
    <cellStyle name="Normal 3 9 15" xfId="17995" xr:uid="{00000000-0005-0000-0000-0000627D0000}"/>
    <cellStyle name="Normal 3 9 15 10" xfId="17996" xr:uid="{00000000-0005-0000-0000-0000637D0000}"/>
    <cellStyle name="Normal 3 9 15 10 2" xfId="35397" xr:uid="{00000000-0005-0000-0000-0000647D0000}"/>
    <cellStyle name="Normal 3 9 15 11" xfId="17997" xr:uid="{00000000-0005-0000-0000-0000657D0000}"/>
    <cellStyle name="Normal 3 9 15 11 2" xfId="35398" xr:uid="{00000000-0005-0000-0000-0000667D0000}"/>
    <cellStyle name="Normal 3 9 15 12" xfId="17998" xr:uid="{00000000-0005-0000-0000-0000677D0000}"/>
    <cellStyle name="Normal 3 9 15 12 2" xfId="35399" xr:uid="{00000000-0005-0000-0000-0000687D0000}"/>
    <cellStyle name="Normal 3 9 15 13" xfId="17999" xr:uid="{00000000-0005-0000-0000-0000697D0000}"/>
    <cellStyle name="Normal 3 9 15 13 2" xfId="35400" xr:uid="{00000000-0005-0000-0000-00006A7D0000}"/>
    <cellStyle name="Normal 3 9 15 14" xfId="18000" xr:uid="{00000000-0005-0000-0000-00006B7D0000}"/>
    <cellStyle name="Normal 3 9 15 14 2" xfId="35401" xr:uid="{00000000-0005-0000-0000-00006C7D0000}"/>
    <cellStyle name="Normal 3 9 15 15" xfId="18001" xr:uid="{00000000-0005-0000-0000-00006D7D0000}"/>
    <cellStyle name="Normal 3 9 15 15 2" xfId="35402" xr:uid="{00000000-0005-0000-0000-00006E7D0000}"/>
    <cellStyle name="Normal 3 9 15 16" xfId="35396" xr:uid="{00000000-0005-0000-0000-00006F7D0000}"/>
    <cellStyle name="Normal 3 9 15 2" xfId="18002" xr:uid="{00000000-0005-0000-0000-0000707D0000}"/>
    <cellStyle name="Normal 3 9 15 2 10" xfId="18003" xr:uid="{00000000-0005-0000-0000-0000717D0000}"/>
    <cellStyle name="Normal 3 9 15 2 10 2" xfId="35404" xr:uid="{00000000-0005-0000-0000-0000727D0000}"/>
    <cellStyle name="Normal 3 9 15 2 11" xfId="18004" xr:uid="{00000000-0005-0000-0000-0000737D0000}"/>
    <cellStyle name="Normal 3 9 15 2 11 2" xfId="35405" xr:uid="{00000000-0005-0000-0000-0000747D0000}"/>
    <cellStyle name="Normal 3 9 15 2 12" xfId="18005" xr:uid="{00000000-0005-0000-0000-0000757D0000}"/>
    <cellStyle name="Normal 3 9 15 2 12 2" xfId="35406" xr:uid="{00000000-0005-0000-0000-0000767D0000}"/>
    <cellStyle name="Normal 3 9 15 2 13" xfId="18006" xr:uid="{00000000-0005-0000-0000-0000777D0000}"/>
    <cellStyle name="Normal 3 9 15 2 13 2" xfId="35407" xr:uid="{00000000-0005-0000-0000-0000787D0000}"/>
    <cellStyle name="Normal 3 9 15 2 14" xfId="18007" xr:uid="{00000000-0005-0000-0000-0000797D0000}"/>
    <cellStyle name="Normal 3 9 15 2 14 2" xfId="35408" xr:uid="{00000000-0005-0000-0000-00007A7D0000}"/>
    <cellStyle name="Normal 3 9 15 2 15" xfId="35403" xr:uid="{00000000-0005-0000-0000-00007B7D0000}"/>
    <cellStyle name="Normal 3 9 15 2 2" xfId="18008" xr:uid="{00000000-0005-0000-0000-00007C7D0000}"/>
    <cellStyle name="Normal 3 9 15 2 2 2" xfId="35409" xr:uid="{00000000-0005-0000-0000-00007D7D0000}"/>
    <cellStyle name="Normal 3 9 15 2 3" xfId="18009" xr:uid="{00000000-0005-0000-0000-00007E7D0000}"/>
    <cellStyle name="Normal 3 9 15 2 3 2" xfId="35410" xr:uid="{00000000-0005-0000-0000-00007F7D0000}"/>
    <cellStyle name="Normal 3 9 15 2 4" xfId="18010" xr:uid="{00000000-0005-0000-0000-0000807D0000}"/>
    <cellStyle name="Normal 3 9 15 2 4 2" xfId="35411" xr:uid="{00000000-0005-0000-0000-0000817D0000}"/>
    <cellStyle name="Normal 3 9 15 2 5" xfId="18011" xr:uid="{00000000-0005-0000-0000-0000827D0000}"/>
    <cellStyle name="Normal 3 9 15 2 5 2" xfId="35412" xr:uid="{00000000-0005-0000-0000-0000837D0000}"/>
    <cellStyle name="Normal 3 9 15 2 6" xfId="18012" xr:uid="{00000000-0005-0000-0000-0000847D0000}"/>
    <cellStyle name="Normal 3 9 15 2 6 2" xfId="35413" xr:uid="{00000000-0005-0000-0000-0000857D0000}"/>
    <cellStyle name="Normal 3 9 15 2 7" xfId="18013" xr:uid="{00000000-0005-0000-0000-0000867D0000}"/>
    <cellStyle name="Normal 3 9 15 2 7 2" xfId="35414" xr:uid="{00000000-0005-0000-0000-0000877D0000}"/>
    <cellStyle name="Normal 3 9 15 2 8" xfId="18014" xr:uid="{00000000-0005-0000-0000-0000887D0000}"/>
    <cellStyle name="Normal 3 9 15 2 8 2" xfId="35415" xr:uid="{00000000-0005-0000-0000-0000897D0000}"/>
    <cellStyle name="Normal 3 9 15 2 9" xfId="18015" xr:uid="{00000000-0005-0000-0000-00008A7D0000}"/>
    <cellStyle name="Normal 3 9 15 2 9 2" xfId="35416" xr:uid="{00000000-0005-0000-0000-00008B7D0000}"/>
    <cellStyle name="Normal 3 9 15 3" xfId="18016" xr:uid="{00000000-0005-0000-0000-00008C7D0000}"/>
    <cellStyle name="Normal 3 9 15 3 2" xfId="35417" xr:uid="{00000000-0005-0000-0000-00008D7D0000}"/>
    <cellStyle name="Normal 3 9 15 4" xfId="18017" xr:uid="{00000000-0005-0000-0000-00008E7D0000}"/>
    <cellStyle name="Normal 3 9 15 4 2" xfId="35418" xr:uid="{00000000-0005-0000-0000-00008F7D0000}"/>
    <cellStyle name="Normal 3 9 15 5" xfId="18018" xr:uid="{00000000-0005-0000-0000-0000907D0000}"/>
    <cellStyle name="Normal 3 9 15 5 2" xfId="35419" xr:uid="{00000000-0005-0000-0000-0000917D0000}"/>
    <cellStyle name="Normal 3 9 15 6" xfId="18019" xr:uid="{00000000-0005-0000-0000-0000927D0000}"/>
    <cellStyle name="Normal 3 9 15 6 2" xfId="35420" xr:uid="{00000000-0005-0000-0000-0000937D0000}"/>
    <cellStyle name="Normal 3 9 15 7" xfId="18020" xr:uid="{00000000-0005-0000-0000-0000947D0000}"/>
    <cellStyle name="Normal 3 9 15 7 2" xfId="35421" xr:uid="{00000000-0005-0000-0000-0000957D0000}"/>
    <cellStyle name="Normal 3 9 15 8" xfId="18021" xr:uid="{00000000-0005-0000-0000-0000967D0000}"/>
    <cellStyle name="Normal 3 9 15 8 2" xfId="35422" xr:uid="{00000000-0005-0000-0000-0000977D0000}"/>
    <cellStyle name="Normal 3 9 15 9" xfId="18022" xr:uid="{00000000-0005-0000-0000-0000987D0000}"/>
    <cellStyle name="Normal 3 9 15 9 2" xfId="35423" xr:uid="{00000000-0005-0000-0000-0000997D0000}"/>
    <cellStyle name="Normal 3 9 16" xfId="18023" xr:uid="{00000000-0005-0000-0000-00009A7D0000}"/>
    <cellStyle name="Normal 3 9 16 10" xfId="18024" xr:uid="{00000000-0005-0000-0000-00009B7D0000}"/>
    <cellStyle name="Normal 3 9 16 10 2" xfId="35425" xr:uid="{00000000-0005-0000-0000-00009C7D0000}"/>
    <cellStyle name="Normal 3 9 16 11" xfId="18025" xr:uid="{00000000-0005-0000-0000-00009D7D0000}"/>
    <cellStyle name="Normal 3 9 16 11 2" xfId="35426" xr:uid="{00000000-0005-0000-0000-00009E7D0000}"/>
    <cellStyle name="Normal 3 9 16 12" xfId="18026" xr:uid="{00000000-0005-0000-0000-00009F7D0000}"/>
    <cellStyle name="Normal 3 9 16 12 2" xfId="35427" xr:uid="{00000000-0005-0000-0000-0000A07D0000}"/>
    <cellStyle name="Normal 3 9 16 13" xfId="18027" xr:uid="{00000000-0005-0000-0000-0000A17D0000}"/>
    <cellStyle name="Normal 3 9 16 13 2" xfId="35428" xr:uid="{00000000-0005-0000-0000-0000A27D0000}"/>
    <cellStyle name="Normal 3 9 16 14" xfId="18028" xr:uid="{00000000-0005-0000-0000-0000A37D0000}"/>
    <cellStyle name="Normal 3 9 16 14 2" xfId="35429" xr:uid="{00000000-0005-0000-0000-0000A47D0000}"/>
    <cellStyle name="Normal 3 9 16 15" xfId="18029" xr:uid="{00000000-0005-0000-0000-0000A57D0000}"/>
    <cellStyle name="Normal 3 9 16 15 2" xfId="35430" xr:uid="{00000000-0005-0000-0000-0000A67D0000}"/>
    <cellStyle name="Normal 3 9 16 16" xfId="35424" xr:uid="{00000000-0005-0000-0000-0000A77D0000}"/>
    <cellStyle name="Normal 3 9 16 2" xfId="18030" xr:uid="{00000000-0005-0000-0000-0000A87D0000}"/>
    <cellStyle name="Normal 3 9 16 2 10" xfId="18031" xr:uid="{00000000-0005-0000-0000-0000A97D0000}"/>
    <cellStyle name="Normal 3 9 16 2 10 2" xfId="35432" xr:uid="{00000000-0005-0000-0000-0000AA7D0000}"/>
    <cellStyle name="Normal 3 9 16 2 11" xfId="18032" xr:uid="{00000000-0005-0000-0000-0000AB7D0000}"/>
    <cellStyle name="Normal 3 9 16 2 11 2" xfId="35433" xr:uid="{00000000-0005-0000-0000-0000AC7D0000}"/>
    <cellStyle name="Normal 3 9 16 2 12" xfId="18033" xr:uid="{00000000-0005-0000-0000-0000AD7D0000}"/>
    <cellStyle name="Normal 3 9 16 2 12 2" xfId="35434" xr:uid="{00000000-0005-0000-0000-0000AE7D0000}"/>
    <cellStyle name="Normal 3 9 16 2 13" xfId="18034" xr:uid="{00000000-0005-0000-0000-0000AF7D0000}"/>
    <cellStyle name="Normal 3 9 16 2 13 2" xfId="35435" xr:uid="{00000000-0005-0000-0000-0000B07D0000}"/>
    <cellStyle name="Normal 3 9 16 2 14" xfId="18035" xr:uid="{00000000-0005-0000-0000-0000B17D0000}"/>
    <cellStyle name="Normal 3 9 16 2 14 2" xfId="35436" xr:uid="{00000000-0005-0000-0000-0000B27D0000}"/>
    <cellStyle name="Normal 3 9 16 2 15" xfId="35431" xr:uid="{00000000-0005-0000-0000-0000B37D0000}"/>
    <cellStyle name="Normal 3 9 16 2 2" xfId="18036" xr:uid="{00000000-0005-0000-0000-0000B47D0000}"/>
    <cellStyle name="Normal 3 9 16 2 2 2" xfId="35437" xr:uid="{00000000-0005-0000-0000-0000B57D0000}"/>
    <cellStyle name="Normal 3 9 16 2 3" xfId="18037" xr:uid="{00000000-0005-0000-0000-0000B67D0000}"/>
    <cellStyle name="Normal 3 9 16 2 3 2" xfId="35438" xr:uid="{00000000-0005-0000-0000-0000B77D0000}"/>
    <cellStyle name="Normal 3 9 16 2 4" xfId="18038" xr:uid="{00000000-0005-0000-0000-0000B87D0000}"/>
    <cellStyle name="Normal 3 9 16 2 4 2" xfId="35439" xr:uid="{00000000-0005-0000-0000-0000B97D0000}"/>
    <cellStyle name="Normal 3 9 16 2 5" xfId="18039" xr:uid="{00000000-0005-0000-0000-0000BA7D0000}"/>
    <cellStyle name="Normal 3 9 16 2 5 2" xfId="35440" xr:uid="{00000000-0005-0000-0000-0000BB7D0000}"/>
    <cellStyle name="Normal 3 9 16 2 6" xfId="18040" xr:uid="{00000000-0005-0000-0000-0000BC7D0000}"/>
    <cellStyle name="Normal 3 9 16 2 6 2" xfId="35441" xr:uid="{00000000-0005-0000-0000-0000BD7D0000}"/>
    <cellStyle name="Normal 3 9 16 2 7" xfId="18041" xr:uid="{00000000-0005-0000-0000-0000BE7D0000}"/>
    <cellStyle name="Normal 3 9 16 2 7 2" xfId="35442" xr:uid="{00000000-0005-0000-0000-0000BF7D0000}"/>
    <cellStyle name="Normal 3 9 16 2 8" xfId="18042" xr:uid="{00000000-0005-0000-0000-0000C07D0000}"/>
    <cellStyle name="Normal 3 9 16 2 8 2" xfId="35443" xr:uid="{00000000-0005-0000-0000-0000C17D0000}"/>
    <cellStyle name="Normal 3 9 16 2 9" xfId="18043" xr:uid="{00000000-0005-0000-0000-0000C27D0000}"/>
    <cellStyle name="Normal 3 9 16 2 9 2" xfId="35444" xr:uid="{00000000-0005-0000-0000-0000C37D0000}"/>
    <cellStyle name="Normal 3 9 16 3" xfId="18044" xr:uid="{00000000-0005-0000-0000-0000C47D0000}"/>
    <cellStyle name="Normal 3 9 16 3 2" xfId="35445" xr:uid="{00000000-0005-0000-0000-0000C57D0000}"/>
    <cellStyle name="Normal 3 9 16 4" xfId="18045" xr:uid="{00000000-0005-0000-0000-0000C67D0000}"/>
    <cellStyle name="Normal 3 9 16 4 2" xfId="35446" xr:uid="{00000000-0005-0000-0000-0000C77D0000}"/>
    <cellStyle name="Normal 3 9 16 5" xfId="18046" xr:uid="{00000000-0005-0000-0000-0000C87D0000}"/>
    <cellStyle name="Normal 3 9 16 5 2" xfId="35447" xr:uid="{00000000-0005-0000-0000-0000C97D0000}"/>
    <cellStyle name="Normal 3 9 16 6" xfId="18047" xr:uid="{00000000-0005-0000-0000-0000CA7D0000}"/>
    <cellStyle name="Normal 3 9 16 6 2" xfId="35448" xr:uid="{00000000-0005-0000-0000-0000CB7D0000}"/>
    <cellStyle name="Normal 3 9 16 7" xfId="18048" xr:uid="{00000000-0005-0000-0000-0000CC7D0000}"/>
    <cellStyle name="Normal 3 9 16 7 2" xfId="35449" xr:uid="{00000000-0005-0000-0000-0000CD7D0000}"/>
    <cellStyle name="Normal 3 9 16 8" xfId="18049" xr:uid="{00000000-0005-0000-0000-0000CE7D0000}"/>
    <cellStyle name="Normal 3 9 16 8 2" xfId="35450" xr:uid="{00000000-0005-0000-0000-0000CF7D0000}"/>
    <cellStyle name="Normal 3 9 16 9" xfId="18050" xr:uid="{00000000-0005-0000-0000-0000D07D0000}"/>
    <cellStyle name="Normal 3 9 16 9 2" xfId="35451" xr:uid="{00000000-0005-0000-0000-0000D17D0000}"/>
    <cellStyle name="Normal 3 9 17" xfId="18051" xr:uid="{00000000-0005-0000-0000-0000D27D0000}"/>
    <cellStyle name="Normal 3 9 17 10" xfId="18052" xr:uid="{00000000-0005-0000-0000-0000D37D0000}"/>
    <cellStyle name="Normal 3 9 17 10 2" xfId="35453" xr:uid="{00000000-0005-0000-0000-0000D47D0000}"/>
    <cellStyle name="Normal 3 9 17 11" xfId="18053" xr:uid="{00000000-0005-0000-0000-0000D57D0000}"/>
    <cellStyle name="Normal 3 9 17 11 2" xfId="35454" xr:uid="{00000000-0005-0000-0000-0000D67D0000}"/>
    <cellStyle name="Normal 3 9 17 12" xfId="18054" xr:uid="{00000000-0005-0000-0000-0000D77D0000}"/>
    <cellStyle name="Normal 3 9 17 12 2" xfId="35455" xr:uid="{00000000-0005-0000-0000-0000D87D0000}"/>
    <cellStyle name="Normal 3 9 17 13" xfId="18055" xr:uid="{00000000-0005-0000-0000-0000D97D0000}"/>
    <cellStyle name="Normal 3 9 17 13 2" xfId="35456" xr:uid="{00000000-0005-0000-0000-0000DA7D0000}"/>
    <cellStyle name="Normal 3 9 17 14" xfId="18056" xr:uid="{00000000-0005-0000-0000-0000DB7D0000}"/>
    <cellStyle name="Normal 3 9 17 14 2" xfId="35457" xr:uid="{00000000-0005-0000-0000-0000DC7D0000}"/>
    <cellStyle name="Normal 3 9 17 15" xfId="35452" xr:uid="{00000000-0005-0000-0000-0000DD7D0000}"/>
    <cellStyle name="Normal 3 9 17 2" xfId="18057" xr:uid="{00000000-0005-0000-0000-0000DE7D0000}"/>
    <cellStyle name="Normal 3 9 17 2 2" xfId="35458" xr:uid="{00000000-0005-0000-0000-0000DF7D0000}"/>
    <cellStyle name="Normal 3 9 17 3" xfId="18058" xr:uid="{00000000-0005-0000-0000-0000E07D0000}"/>
    <cellStyle name="Normal 3 9 17 3 2" xfId="35459" xr:uid="{00000000-0005-0000-0000-0000E17D0000}"/>
    <cellStyle name="Normal 3 9 17 4" xfId="18059" xr:uid="{00000000-0005-0000-0000-0000E27D0000}"/>
    <cellStyle name="Normal 3 9 17 4 2" xfId="35460" xr:uid="{00000000-0005-0000-0000-0000E37D0000}"/>
    <cellStyle name="Normal 3 9 17 5" xfId="18060" xr:uid="{00000000-0005-0000-0000-0000E47D0000}"/>
    <cellStyle name="Normal 3 9 17 5 2" xfId="35461" xr:uid="{00000000-0005-0000-0000-0000E57D0000}"/>
    <cellStyle name="Normal 3 9 17 6" xfId="18061" xr:uid="{00000000-0005-0000-0000-0000E67D0000}"/>
    <cellStyle name="Normal 3 9 17 6 2" xfId="35462" xr:uid="{00000000-0005-0000-0000-0000E77D0000}"/>
    <cellStyle name="Normal 3 9 17 7" xfId="18062" xr:uid="{00000000-0005-0000-0000-0000E87D0000}"/>
    <cellStyle name="Normal 3 9 17 7 2" xfId="35463" xr:uid="{00000000-0005-0000-0000-0000E97D0000}"/>
    <cellStyle name="Normal 3 9 17 8" xfId="18063" xr:uid="{00000000-0005-0000-0000-0000EA7D0000}"/>
    <cellStyle name="Normal 3 9 17 8 2" xfId="35464" xr:uid="{00000000-0005-0000-0000-0000EB7D0000}"/>
    <cellStyle name="Normal 3 9 17 9" xfId="18064" xr:uid="{00000000-0005-0000-0000-0000EC7D0000}"/>
    <cellStyle name="Normal 3 9 17 9 2" xfId="35465" xr:uid="{00000000-0005-0000-0000-0000ED7D0000}"/>
    <cellStyle name="Normal 3 9 18" xfId="18065" xr:uid="{00000000-0005-0000-0000-0000EE7D0000}"/>
    <cellStyle name="Normal 3 9 18 10" xfId="18066" xr:uid="{00000000-0005-0000-0000-0000EF7D0000}"/>
    <cellStyle name="Normal 3 9 18 10 2" xfId="35467" xr:uid="{00000000-0005-0000-0000-0000F07D0000}"/>
    <cellStyle name="Normal 3 9 18 11" xfId="18067" xr:uid="{00000000-0005-0000-0000-0000F17D0000}"/>
    <cellStyle name="Normal 3 9 18 11 2" xfId="35468" xr:uid="{00000000-0005-0000-0000-0000F27D0000}"/>
    <cellStyle name="Normal 3 9 18 12" xfId="18068" xr:uid="{00000000-0005-0000-0000-0000F37D0000}"/>
    <cellStyle name="Normal 3 9 18 12 2" xfId="35469" xr:uid="{00000000-0005-0000-0000-0000F47D0000}"/>
    <cellStyle name="Normal 3 9 18 13" xfId="18069" xr:uid="{00000000-0005-0000-0000-0000F57D0000}"/>
    <cellStyle name="Normal 3 9 18 13 2" xfId="35470" xr:uid="{00000000-0005-0000-0000-0000F67D0000}"/>
    <cellStyle name="Normal 3 9 18 14" xfId="18070" xr:uid="{00000000-0005-0000-0000-0000F77D0000}"/>
    <cellStyle name="Normal 3 9 18 14 2" xfId="35471" xr:uid="{00000000-0005-0000-0000-0000F87D0000}"/>
    <cellStyle name="Normal 3 9 18 15" xfId="35466" xr:uid="{00000000-0005-0000-0000-0000F97D0000}"/>
    <cellStyle name="Normal 3 9 18 2" xfId="18071" xr:uid="{00000000-0005-0000-0000-0000FA7D0000}"/>
    <cellStyle name="Normal 3 9 18 2 2" xfId="35472" xr:uid="{00000000-0005-0000-0000-0000FB7D0000}"/>
    <cellStyle name="Normal 3 9 18 3" xfId="18072" xr:uid="{00000000-0005-0000-0000-0000FC7D0000}"/>
    <cellStyle name="Normal 3 9 18 3 2" xfId="35473" xr:uid="{00000000-0005-0000-0000-0000FD7D0000}"/>
    <cellStyle name="Normal 3 9 18 4" xfId="18073" xr:uid="{00000000-0005-0000-0000-0000FE7D0000}"/>
    <cellStyle name="Normal 3 9 18 4 2" xfId="35474" xr:uid="{00000000-0005-0000-0000-0000FF7D0000}"/>
    <cellStyle name="Normal 3 9 18 5" xfId="18074" xr:uid="{00000000-0005-0000-0000-0000007E0000}"/>
    <cellStyle name="Normal 3 9 18 5 2" xfId="35475" xr:uid="{00000000-0005-0000-0000-0000017E0000}"/>
    <cellStyle name="Normal 3 9 18 6" xfId="18075" xr:uid="{00000000-0005-0000-0000-0000027E0000}"/>
    <cellStyle name="Normal 3 9 18 6 2" xfId="35476" xr:uid="{00000000-0005-0000-0000-0000037E0000}"/>
    <cellStyle name="Normal 3 9 18 7" xfId="18076" xr:uid="{00000000-0005-0000-0000-0000047E0000}"/>
    <cellStyle name="Normal 3 9 18 7 2" xfId="35477" xr:uid="{00000000-0005-0000-0000-0000057E0000}"/>
    <cellStyle name="Normal 3 9 18 8" xfId="18077" xr:uid="{00000000-0005-0000-0000-0000067E0000}"/>
    <cellStyle name="Normal 3 9 18 8 2" xfId="35478" xr:uid="{00000000-0005-0000-0000-0000077E0000}"/>
    <cellStyle name="Normal 3 9 18 9" xfId="18078" xr:uid="{00000000-0005-0000-0000-0000087E0000}"/>
    <cellStyle name="Normal 3 9 18 9 2" xfId="35479" xr:uid="{00000000-0005-0000-0000-0000097E0000}"/>
    <cellStyle name="Normal 3 9 19" xfId="18079" xr:uid="{00000000-0005-0000-0000-00000A7E0000}"/>
    <cellStyle name="Normal 3 9 19 10" xfId="18080" xr:uid="{00000000-0005-0000-0000-00000B7E0000}"/>
    <cellStyle name="Normal 3 9 19 10 2" xfId="35481" xr:uid="{00000000-0005-0000-0000-00000C7E0000}"/>
    <cellStyle name="Normal 3 9 19 11" xfId="18081" xr:uid="{00000000-0005-0000-0000-00000D7E0000}"/>
    <cellStyle name="Normal 3 9 19 11 2" xfId="35482" xr:uid="{00000000-0005-0000-0000-00000E7E0000}"/>
    <cellStyle name="Normal 3 9 19 12" xfId="18082" xr:uid="{00000000-0005-0000-0000-00000F7E0000}"/>
    <cellStyle name="Normal 3 9 19 12 2" xfId="35483" xr:uid="{00000000-0005-0000-0000-0000107E0000}"/>
    <cellStyle name="Normal 3 9 19 13" xfId="18083" xr:uid="{00000000-0005-0000-0000-0000117E0000}"/>
    <cellStyle name="Normal 3 9 19 13 2" xfId="35484" xr:uid="{00000000-0005-0000-0000-0000127E0000}"/>
    <cellStyle name="Normal 3 9 19 14" xfId="18084" xr:uid="{00000000-0005-0000-0000-0000137E0000}"/>
    <cellStyle name="Normal 3 9 19 14 2" xfId="35485" xr:uid="{00000000-0005-0000-0000-0000147E0000}"/>
    <cellStyle name="Normal 3 9 19 15" xfId="35480" xr:uid="{00000000-0005-0000-0000-0000157E0000}"/>
    <cellStyle name="Normal 3 9 19 2" xfId="18085" xr:uid="{00000000-0005-0000-0000-0000167E0000}"/>
    <cellStyle name="Normal 3 9 19 2 2" xfId="35486" xr:uid="{00000000-0005-0000-0000-0000177E0000}"/>
    <cellStyle name="Normal 3 9 19 3" xfId="18086" xr:uid="{00000000-0005-0000-0000-0000187E0000}"/>
    <cellStyle name="Normal 3 9 19 3 2" xfId="35487" xr:uid="{00000000-0005-0000-0000-0000197E0000}"/>
    <cellStyle name="Normal 3 9 19 4" xfId="18087" xr:uid="{00000000-0005-0000-0000-00001A7E0000}"/>
    <cellStyle name="Normal 3 9 19 4 2" xfId="35488" xr:uid="{00000000-0005-0000-0000-00001B7E0000}"/>
    <cellStyle name="Normal 3 9 19 5" xfId="18088" xr:uid="{00000000-0005-0000-0000-00001C7E0000}"/>
    <cellStyle name="Normal 3 9 19 5 2" xfId="35489" xr:uid="{00000000-0005-0000-0000-00001D7E0000}"/>
    <cellStyle name="Normal 3 9 19 6" xfId="18089" xr:uid="{00000000-0005-0000-0000-00001E7E0000}"/>
    <cellStyle name="Normal 3 9 19 6 2" xfId="35490" xr:uid="{00000000-0005-0000-0000-00001F7E0000}"/>
    <cellStyle name="Normal 3 9 19 7" xfId="18090" xr:uid="{00000000-0005-0000-0000-0000207E0000}"/>
    <cellStyle name="Normal 3 9 19 7 2" xfId="35491" xr:uid="{00000000-0005-0000-0000-0000217E0000}"/>
    <cellStyle name="Normal 3 9 19 8" xfId="18091" xr:uid="{00000000-0005-0000-0000-0000227E0000}"/>
    <cellStyle name="Normal 3 9 19 8 2" xfId="35492" xr:uid="{00000000-0005-0000-0000-0000237E0000}"/>
    <cellStyle name="Normal 3 9 19 9" xfId="18092" xr:uid="{00000000-0005-0000-0000-0000247E0000}"/>
    <cellStyle name="Normal 3 9 19 9 2" xfId="35493" xr:uid="{00000000-0005-0000-0000-0000257E0000}"/>
    <cellStyle name="Normal 3 9 2" xfId="18093" xr:uid="{00000000-0005-0000-0000-0000267E0000}"/>
    <cellStyle name="Normal 3 9 20" xfId="18094" xr:uid="{00000000-0005-0000-0000-0000277E0000}"/>
    <cellStyle name="Normal 3 9 20 10" xfId="18095" xr:uid="{00000000-0005-0000-0000-0000287E0000}"/>
    <cellStyle name="Normal 3 9 20 10 2" xfId="35495" xr:uid="{00000000-0005-0000-0000-0000297E0000}"/>
    <cellStyle name="Normal 3 9 20 11" xfId="18096" xr:uid="{00000000-0005-0000-0000-00002A7E0000}"/>
    <cellStyle name="Normal 3 9 20 11 2" xfId="35496" xr:uid="{00000000-0005-0000-0000-00002B7E0000}"/>
    <cellStyle name="Normal 3 9 20 12" xfId="18097" xr:uid="{00000000-0005-0000-0000-00002C7E0000}"/>
    <cellStyle name="Normal 3 9 20 12 2" xfId="35497" xr:uid="{00000000-0005-0000-0000-00002D7E0000}"/>
    <cellStyle name="Normal 3 9 20 13" xfId="18098" xr:uid="{00000000-0005-0000-0000-00002E7E0000}"/>
    <cellStyle name="Normal 3 9 20 13 2" xfId="35498" xr:uid="{00000000-0005-0000-0000-00002F7E0000}"/>
    <cellStyle name="Normal 3 9 20 14" xfId="18099" xr:uid="{00000000-0005-0000-0000-0000307E0000}"/>
    <cellStyle name="Normal 3 9 20 14 2" xfId="35499" xr:uid="{00000000-0005-0000-0000-0000317E0000}"/>
    <cellStyle name="Normal 3 9 20 15" xfId="35494" xr:uid="{00000000-0005-0000-0000-0000327E0000}"/>
    <cellStyle name="Normal 3 9 20 2" xfId="18100" xr:uid="{00000000-0005-0000-0000-0000337E0000}"/>
    <cellStyle name="Normal 3 9 20 2 2" xfId="35500" xr:uid="{00000000-0005-0000-0000-0000347E0000}"/>
    <cellStyle name="Normal 3 9 20 3" xfId="18101" xr:uid="{00000000-0005-0000-0000-0000357E0000}"/>
    <cellStyle name="Normal 3 9 20 3 2" xfId="35501" xr:uid="{00000000-0005-0000-0000-0000367E0000}"/>
    <cellStyle name="Normal 3 9 20 4" xfId="18102" xr:uid="{00000000-0005-0000-0000-0000377E0000}"/>
    <cellStyle name="Normal 3 9 20 4 2" xfId="35502" xr:uid="{00000000-0005-0000-0000-0000387E0000}"/>
    <cellStyle name="Normal 3 9 20 5" xfId="18103" xr:uid="{00000000-0005-0000-0000-0000397E0000}"/>
    <cellStyle name="Normal 3 9 20 5 2" xfId="35503" xr:uid="{00000000-0005-0000-0000-00003A7E0000}"/>
    <cellStyle name="Normal 3 9 20 6" xfId="18104" xr:uid="{00000000-0005-0000-0000-00003B7E0000}"/>
    <cellStyle name="Normal 3 9 20 6 2" xfId="35504" xr:uid="{00000000-0005-0000-0000-00003C7E0000}"/>
    <cellStyle name="Normal 3 9 20 7" xfId="18105" xr:uid="{00000000-0005-0000-0000-00003D7E0000}"/>
    <cellStyle name="Normal 3 9 20 7 2" xfId="35505" xr:uid="{00000000-0005-0000-0000-00003E7E0000}"/>
    <cellStyle name="Normal 3 9 20 8" xfId="18106" xr:uid="{00000000-0005-0000-0000-00003F7E0000}"/>
    <cellStyle name="Normal 3 9 20 8 2" xfId="35506" xr:uid="{00000000-0005-0000-0000-0000407E0000}"/>
    <cellStyle name="Normal 3 9 20 9" xfId="18107" xr:uid="{00000000-0005-0000-0000-0000417E0000}"/>
    <cellStyle name="Normal 3 9 20 9 2" xfId="35507" xr:uid="{00000000-0005-0000-0000-0000427E0000}"/>
    <cellStyle name="Normal 3 9 21" xfId="18108" xr:uid="{00000000-0005-0000-0000-0000437E0000}"/>
    <cellStyle name="Normal 3 9 21 10" xfId="18109" xr:uid="{00000000-0005-0000-0000-0000447E0000}"/>
    <cellStyle name="Normal 3 9 21 10 2" xfId="35509" xr:uid="{00000000-0005-0000-0000-0000457E0000}"/>
    <cellStyle name="Normal 3 9 21 11" xfId="18110" xr:uid="{00000000-0005-0000-0000-0000467E0000}"/>
    <cellStyle name="Normal 3 9 21 11 2" xfId="35510" xr:uid="{00000000-0005-0000-0000-0000477E0000}"/>
    <cellStyle name="Normal 3 9 21 12" xfId="18111" xr:uid="{00000000-0005-0000-0000-0000487E0000}"/>
    <cellStyle name="Normal 3 9 21 12 2" xfId="35511" xr:uid="{00000000-0005-0000-0000-0000497E0000}"/>
    <cellStyle name="Normal 3 9 21 13" xfId="18112" xr:uid="{00000000-0005-0000-0000-00004A7E0000}"/>
    <cellStyle name="Normal 3 9 21 13 2" xfId="35512" xr:uid="{00000000-0005-0000-0000-00004B7E0000}"/>
    <cellStyle name="Normal 3 9 21 14" xfId="18113" xr:uid="{00000000-0005-0000-0000-00004C7E0000}"/>
    <cellStyle name="Normal 3 9 21 14 2" xfId="35513" xr:uid="{00000000-0005-0000-0000-00004D7E0000}"/>
    <cellStyle name="Normal 3 9 21 15" xfId="35508" xr:uid="{00000000-0005-0000-0000-00004E7E0000}"/>
    <cellStyle name="Normal 3 9 21 2" xfId="18114" xr:uid="{00000000-0005-0000-0000-00004F7E0000}"/>
    <cellStyle name="Normal 3 9 21 2 2" xfId="35514" xr:uid="{00000000-0005-0000-0000-0000507E0000}"/>
    <cellStyle name="Normal 3 9 21 3" xfId="18115" xr:uid="{00000000-0005-0000-0000-0000517E0000}"/>
    <cellStyle name="Normal 3 9 21 3 2" xfId="35515" xr:uid="{00000000-0005-0000-0000-0000527E0000}"/>
    <cellStyle name="Normal 3 9 21 4" xfId="18116" xr:uid="{00000000-0005-0000-0000-0000537E0000}"/>
    <cellStyle name="Normal 3 9 21 4 2" xfId="35516" xr:uid="{00000000-0005-0000-0000-0000547E0000}"/>
    <cellStyle name="Normal 3 9 21 5" xfId="18117" xr:uid="{00000000-0005-0000-0000-0000557E0000}"/>
    <cellStyle name="Normal 3 9 21 5 2" xfId="35517" xr:uid="{00000000-0005-0000-0000-0000567E0000}"/>
    <cellStyle name="Normal 3 9 21 6" xfId="18118" xr:uid="{00000000-0005-0000-0000-0000577E0000}"/>
    <cellStyle name="Normal 3 9 21 6 2" xfId="35518" xr:uid="{00000000-0005-0000-0000-0000587E0000}"/>
    <cellStyle name="Normal 3 9 21 7" xfId="18119" xr:uid="{00000000-0005-0000-0000-0000597E0000}"/>
    <cellStyle name="Normal 3 9 21 7 2" xfId="35519" xr:uid="{00000000-0005-0000-0000-00005A7E0000}"/>
    <cellStyle name="Normal 3 9 21 8" xfId="18120" xr:uid="{00000000-0005-0000-0000-00005B7E0000}"/>
    <cellStyle name="Normal 3 9 21 8 2" xfId="35520" xr:uid="{00000000-0005-0000-0000-00005C7E0000}"/>
    <cellStyle name="Normal 3 9 21 9" xfId="18121" xr:uid="{00000000-0005-0000-0000-00005D7E0000}"/>
    <cellStyle name="Normal 3 9 21 9 2" xfId="35521" xr:uid="{00000000-0005-0000-0000-00005E7E0000}"/>
    <cellStyle name="Normal 3 9 22" xfId="18122" xr:uid="{00000000-0005-0000-0000-00005F7E0000}"/>
    <cellStyle name="Normal 3 9 22 10" xfId="18123" xr:uid="{00000000-0005-0000-0000-0000607E0000}"/>
    <cellStyle name="Normal 3 9 22 10 2" xfId="35523" xr:uid="{00000000-0005-0000-0000-0000617E0000}"/>
    <cellStyle name="Normal 3 9 22 11" xfId="18124" xr:uid="{00000000-0005-0000-0000-0000627E0000}"/>
    <cellStyle name="Normal 3 9 22 11 2" xfId="35524" xr:uid="{00000000-0005-0000-0000-0000637E0000}"/>
    <cellStyle name="Normal 3 9 22 12" xfId="18125" xr:uid="{00000000-0005-0000-0000-0000647E0000}"/>
    <cellStyle name="Normal 3 9 22 12 2" xfId="35525" xr:uid="{00000000-0005-0000-0000-0000657E0000}"/>
    <cellStyle name="Normal 3 9 22 13" xfId="18126" xr:uid="{00000000-0005-0000-0000-0000667E0000}"/>
    <cellStyle name="Normal 3 9 22 13 2" xfId="35526" xr:uid="{00000000-0005-0000-0000-0000677E0000}"/>
    <cellStyle name="Normal 3 9 22 14" xfId="18127" xr:uid="{00000000-0005-0000-0000-0000687E0000}"/>
    <cellStyle name="Normal 3 9 22 14 2" xfId="35527" xr:uid="{00000000-0005-0000-0000-0000697E0000}"/>
    <cellStyle name="Normal 3 9 22 15" xfId="35522" xr:uid="{00000000-0005-0000-0000-00006A7E0000}"/>
    <cellStyle name="Normal 3 9 22 2" xfId="18128" xr:uid="{00000000-0005-0000-0000-00006B7E0000}"/>
    <cellStyle name="Normal 3 9 22 2 2" xfId="35528" xr:uid="{00000000-0005-0000-0000-00006C7E0000}"/>
    <cellStyle name="Normal 3 9 22 3" xfId="18129" xr:uid="{00000000-0005-0000-0000-00006D7E0000}"/>
    <cellStyle name="Normal 3 9 22 3 2" xfId="35529" xr:uid="{00000000-0005-0000-0000-00006E7E0000}"/>
    <cellStyle name="Normal 3 9 22 4" xfId="18130" xr:uid="{00000000-0005-0000-0000-00006F7E0000}"/>
    <cellStyle name="Normal 3 9 22 4 2" xfId="35530" xr:uid="{00000000-0005-0000-0000-0000707E0000}"/>
    <cellStyle name="Normal 3 9 22 5" xfId="18131" xr:uid="{00000000-0005-0000-0000-0000717E0000}"/>
    <cellStyle name="Normal 3 9 22 5 2" xfId="35531" xr:uid="{00000000-0005-0000-0000-0000727E0000}"/>
    <cellStyle name="Normal 3 9 22 6" xfId="18132" xr:uid="{00000000-0005-0000-0000-0000737E0000}"/>
    <cellStyle name="Normal 3 9 22 6 2" xfId="35532" xr:uid="{00000000-0005-0000-0000-0000747E0000}"/>
    <cellStyle name="Normal 3 9 22 7" xfId="18133" xr:uid="{00000000-0005-0000-0000-0000757E0000}"/>
    <cellStyle name="Normal 3 9 22 7 2" xfId="35533" xr:uid="{00000000-0005-0000-0000-0000767E0000}"/>
    <cellStyle name="Normal 3 9 22 8" xfId="18134" xr:uid="{00000000-0005-0000-0000-0000777E0000}"/>
    <cellStyle name="Normal 3 9 22 8 2" xfId="35534" xr:uid="{00000000-0005-0000-0000-0000787E0000}"/>
    <cellStyle name="Normal 3 9 22 9" xfId="18135" xr:uid="{00000000-0005-0000-0000-0000797E0000}"/>
    <cellStyle name="Normal 3 9 22 9 2" xfId="35535" xr:uid="{00000000-0005-0000-0000-00007A7E0000}"/>
    <cellStyle name="Normal 3 9 23" xfId="18136" xr:uid="{00000000-0005-0000-0000-00007B7E0000}"/>
    <cellStyle name="Normal 3 9 24" xfId="18137" xr:uid="{00000000-0005-0000-0000-00007C7E0000}"/>
    <cellStyle name="Normal 3 9 25" xfId="18138" xr:uid="{00000000-0005-0000-0000-00007D7E0000}"/>
    <cellStyle name="Normal 3 9 25 10" xfId="18139" xr:uid="{00000000-0005-0000-0000-00007E7E0000}"/>
    <cellStyle name="Normal 3 9 25 10 2" xfId="35537" xr:uid="{00000000-0005-0000-0000-00007F7E0000}"/>
    <cellStyle name="Normal 3 9 25 11" xfId="18140" xr:uid="{00000000-0005-0000-0000-0000807E0000}"/>
    <cellStyle name="Normal 3 9 25 11 2" xfId="35538" xr:uid="{00000000-0005-0000-0000-0000817E0000}"/>
    <cellStyle name="Normal 3 9 25 12" xfId="18141" xr:uid="{00000000-0005-0000-0000-0000827E0000}"/>
    <cellStyle name="Normal 3 9 25 12 2" xfId="35539" xr:uid="{00000000-0005-0000-0000-0000837E0000}"/>
    <cellStyle name="Normal 3 9 25 13" xfId="18142" xr:uid="{00000000-0005-0000-0000-0000847E0000}"/>
    <cellStyle name="Normal 3 9 25 13 2" xfId="35540" xr:uid="{00000000-0005-0000-0000-0000857E0000}"/>
    <cellStyle name="Normal 3 9 25 14" xfId="18143" xr:uid="{00000000-0005-0000-0000-0000867E0000}"/>
    <cellStyle name="Normal 3 9 25 14 2" xfId="35541" xr:uid="{00000000-0005-0000-0000-0000877E0000}"/>
    <cellStyle name="Normal 3 9 25 15" xfId="35536" xr:uid="{00000000-0005-0000-0000-0000887E0000}"/>
    <cellStyle name="Normal 3 9 25 2" xfId="18144" xr:uid="{00000000-0005-0000-0000-0000897E0000}"/>
    <cellStyle name="Normal 3 9 25 2 2" xfId="35542" xr:uid="{00000000-0005-0000-0000-00008A7E0000}"/>
    <cellStyle name="Normal 3 9 25 3" xfId="18145" xr:uid="{00000000-0005-0000-0000-00008B7E0000}"/>
    <cellStyle name="Normal 3 9 25 3 2" xfId="35543" xr:uid="{00000000-0005-0000-0000-00008C7E0000}"/>
    <cellStyle name="Normal 3 9 25 4" xfId="18146" xr:uid="{00000000-0005-0000-0000-00008D7E0000}"/>
    <cellStyle name="Normal 3 9 25 4 2" xfId="35544" xr:uid="{00000000-0005-0000-0000-00008E7E0000}"/>
    <cellStyle name="Normal 3 9 25 5" xfId="18147" xr:uid="{00000000-0005-0000-0000-00008F7E0000}"/>
    <cellStyle name="Normal 3 9 25 5 2" xfId="35545" xr:uid="{00000000-0005-0000-0000-0000907E0000}"/>
    <cellStyle name="Normal 3 9 25 6" xfId="18148" xr:uid="{00000000-0005-0000-0000-0000917E0000}"/>
    <cellStyle name="Normal 3 9 25 6 2" xfId="35546" xr:uid="{00000000-0005-0000-0000-0000927E0000}"/>
    <cellStyle name="Normal 3 9 25 7" xfId="18149" xr:uid="{00000000-0005-0000-0000-0000937E0000}"/>
    <cellStyle name="Normal 3 9 25 7 2" xfId="35547" xr:uid="{00000000-0005-0000-0000-0000947E0000}"/>
    <cellStyle name="Normal 3 9 25 8" xfId="18150" xr:uid="{00000000-0005-0000-0000-0000957E0000}"/>
    <cellStyle name="Normal 3 9 25 8 2" xfId="35548" xr:uid="{00000000-0005-0000-0000-0000967E0000}"/>
    <cellStyle name="Normal 3 9 25 9" xfId="18151" xr:uid="{00000000-0005-0000-0000-0000977E0000}"/>
    <cellStyle name="Normal 3 9 25 9 2" xfId="35549" xr:uid="{00000000-0005-0000-0000-0000987E0000}"/>
    <cellStyle name="Normal 3 9 26" xfId="18152" xr:uid="{00000000-0005-0000-0000-0000997E0000}"/>
    <cellStyle name="Normal 3 9 26 10" xfId="18153" xr:uid="{00000000-0005-0000-0000-00009A7E0000}"/>
    <cellStyle name="Normal 3 9 26 10 2" xfId="35551" xr:uid="{00000000-0005-0000-0000-00009B7E0000}"/>
    <cellStyle name="Normal 3 9 26 11" xfId="18154" xr:uid="{00000000-0005-0000-0000-00009C7E0000}"/>
    <cellStyle name="Normal 3 9 26 11 2" xfId="35552" xr:uid="{00000000-0005-0000-0000-00009D7E0000}"/>
    <cellStyle name="Normal 3 9 26 12" xfId="18155" xr:uid="{00000000-0005-0000-0000-00009E7E0000}"/>
    <cellStyle name="Normal 3 9 26 12 2" xfId="35553" xr:uid="{00000000-0005-0000-0000-00009F7E0000}"/>
    <cellStyle name="Normal 3 9 26 13" xfId="18156" xr:uid="{00000000-0005-0000-0000-0000A07E0000}"/>
    <cellStyle name="Normal 3 9 26 13 2" xfId="35554" xr:uid="{00000000-0005-0000-0000-0000A17E0000}"/>
    <cellStyle name="Normal 3 9 26 14" xfId="18157" xr:uid="{00000000-0005-0000-0000-0000A27E0000}"/>
    <cellStyle name="Normal 3 9 26 14 2" xfId="35555" xr:uid="{00000000-0005-0000-0000-0000A37E0000}"/>
    <cellStyle name="Normal 3 9 26 15" xfId="35550" xr:uid="{00000000-0005-0000-0000-0000A47E0000}"/>
    <cellStyle name="Normal 3 9 26 2" xfId="18158" xr:uid="{00000000-0005-0000-0000-0000A57E0000}"/>
    <cellStyle name="Normal 3 9 26 2 2" xfId="35556" xr:uid="{00000000-0005-0000-0000-0000A67E0000}"/>
    <cellStyle name="Normal 3 9 26 3" xfId="18159" xr:uid="{00000000-0005-0000-0000-0000A77E0000}"/>
    <cellStyle name="Normal 3 9 26 3 2" xfId="35557" xr:uid="{00000000-0005-0000-0000-0000A87E0000}"/>
    <cellStyle name="Normal 3 9 26 4" xfId="18160" xr:uid="{00000000-0005-0000-0000-0000A97E0000}"/>
    <cellStyle name="Normal 3 9 26 4 2" xfId="35558" xr:uid="{00000000-0005-0000-0000-0000AA7E0000}"/>
    <cellStyle name="Normal 3 9 26 5" xfId="18161" xr:uid="{00000000-0005-0000-0000-0000AB7E0000}"/>
    <cellStyle name="Normal 3 9 26 5 2" xfId="35559" xr:uid="{00000000-0005-0000-0000-0000AC7E0000}"/>
    <cellStyle name="Normal 3 9 26 6" xfId="18162" xr:uid="{00000000-0005-0000-0000-0000AD7E0000}"/>
    <cellStyle name="Normal 3 9 26 6 2" xfId="35560" xr:uid="{00000000-0005-0000-0000-0000AE7E0000}"/>
    <cellStyle name="Normal 3 9 26 7" xfId="18163" xr:uid="{00000000-0005-0000-0000-0000AF7E0000}"/>
    <cellStyle name="Normal 3 9 26 7 2" xfId="35561" xr:uid="{00000000-0005-0000-0000-0000B07E0000}"/>
    <cellStyle name="Normal 3 9 26 8" xfId="18164" xr:uid="{00000000-0005-0000-0000-0000B17E0000}"/>
    <cellStyle name="Normal 3 9 26 8 2" xfId="35562" xr:uid="{00000000-0005-0000-0000-0000B27E0000}"/>
    <cellStyle name="Normal 3 9 26 9" xfId="18165" xr:uid="{00000000-0005-0000-0000-0000B37E0000}"/>
    <cellStyle name="Normal 3 9 26 9 2" xfId="35563" xr:uid="{00000000-0005-0000-0000-0000B47E0000}"/>
    <cellStyle name="Normal 3 9 3" xfId="18166" xr:uid="{00000000-0005-0000-0000-0000B57E0000}"/>
    <cellStyle name="Normal 3 9 4" xfId="18167" xr:uid="{00000000-0005-0000-0000-0000B67E0000}"/>
    <cellStyle name="Normal 3 9 5" xfId="18168" xr:uid="{00000000-0005-0000-0000-0000B77E0000}"/>
    <cellStyle name="Normal 3 9 6" xfId="18169" xr:uid="{00000000-0005-0000-0000-0000B87E0000}"/>
    <cellStyle name="Normal 3 9 7" xfId="18170" xr:uid="{00000000-0005-0000-0000-0000B97E0000}"/>
    <cellStyle name="Normal 3 9 8" xfId="18171" xr:uid="{00000000-0005-0000-0000-0000BA7E0000}"/>
    <cellStyle name="Normal 3 9 9" xfId="18172" xr:uid="{00000000-0005-0000-0000-0000BB7E0000}"/>
    <cellStyle name="Normal 3_01_ResLighting" xfId="499" xr:uid="{00000000-0005-0000-0000-0000BC7E0000}"/>
    <cellStyle name="Normal 30" xfId="438" xr:uid="{00000000-0005-0000-0000-0000BD7E0000}"/>
    <cellStyle name="Normal 30 2" xfId="18174" xr:uid="{00000000-0005-0000-0000-0000BE7E0000}"/>
    <cellStyle name="Normal 30 2 10" xfId="18175" xr:uid="{00000000-0005-0000-0000-0000BF7E0000}"/>
    <cellStyle name="Normal 30 2 10 10" xfId="18176" xr:uid="{00000000-0005-0000-0000-0000C07E0000}"/>
    <cellStyle name="Normal 30 2 10 10 2" xfId="35566" xr:uid="{00000000-0005-0000-0000-0000C17E0000}"/>
    <cellStyle name="Normal 30 2 10 11" xfId="18177" xr:uid="{00000000-0005-0000-0000-0000C27E0000}"/>
    <cellStyle name="Normal 30 2 10 11 2" xfId="35567" xr:uid="{00000000-0005-0000-0000-0000C37E0000}"/>
    <cellStyle name="Normal 30 2 10 12" xfId="18178" xr:uid="{00000000-0005-0000-0000-0000C47E0000}"/>
    <cellStyle name="Normal 30 2 10 12 2" xfId="35568" xr:uid="{00000000-0005-0000-0000-0000C57E0000}"/>
    <cellStyle name="Normal 30 2 10 13" xfId="18179" xr:uid="{00000000-0005-0000-0000-0000C67E0000}"/>
    <cellStyle name="Normal 30 2 10 13 2" xfId="35569" xr:uid="{00000000-0005-0000-0000-0000C77E0000}"/>
    <cellStyle name="Normal 30 2 10 14" xfId="18180" xr:uid="{00000000-0005-0000-0000-0000C87E0000}"/>
    <cellStyle name="Normal 30 2 10 14 2" xfId="35570" xr:uid="{00000000-0005-0000-0000-0000C97E0000}"/>
    <cellStyle name="Normal 30 2 10 15" xfId="35565" xr:uid="{00000000-0005-0000-0000-0000CA7E0000}"/>
    <cellStyle name="Normal 30 2 10 2" xfId="18181" xr:uid="{00000000-0005-0000-0000-0000CB7E0000}"/>
    <cellStyle name="Normal 30 2 10 2 2" xfId="35571" xr:uid="{00000000-0005-0000-0000-0000CC7E0000}"/>
    <cellStyle name="Normal 30 2 10 3" xfId="18182" xr:uid="{00000000-0005-0000-0000-0000CD7E0000}"/>
    <cellStyle name="Normal 30 2 10 3 2" xfId="35572" xr:uid="{00000000-0005-0000-0000-0000CE7E0000}"/>
    <cellStyle name="Normal 30 2 10 4" xfId="18183" xr:uid="{00000000-0005-0000-0000-0000CF7E0000}"/>
    <cellStyle name="Normal 30 2 10 4 2" xfId="35573" xr:uid="{00000000-0005-0000-0000-0000D07E0000}"/>
    <cellStyle name="Normal 30 2 10 5" xfId="18184" xr:uid="{00000000-0005-0000-0000-0000D17E0000}"/>
    <cellStyle name="Normal 30 2 10 5 2" xfId="35574" xr:uid="{00000000-0005-0000-0000-0000D27E0000}"/>
    <cellStyle name="Normal 30 2 10 6" xfId="18185" xr:uid="{00000000-0005-0000-0000-0000D37E0000}"/>
    <cellStyle name="Normal 30 2 10 6 2" xfId="35575" xr:uid="{00000000-0005-0000-0000-0000D47E0000}"/>
    <cellStyle name="Normal 30 2 10 7" xfId="18186" xr:uid="{00000000-0005-0000-0000-0000D57E0000}"/>
    <cellStyle name="Normal 30 2 10 7 2" xfId="35576" xr:uid="{00000000-0005-0000-0000-0000D67E0000}"/>
    <cellStyle name="Normal 30 2 10 8" xfId="18187" xr:uid="{00000000-0005-0000-0000-0000D77E0000}"/>
    <cellStyle name="Normal 30 2 10 8 2" xfId="35577" xr:uid="{00000000-0005-0000-0000-0000D87E0000}"/>
    <cellStyle name="Normal 30 2 10 9" xfId="18188" xr:uid="{00000000-0005-0000-0000-0000D97E0000}"/>
    <cellStyle name="Normal 30 2 10 9 2" xfId="35578" xr:uid="{00000000-0005-0000-0000-0000DA7E0000}"/>
    <cellStyle name="Normal 30 2 11" xfId="18189" xr:uid="{00000000-0005-0000-0000-0000DB7E0000}"/>
    <cellStyle name="Normal 30 2 11 10" xfId="18190" xr:uid="{00000000-0005-0000-0000-0000DC7E0000}"/>
    <cellStyle name="Normal 30 2 11 10 2" xfId="35580" xr:uid="{00000000-0005-0000-0000-0000DD7E0000}"/>
    <cellStyle name="Normal 30 2 11 11" xfId="18191" xr:uid="{00000000-0005-0000-0000-0000DE7E0000}"/>
    <cellStyle name="Normal 30 2 11 11 2" xfId="35581" xr:uid="{00000000-0005-0000-0000-0000DF7E0000}"/>
    <cellStyle name="Normal 30 2 11 12" xfId="18192" xr:uid="{00000000-0005-0000-0000-0000E07E0000}"/>
    <cellStyle name="Normal 30 2 11 12 2" xfId="35582" xr:uid="{00000000-0005-0000-0000-0000E17E0000}"/>
    <cellStyle name="Normal 30 2 11 13" xfId="18193" xr:uid="{00000000-0005-0000-0000-0000E27E0000}"/>
    <cellStyle name="Normal 30 2 11 13 2" xfId="35583" xr:uid="{00000000-0005-0000-0000-0000E37E0000}"/>
    <cellStyle name="Normal 30 2 11 14" xfId="18194" xr:uid="{00000000-0005-0000-0000-0000E47E0000}"/>
    <cellStyle name="Normal 30 2 11 14 2" xfId="35584" xr:uid="{00000000-0005-0000-0000-0000E57E0000}"/>
    <cellStyle name="Normal 30 2 11 15" xfId="35579" xr:uid="{00000000-0005-0000-0000-0000E67E0000}"/>
    <cellStyle name="Normal 30 2 11 2" xfId="18195" xr:uid="{00000000-0005-0000-0000-0000E77E0000}"/>
    <cellStyle name="Normal 30 2 11 2 2" xfId="35585" xr:uid="{00000000-0005-0000-0000-0000E87E0000}"/>
    <cellStyle name="Normal 30 2 11 3" xfId="18196" xr:uid="{00000000-0005-0000-0000-0000E97E0000}"/>
    <cellStyle name="Normal 30 2 11 3 2" xfId="35586" xr:uid="{00000000-0005-0000-0000-0000EA7E0000}"/>
    <cellStyle name="Normal 30 2 11 4" xfId="18197" xr:uid="{00000000-0005-0000-0000-0000EB7E0000}"/>
    <cellStyle name="Normal 30 2 11 4 2" xfId="35587" xr:uid="{00000000-0005-0000-0000-0000EC7E0000}"/>
    <cellStyle name="Normal 30 2 11 5" xfId="18198" xr:uid="{00000000-0005-0000-0000-0000ED7E0000}"/>
    <cellStyle name="Normal 30 2 11 5 2" xfId="35588" xr:uid="{00000000-0005-0000-0000-0000EE7E0000}"/>
    <cellStyle name="Normal 30 2 11 6" xfId="18199" xr:uid="{00000000-0005-0000-0000-0000EF7E0000}"/>
    <cellStyle name="Normal 30 2 11 6 2" xfId="35589" xr:uid="{00000000-0005-0000-0000-0000F07E0000}"/>
    <cellStyle name="Normal 30 2 11 7" xfId="18200" xr:uid="{00000000-0005-0000-0000-0000F17E0000}"/>
    <cellStyle name="Normal 30 2 11 7 2" xfId="35590" xr:uid="{00000000-0005-0000-0000-0000F27E0000}"/>
    <cellStyle name="Normal 30 2 11 8" xfId="18201" xr:uid="{00000000-0005-0000-0000-0000F37E0000}"/>
    <cellStyle name="Normal 30 2 11 8 2" xfId="35591" xr:uid="{00000000-0005-0000-0000-0000F47E0000}"/>
    <cellStyle name="Normal 30 2 11 9" xfId="18202" xr:uid="{00000000-0005-0000-0000-0000F57E0000}"/>
    <cellStyle name="Normal 30 2 11 9 2" xfId="35592" xr:uid="{00000000-0005-0000-0000-0000F67E0000}"/>
    <cellStyle name="Normal 30 2 12" xfId="18203" xr:uid="{00000000-0005-0000-0000-0000F77E0000}"/>
    <cellStyle name="Normal 30 2 12 10" xfId="18204" xr:uid="{00000000-0005-0000-0000-0000F87E0000}"/>
    <cellStyle name="Normal 30 2 12 10 2" xfId="35594" xr:uid="{00000000-0005-0000-0000-0000F97E0000}"/>
    <cellStyle name="Normal 30 2 12 11" xfId="18205" xr:uid="{00000000-0005-0000-0000-0000FA7E0000}"/>
    <cellStyle name="Normal 30 2 12 11 2" xfId="35595" xr:uid="{00000000-0005-0000-0000-0000FB7E0000}"/>
    <cellStyle name="Normal 30 2 12 12" xfId="18206" xr:uid="{00000000-0005-0000-0000-0000FC7E0000}"/>
    <cellStyle name="Normal 30 2 12 12 2" xfId="35596" xr:uid="{00000000-0005-0000-0000-0000FD7E0000}"/>
    <cellStyle name="Normal 30 2 12 13" xfId="18207" xr:uid="{00000000-0005-0000-0000-0000FE7E0000}"/>
    <cellStyle name="Normal 30 2 12 13 2" xfId="35597" xr:uid="{00000000-0005-0000-0000-0000FF7E0000}"/>
    <cellStyle name="Normal 30 2 12 14" xfId="18208" xr:uid="{00000000-0005-0000-0000-0000007F0000}"/>
    <cellStyle name="Normal 30 2 12 14 2" xfId="35598" xr:uid="{00000000-0005-0000-0000-0000017F0000}"/>
    <cellStyle name="Normal 30 2 12 15" xfId="35593" xr:uid="{00000000-0005-0000-0000-0000027F0000}"/>
    <cellStyle name="Normal 30 2 12 2" xfId="18209" xr:uid="{00000000-0005-0000-0000-0000037F0000}"/>
    <cellStyle name="Normal 30 2 12 2 2" xfId="35599" xr:uid="{00000000-0005-0000-0000-0000047F0000}"/>
    <cellStyle name="Normal 30 2 12 3" xfId="18210" xr:uid="{00000000-0005-0000-0000-0000057F0000}"/>
    <cellStyle name="Normal 30 2 12 3 2" xfId="35600" xr:uid="{00000000-0005-0000-0000-0000067F0000}"/>
    <cellStyle name="Normal 30 2 12 4" xfId="18211" xr:uid="{00000000-0005-0000-0000-0000077F0000}"/>
    <cellStyle name="Normal 30 2 12 4 2" xfId="35601" xr:uid="{00000000-0005-0000-0000-0000087F0000}"/>
    <cellStyle name="Normal 30 2 12 5" xfId="18212" xr:uid="{00000000-0005-0000-0000-0000097F0000}"/>
    <cellStyle name="Normal 30 2 12 5 2" xfId="35602" xr:uid="{00000000-0005-0000-0000-00000A7F0000}"/>
    <cellStyle name="Normal 30 2 12 6" xfId="18213" xr:uid="{00000000-0005-0000-0000-00000B7F0000}"/>
    <cellStyle name="Normal 30 2 12 6 2" xfId="35603" xr:uid="{00000000-0005-0000-0000-00000C7F0000}"/>
    <cellStyle name="Normal 30 2 12 7" xfId="18214" xr:uid="{00000000-0005-0000-0000-00000D7F0000}"/>
    <cellStyle name="Normal 30 2 12 7 2" xfId="35604" xr:uid="{00000000-0005-0000-0000-00000E7F0000}"/>
    <cellStyle name="Normal 30 2 12 8" xfId="18215" xr:uid="{00000000-0005-0000-0000-00000F7F0000}"/>
    <cellStyle name="Normal 30 2 12 8 2" xfId="35605" xr:uid="{00000000-0005-0000-0000-0000107F0000}"/>
    <cellStyle name="Normal 30 2 12 9" xfId="18216" xr:uid="{00000000-0005-0000-0000-0000117F0000}"/>
    <cellStyle name="Normal 30 2 12 9 2" xfId="35606" xr:uid="{00000000-0005-0000-0000-0000127F0000}"/>
    <cellStyle name="Normal 30 2 13" xfId="18217" xr:uid="{00000000-0005-0000-0000-0000137F0000}"/>
    <cellStyle name="Normal 30 2 13 10" xfId="18218" xr:uid="{00000000-0005-0000-0000-0000147F0000}"/>
    <cellStyle name="Normal 30 2 13 10 2" xfId="35608" xr:uid="{00000000-0005-0000-0000-0000157F0000}"/>
    <cellStyle name="Normal 30 2 13 11" xfId="18219" xr:uid="{00000000-0005-0000-0000-0000167F0000}"/>
    <cellStyle name="Normal 30 2 13 11 2" xfId="35609" xr:uid="{00000000-0005-0000-0000-0000177F0000}"/>
    <cellStyle name="Normal 30 2 13 12" xfId="18220" xr:uid="{00000000-0005-0000-0000-0000187F0000}"/>
    <cellStyle name="Normal 30 2 13 12 2" xfId="35610" xr:uid="{00000000-0005-0000-0000-0000197F0000}"/>
    <cellStyle name="Normal 30 2 13 13" xfId="18221" xr:uid="{00000000-0005-0000-0000-00001A7F0000}"/>
    <cellStyle name="Normal 30 2 13 13 2" xfId="35611" xr:uid="{00000000-0005-0000-0000-00001B7F0000}"/>
    <cellStyle name="Normal 30 2 13 14" xfId="18222" xr:uid="{00000000-0005-0000-0000-00001C7F0000}"/>
    <cellStyle name="Normal 30 2 13 14 2" xfId="35612" xr:uid="{00000000-0005-0000-0000-00001D7F0000}"/>
    <cellStyle name="Normal 30 2 13 15" xfId="35607" xr:uid="{00000000-0005-0000-0000-00001E7F0000}"/>
    <cellStyle name="Normal 30 2 13 2" xfId="18223" xr:uid="{00000000-0005-0000-0000-00001F7F0000}"/>
    <cellStyle name="Normal 30 2 13 2 2" xfId="35613" xr:uid="{00000000-0005-0000-0000-0000207F0000}"/>
    <cellStyle name="Normal 30 2 13 3" xfId="18224" xr:uid="{00000000-0005-0000-0000-0000217F0000}"/>
    <cellStyle name="Normal 30 2 13 3 2" xfId="35614" xr:uid="{00000000-0005-0000-0000-0000227F0000}"/>
    <cellStyle name="Normal 30 2 13 4" xfId="18225" xr:uid="{00000000-0005-0000-0000-0000237F0000}"/>
    <cellStyle name="Normal 30 2 13 4 2" xfId="35615" xr:uid="{00000000-0005-0000-0000-0000247F0000}"/>
    <cellStyle name="Normal 30 2 13 5" xfId="18226" xr:uid="{00000000-0005-0000-0000-0000257F0000}"/>
    <cellStyle name="Normal 30 2 13 5 2" xfId="35616" xr:uid="{00000000-0005-0000-0000-0000267F0000}"/>
    <cellStyle name="Normal 30 2 13 6" xfId="18227" xr:uid="{00000000-0005-0000-0000-0000277F0000}"/>
    <cellStyle name="Normal 30 2 13 6 2" xfId="35617" xr:uid="{00000000-0005-0000-0000-0000287F0000}"/>
    <cellStyle name="Normal 30 2 13 7" xfId="18228" xr:uid="{00000000-0005-0000-0000-0000297F0000}"/>
    <cellStyle name="Normal 30 2 13 7 2" xfId="35618" xr:uid="{00000000-0005-0000-0000-00002A7F0000}"/>
    <cellStyle name="Normal 30 2 13 8" xfId="18229" xr:uid="{00000000-0005-0000-0000-00002B7F0000}"/>
    <cellStyle name="Normal 30 2 13 8 2" xfId="35619" xr:uid="{00000000-0005-0000-0000-00002C7F0000}"/>
    <cellStyle name="Normal 30 2 13 9" xfId="18230" xr:uid="{00000000-0005-0000-0000-00002D7F0000}"/>
    <cellStyle name="Normal 30 2 13 9 2" xfId="35620" xr:uid="{00000000-0005-0000-0000-00002E7F0000}"/>
    <cellStyle name="Normal 30 2 14" xfId="18231" xr:uid="{00000000-0005-0000-0000-00002F7F0000}"/>
    <cellStyle name="Normal 30 2 14 10" xfId="18232" xr:uid="{00000000-0005-0000-0000-0000307F0000}"/>
    <cellStyle name="Normal 30 2 14 10 2" xfId="35622" xr:uid="{00000000-0005-0000-0000-0000317F0000}"/>
    <cellStyle name="Normal 30 2 14 11" xfId="18233" xr:uid="{00000000-0005-0000-0000-0000327F0000}"/>
    <cellStyle name="Normal 30 2 14 11 2" xfId="35623" xr:uid="{00000000-0005-0000-0000-0000337F0000}"/>
    <cellStyle name="Normal 30 2 14 12" xfId="18234" xr:uid="{00000000-0005-0000-0000-0000347F0000}"/>
    <cellStyle name="Normal 30 2 14 12 2" xfId="35624" xr:uid="{00000000-0005-0000-0000-0000357F0000}"/>
    <cellStyle name="Normal 30 2 14 13" xfId="18235" xr:uid="{00000000-0005-0000-0000-0000367F0000}"/>
    <cellStyle name="Normal 30 2 14 13 2" xfId="35625" xr:uid="{00000000-0005-0000-0000-0000377F0000}"/>
    <cellStyle name="Normal 30 2 14 14" xfId="18236" xr:uid="{00000000-0005-0000-0000-0000387F0000}"/>
    <cellStyle name="Normal 30 2 14 14 2" xfId="35626" xr:uid="{00000000-0005-0000-0000-0000397F0000}"/>
    <cellStyle name="Normal 30 2 14 15" xfId="35621" xr:uid="{00000000-0005-0000-0000-00003A7F0000}"/>
    <cellStyle name="Normal 30 2 14 2" xfId="18237" xr:uid="{00000000-0005-0000-0000-00003B7F0000}"/>
    <cellStyle name="Normal 30 2 14 2 2" xfId="35627" xr:uid="{00000000-0005-0000-0000-00003C7F0000}"/>
    <cellStyle name="Normal 30 2 14 3" xfId="18238" xr:uid="{00000000-0005-0000-0000-00003D7F0000}"/>
    <cellStyle name="Normal 30 2 14 3 2" xfId="35628" xr:uid="{00000000-0005-0000-0000-00003E7F0000}"/>
    <cellStyle name="Normal 30 2 14 4" xfId="18239" xr:uid="{00000000-0005-0000-0000-00003F7F0000}"/>
    <cellStyle name="Normal 30 2 14 4 2" xfId="35629" xr:uid="{00000000-0005-0000-0000-0000407F0000}"/>
    <cellStyle name="Normal 30 2 14 5" xfId="18240" xr:uid="{00000000-0005-0000-0000-0000417F0000}"/>
    <cellStyle name="Normal 30 2 14 5 2" xfId="35630" xr:uid="{00000000-0005-0000-0000-0000427F0000}"/>
    <cellStyle name="Normal 30 2 14 6" xfId="18241" xr:uid="{00000000-0005-0000-0000-0000437F0000}"/>
    <cellStyle name="Normal 30 2 14 6 2" xfId="35631" xr:uid="{00000000-0005-0000-0000-0000447F0000}"/>
    <cellStyle name="Normal 30 2 14 7" xfId="18242" xr:uid="{00000000-0005-0000-0000-0000457F0000}"/>
    <cellStyle name="Normal 30 2 14 7 2" xfId="35632" xr:uid="{00000000-0005-0000-0000-0000467F0000}"/>
    <cellStyle name="Normal 30 2 14 8" xfId="18243" xr:uid="{00000000-0005-0000-0000-0000477F0000}"/>
    <cellStyle name="Normal 30 2 14 8 2" xfId="35633" xr:uid="{00000000-0005-0000-0000-0000487F0000}"/>
    <cellStyle name="Normal 30 2 14 9" xfId="18244" xr:uid="{00000000-0005-0000-0000-0000497F0000}"/>
    <cellStyle name="Normal 30 2 14 9 2" xfId="35634" xr:uid="{00000000-0005-0000-0000-00004A7F0000}"/>
    <cellStyle name="Normal 30 2 15" xfId="18245" xr:uid="{00000000-0005-0000-0000-00004B7F0000}"/>
    <cellStyle name="Normal 30 2 15 10" xfId="18246" xr:uid="{00000000-0005-0000-0000-00004C7F0000}"/>
    <cellStyle name="Normal 30 2 15 10 2" xfId="35636" xr:uid="{00000000-0005-0000-0000-00004D7F0000}"/>
    <cellStyle name="Normal 30 2 15 11" xfId="18247" xr:uid="{00000000-0005-0000-0000-00004E7F0000}"/>
    <cellStyle name="Normal 30 2 15 11 2" xfId="35637" xr:uid="{00000000-0005-0000-0000-00004F7F0000}"/>
    <cellStyle name="Normal 30 2 15 12" xfId="18248" xr:uid="{00000000-0005-0000-0000-0000507F0000}"/>
    <cellStyle name="Normal 30 2 15 12 2" xfId="35638" xr:uid="{00000000-0005-0000-0000-0000517F0000}"/>
    <cellStyle name="Normal 30 2 15 13" xfId="18249" xr:uid="{00000000-0005-0000-0000-0000527F0000}"/>
    <cellStyle name="Normal 30 2 15 13 2" xfId="35639" xr:uid="{00000000-0005-0000-0000-0000537F0000}"/>
    <cellStyle name="Normal 30 2 15 14" xfId="18250" xr:uid="{00000000-0005-0000-0000-0000547F0000}"/>
    <cellStyle name="Normal 30 2 15 14 2" xfId="35640" xr:uid="{00000000-0005-0000-0000-0000557F0000}"/>
    <cellStyle name="Normal 30 2 15 15" xfId="35635" xr:uid="{00000000-0005-0000-0000-0000567F0000}"/>
    <cellStyle name="Normal 30 2 15 2" xfId="18251" xr:uid="{00000000-0005-0000-0000-0000577F0000}"/>
    <cellStyle name="Normal 30 2 15 2 2" xfId="35641" xr:uid="{00000000-0005-0000-0000-0000587F0000}"/>
    <cellStyle name="Normal 30 2 15 3" xfId="18252" xr:uid="{00000000-0005-0000-0000-0000597F0000}"/>
    <cellStyle name="Normal 30 2 15 3 2" xfId="35642" xr:uid="{00000000-0005-0000-0000-00005A7F0000}"/>
    <cellStyle name="Normal 30 2 15 4" xfId="18253" xr:uid="{00000000-0005-0000-0000-00005B7F0000}"/>
    <cellStyle name="Normal 30 2 15 4 2" xfId="35643" xr:uid="{00000000-0005-0000-0000-00005C7F0000}"/>
    <cellStyle name="Normal 30 2 15 5" xfId="18254" xr:uid="{00000000-0005-0000-0000-00005D7F0000}"/>
    <cellStyle name="Normal 30 2 15 5 2" xfId="35644" xr:uid="{00000000-0005-0000-0000-00005E7F0000}"/>
    <cellStyle name="Normal 30 2 15 6" xfId="18255" xr:uid="{00000000-0005-0000-0000-00005F7F0000}"/>
    <cellStyle name="Normal 30 2 15 6 2" xfId="35645" xr:uid="{00000000-0005-0000-0000-0000607F0000}"/>
    <cellStyle name="Normal 30 2 15 7" xfId="18256" xr:uid="{00000000-0005-0000-0000-0000617F0000}"/>
    <cellStyle name="Normal 30 2 15 7 2" xfId="35646" xr:uid="{00000000-0005-0000-0000-0000627F0000}"/>
    <cellStyle name="Normal 30 2 15 8" xfId="18257" xr:uid="{00000000-0005-0000-0000-0000637F0000}"/>
    <cellStyle name="Normal 30 2 15 8 2" xfId="35647" xr:uid="{00000000-0005-0000-0000-0000647F0000}"/>
    <cellStyle name="Normal 30 2 15 9" xfId="18258" xr:uid="{00000000-0005-0000-0000-0000657F0000}"/>
    <cellStyle name="Normal 30 2 15 9 2" xfId="35648" xr:uid="{00000000-0005-0000-0000-0000667F0000}"/>
    <cellStyle name="Normal 30 2 16" xfId="18259" xr:uid="{00000000-0005-0000-0000-0000677F0000}"/>
    <cellStyle name="Normal 30 2 16 2" xfId="35649" xr:uid="{00000000-0005-0000-0000-0000687F0000}"/>
    <cellStyle name="Normal 30 2 17" xfId="18260" xr:uid="{00000000-0005-0000-0000-0000697F0000}"/>
    <cellStyle name="Normal 30 2 17 2" xfId="35650" xr:uid="{00000000-0005-0000-0000-00006A7F0000}"/>
    <cellStyle name="Normal 30 2 18" xfId="18261" xr:uid="{00000000-0005-0000-0000-00006B7F0000}"/>
    <cellStyle name="Normal 30 2 18 2" xfId="35651" xr:uid="{00000000-0005-0000-0000-00006C7F0000}"/>
    <cellStyle name="Normal 30 2 19" xfId="18262" xr:uid="{00000000-0005-0000-0000-00006D7F0000}"/>
    <cellStyle name="Normal 30 2 19 2" xfId="35652" xr:uid="{00000000-0005-0000-0000-00006E7F0000}"/>
    <cellStyle name="Normal 30 2 2" xfId="18263" xr:uid="{00000000-0005-0000-0000-00006F7F0000}"/>
    <cellStyle name="Normal 30 2 2 10" xfId="18264" xr:uid="{00000000-0005-0000-0000-0000707F0000}"/>
    <cellStyle name="Normal 30 2 2 10 2" xfId="35654" xr:uid="{00000000-0005-0000-0000-0000717F0000}"/>
    <cellStyle name="Normal 30 2 2 11" xfId="18265" xr:uid="{00000000-0005-0000-0000-0000727F0000}"/>
    <cellStyle name="Normal 30 2 2 11 2" xfId="35655" xr:uid="{00000000-0005-0000-0000-0000737F0000}"/>
    <cellStyle name="Normal 30 2 2 12" xfId="18266" xr:uid="{00000000-0005-0000-0000-0000747F0000}"/>
    <cellStyle name="Normal 30 2 2 12 2" xfId="35656" xr:uid="{00000000-0005-0000-0000-0000757F0000}"/>
    <cellStyle name="Normal 30 2 2 13" xfId="18267" xr:uid="{00000000-0005-0000-0000-0000767F0000}"/>
    <cellStyle name="Normal 30 2 2 13 2" xfId="35657" xr:uid="{00000000-0005-0000-0000-0000777F0000}"/>
    <cellStyle name="Normal 30 2 2 14" xfId="18268" xr:uid="{00000000-0005-0000-0000-0000787F0000}"/>
    <cellStyle name="Normal 30 2 2 14 2" xfId="35658" xr:uid="{00000000-0005-0000-0000-0000797F0000}"/>
    <cellStyle name="Normal 30 2 2 15" xfId="18269" xr:uid="{00000000-0005-0000-0000-00007A7F0000}"/>
    <cellStyle name="Normal 30 2 2 15 2" xfId="35659" xr:uid="{00000000-0005-0000-0000-00007B7F0000}"/>
    <cellStyle name="Normal 30 2 2 16" xfId="35653" xr:uid="{00000000-0005-0000-0000-00007C7F0000}"/>
    <cellStyle name="Normal 30 2 2 2" xfId="18270" xr:uid="{00000000-0005-0000-0000-00007D7F0000}"/>
    <cellStyle name="Normal 30 2 2 2 10" xfId="18271" xr:uid="{00000000-0005-0000-0000-00007E7F0000}"/>
    <cellStyle name="Normal 30 2 2 2 10 2" xfId="35661" xr:uid="{00000000-0005-0000-0000-00007F7F0000}"/>
    <cellStyle name="Normal 30 2 2 2 11" xfId="18272" xr:uid="{00000000-0005-0000-0000-0000807F0000}"/>
    <cellStyle name="Normal 30 2 2 2 11 2" xfId="35662" xr:uid="{00000000-0005-0000-0000-0000817F0000}"/>
    <cellStyle name="Normal 30 2 2 2 12" xfId="18273" xr:uid="{00000000-0005-0000-0000-0000827F0000}"/>
    <cellStyle name="Normal 30 2 2 2 12 2" xfId="35663" xr:uid="{00000000-0005-0000-0000-0000837F0000}"/>
    <cellStyle name="Normal 30 2 2 2 13" xfId="18274" xr:uid="{00000000-0005-0000-0000-0000847F0000}"/>
    <cellStyle name="Normal 30 2 2 2 13 2" xfId="35664" xr:uid="{00000000-0005-0000-0000-0000857F0000}"/>
    <cellStyle name="Normal 30 2 2 2 14" xfId="18275" xr:uid="{00000000-0005-0000-0000-0000867F0000}"/>
    <cellStyle name="Normal 30 2 2 2 14 2" xfId="35665" xr:uid="{00000000-0005-0000-0000-0000877F0000}"/>
    <cellStyle name="Normal 30 2 2 2 15" xfId="35660" xr:uid="{00000000-0005-0000-0000-0000887F0000}"/>
    <cellStyle name="Normal 30 2 2 2 2" xfId="18276" xr:uid="{00000000-0005-0000-0000-0000897F0000}"/>
    <cellStyle name="Normal 30 2 2 2 2 2" xfId="35666" xr:uid="{00000000-0005-0000-0000-00008A7F0000}"/>
    <cellStyle name="Normal 30 2 2 2 3" xfId="18277" xr:uid="{00000000-0005-0000-0000-00008B7F0000}"/>
    <cellStyle name="Normal 30 2 2 2 3 2" xfId="35667" xr:uid="{00000000-0005-0000-0000-00008C7F0000}"/>
    <cellStyle name="Normal 30 2 2 2 4" xfId="18278" xr:uid="{00000000-0005-0000-0000-00008D7F0000}"/>
    <cellStyle name="Normal 30 2 2 2 4 2" xfId="35668" xr:uid="{00000000-0005-0000-0000-00008E7F0000}"/>
    <cellStyle name="Normal 30 2 2 2 5" xfId="18279" xr:uid="{00000000-0005-0000-0000-00008F7F0000}"/>
    <cellStyle name="Normal 30 2 2 2 5 2" xfId="35669" xr:uid="{00000000-0005-0000-0000-0000907F0000}"/>
    <cellStyle name="Normal 30 2 2 2 6" xfId="18280" xr:uid="{00000000-0005-0000-0000-0000917F0000}"/>
    <cellStyle name="Normal 30 2 2 2 6 2" xfId="35670" xr:uid="{00000000-0005-0000-0000-0000927F0000}"/>
    <cellStyle name="Normal 30 2 2 2 7" xfId="18281" xr:uid="{00000000-0005-0000-0000-0000937F0000}"/>
    <cellStyle name="Normal 30 2 2 2 7 2" xfId="35671" xr:uid="{00000000-0005-0000-0000-0000947F0000}"/>
    <cellStyle name="Normal 30 2 2 2 8" xfId="18282" xr:uid="{00000000-0005-0000-0000-0000957F0000}"/>
    <cellStyle name="Normal 30 2 2 2 8 2" xfId="35672" xr:uid="{00000000-0005-0000-0000-0000967F0000}"/>
    <cellStyle name="Normal 30 2 2 2 9" xfId="18283" xr:uid="{00000000-0005-0000-0000-0000977F0000}"/>
    <cellStyle name="Normal 30 2 2 2 9 2" xfId="35673" xr:uid="{00000000-0005-0000-0000-0000987F0000}"/>
    <cellStyle name="Normal 30 2 2 3" xfId="18284" xr:uid="{00000000-0005-0000-0000-0000997F0000}"/>
    <cellStyle name="Normal 30 2 2 3 2" xfId="35674" xr:uid="{00000000-0005-0000-0000-00009A7F0000}"/>
    <cellStyle name="Normal 30 2 2 4" xfId="18285" xr:uid="{00000000-0005-0000-0000-00009B7F0000}"/>
    <cellStyle name="Normal 30 2 2 4 2" xfId="35675" xr:uid="{00000000-0005-0000-0000-00009C7F0000}"/>
    <cellStyle name="Normal 30 2 2 5" xfId="18286" xr:uid="{00000000-0005-0000-0000-00009D7F0000}"/>
    <cellStyle name="Normal 30 2 2 5 2" xfId="35676" xr:uid="{00000000-0005-0000-0000-00009E7F0000}"/>
    <cellStyle name="Normal 30 2 2 6" xfId="18287" xr:uid="{00000000-0005-0000-0000-00009F7F0000}"/>
    <cellStyle name="Normal 30 2 2 6 2" xfId="35677" xr:uid="{00000000-0005-0000-0000-0000A07F0000}"/>
    <cellStyle name="Normal 30 2 2 7" xfId="18288" xr:uid="{00000000-0005-0000-0000-0000A17F0000}"/>
    <cellStyle name="Normal 30 2 2 7 2" xfId="35678" xr:uid="{00000000-0005-0000-0000-0000A27F0000}"/>
    <cellStyle name="Normal 30 2 2 8" xfId="18289" xr:uid="{00000000-0005-0000-0000-0000A37F0000}"/>
    <cellStyle name="Normal 30 2 2 8 2" xfId="35679" xr:uid="{00000000-0005-0000-0000-0000A47F0000}"/>
    <cellStyle name="Normal 30 2 2 9" xfId="18290" xr:uid="{00000000-0005-0000-0000-0000A57F0000}"/>
    <cellStyle name="Normal 30 2 2 9 2" xfId="35680" xr:uid="{00000000-0005-0000-0000-0000A67F0000}"/>
    <cellStyle name="Normal 30 2 20" xfId="18291" xr:uid="{00000000-0005-0000-0000-0000A77F0000}"/>
    <cellStyle name="Normal 30 2 20 2" xfId="35681" xr:uid="{00000000-0005-0000-0000-0000A87F0000}"/>
    <cellStyle name="Normal 30 2 21" xfId="18292" xr:uid="{00000000-0005-0000-0000-0000A97F0000}"/>
    <cellStyle name="Normal 30 2 21 2" xfId="35682" xr:uid="{00000000-0005-0000-0000-0000AA7F0000}"/>
    <cellStyle name="Normal 30 2 22" xfId="18293" xr:uid="{00000000-0005-0000-0000-0000AB7F0000}"/>
    <cellStyle name="Normal 30 2 22 2" xfId="35683" xr:uid="{00000000-0005-0000-0000-0000AC7F0000}"/>
    <cellStyle name="Normal 30 2 23" xfId="18294" xr:uid="{00000000-0005-0000-0000-0000AD7F0000}"/>
    <cellStyle name="Normal 30 2 23 2" xfId="35684" xr:uid="{00000000-0005-0000-0000-0000AE7F0000}"/>
    <cellStyle name="Normal 30 2 24" xfId="18295" xr:uid="{00000000-0005-0000-0000-0000AF7F0000}"/>
    <cellStyle name="Normal 30 2 24 2" xfId="35685" xr:uid="{00000000-0005-0000-0000-0000B07F0000}"/>
    <cellStyle name="Normal 30 2 25" xfId="18296" xr:uid="{00000000-0005-0000-0000-0000B17F0000}"/>
    <cellStyle name="Normal 30 2 25 2" xfId="35686" xr:uid="{00000000-0005-0000-0000-0000B27F0000}"/>
    <cellStyle name="Normal 30 2 26" xfId="18297" xr:uid="{00000000-0005-0000-0000-0000B37F0000}"/>
    <cellStyle name="Normal 30 2 26 2" xfId="35687" xr:uid="{00000000-0005-0000-0000-0000B47F0000}"/>
    <cellStyle name="Normal 30 2 27" xfId="18298" xr:uid="{00000000-0005-0000-0000-0000B57F0000}"/>
    <cellStyle name="Normal 30 2 27 2" xfId="35688" xr:uid="{00000000-0005-0000-0000-0000B67F0000}"/>
    <cellStyle name="Normal 30 2 28" xfId="18299" xr:uid="{00000000-0005-0000-0000-0000B77F0000}"/>
    <cellStyle name="Normal 30 2 28 2" xfId="35689" xr:uid="{00000000-0005-0000-0000-0000B87F0000}"/>
    <cellStyle name="Normal 30 2 29" xfId="35564" xr:uid="{00000000-0005-0000-0000-0000B97F0000}"/>
    <cellStyle name="Normal 30 2 3" xfId="18300" xr:uid="{00000000-0005-0000-0000-0000BA7F0000}"/>
    <cellStyle name="Normal 30 2 3 10" xfId="18301" xr:uid="{00000000-0005-0000-0000-0000BB7F0000}"/>
    <cellStyle name="Normal 30 2 3 10 2" xfId="35691" xr:uid="{00000000-0005-0000-0000-0000BC7F0000}"/>
    <cellStyle name="Normal 30 2 3 11" xfId="18302" xr:uid="{00000000-0005-0000-0000-0000BD7F0000}"/>
    <cellStyle name="Normal 30 2 3 11 2" xfId="35692" xr:uid="{00000000-0005-0000-0000-0000BE7F0000}"/>
    <cellStyle name="Normal 30 2 3 12" xfId="18303" xr:uid="{00000000-0005-0000-0000-0000BF7F0000}"/>
    <cellStyle name="Normal 30 2 3 12 2" xfId="35693" xr:uid="{00000000-0005-0000-0000-0000C07F0000}"/>
    <cellStyle name="Normal 30 2 3 13" xfId="18304" xr:uid="{00000000-0005-0000-0000-0000C17F0000}"/>
    <cellStyle name="Normal 30 2 3 13 2" xfId="35694" xr:uid="{00000000-0005-0000-0000-0000C27F0000}"/>
    <cellStyle name="Normal 30 2 3 14" xfId="18305" xr:uid="{00000000-0005-0000-0000-0000C37F0000}"/>
    <cellStyle name="Normal 30 2 3 14 2" xfId="35695" xr:uid="{00000000-0005-0000-0000-0000C47F0000}"/>
    <cellStyle name="Normal 30 2 3 15" xfId="18306" xr:uid="{00000000-0005-0000-0000-0000C57F0000}"/>
    <cellStyle name="Normal 30 2 3 15 2" xfId="35696" xr:uid="{00000000-0005-0000-0000-0000C67F0000}"/>
    <cellStyle name="Normal 30 2 3 16" xfId="35690" xr:uid="{00000000-0005-0000-0000-0000C77F0000}"/>
    <cellStyle name="Normal 30 2 3 2" xfId="18307" xr:uid="{00000000-0005-0000-0000-0000C87F0000}"/>
    <cellStyle name="Normal 30 2 3 2 10" xfId="18308" xr:uid="{00000000-0005-0000-0000-0000C97F0000}"/>
    <cellStyle name="Normal 30 2 3 2 10 2" xfId="35698" xr:uid="{00000000-0005-0000-0000-0000CA7F0000}"/>
    <cellStyle name="Normal 30 2 3 2 11" xfId="18309" xr:uid="{00000000-0005-0000-0000-0000CB7F0000}"/>
    <cellStyle name="Normal 30 2 3 2 11 2" xfId="35699" xr:uid="{00000000-0005-0000-0000-0000CC7F0000}"/>
    <cellStyle name="Normal 30 2 3 2 12" xfId="18310" xr:uid="{00000000-0005-0000-0000-0000CD7F0000}"/>
    <cellStyle name="Normal 30 2 3 2 12 2" xfId="35700" xr:uid="{00000000-0005-0000-0000-0000CE7F0000}"/>
    <cellStyle name="Normal 30 2 3 2 13" xfId="18311" xr:uid="{00000000-0005-0000-0000-0000CF7F0000}"/>
    <cellStyle name="Normal 30 2 3 2 13 2" xfId="35701" xr:uid="{00000000-0005-0000-0000-0000D07F0000}"/>
    <cellStyle name="Normal 30 2 3 2 14" xfId="18312" xr:uid="{00000000-0005-0000-0000-0000D17F0000}"/>
    <cellStyle name="Normal 30 2 3 2 14 2" xfId="35702" xr:uid="{00000000-0005-0000-0000-0000D27F0000}"/>
    <cellStyle name="Normal 30 2 3 2 15" xfId="35697" xr:uid="{00000000-0005-0000-0000-0000D37F0000}"/>
    <cellStyle name="Normal 30 2 3 2 2" xfId="18313" xr:uid="{00000000-0005-0000-0000-0000D47F0000}"/>
    <cellStyle name="Normal 30 2 3 2 2 2" xfId="35703" xr:uid="{00000000-0005-0000-0000-0000D57F0000}"/>
    <cellStyle name="Normal 30 2 3 2 3" xfId="18314" xr:uid="{00000000-0005-0000-0000-0000D67F0000}"/>
    <cellStyle name="Normal 30 2 3 2 3 2" xfId="35704" xr:uid="{00000000-0005-0000-0000-0000D77F0000}"/>
    <cellStyle name="Normal 30 2 3 2 4" xfId="18315" xr:uid="{00000000-0005-0000-0000-0000D87F0000}"/>
    <cellStyle name="Normal 30 2 3 2 4 2" xfId="35705" xr:uid="{00000000-0005-0000-0000-0000D97F0000}"/>
    <cellStyle name="Normal 30 2 3 2 5" xfId="18316" xr:uid="{00000000-0005-0000-0000-0000DA7F0000}"/>
    <cellStyle name="Normal 30 2 3 2 5 2" xfId="35706" xr:uid="{00000000-0005-0000-0000-0000DB7F0000}"/>
    <cellStyle name="Normal 30 2 3 2 6" xfId="18317" xr:uid="{00000000-0005-0000-0000-0000DC7F0000}"/>
    <cellStyle name="Normal 30 2 3 2 6 2" xfId="35707" xr:uid="{00000000-0005-0000-0000-0000DD7F0000}"/>
    <cellStyle name="Normal 30 2 3 2 7" xfId="18318" xr:uid="{00000000-0005-0000-0000-0000DE7F0000}"/>
    <cellStyle name="Normal 30 2 3 2 7 2" xfId="35708" xr:uid="{00000000-0005-0000-0000-0000DF7F0000}"/>
    <cellStyle name="Normal 30 2 3 2 8" xfId="18319" xr:uid="{00000000-0005-0000-0000-0000E07F0000}"/>
    <cellStyle name="Normal 30 2 3 2 8 2" xfId="35709" xr:uid="{00000000-0005-0000-0000-0000E17F0000}"/>
    <cellStyle name="Normal 30 2 3 2 9" xfId="18320" xr:uid="{00000000-0005-0000-0000-0000E27F0000}"/>
    <cellStyle name="Normal 30 2 3 2 9 2" xfId="35710" xr:uid="{00000000-0005-0000-0000-0000E37F0000}"/>
    <cellStyle name="Normal 30 2 3 3" xfId="18321" xr:uid="{00000000-0005-0000-0000-0000E47F0000}"/>
    <cellStyle name="Normal 30 2 3 3 2" xfId="35711" xr:uid="{00000000-0005-0000-0000-0000E57F0000}"/>
    <cellStyle name="Normal 30 2 3 4" xfId="18322" xr:uid="{00000000-0005-0000-0000-0000E67F0000}"/>
    <cellStyle name="Normal 30 2 3 4 2" xfId="35712" xr:uid="{00000000-0005-0000-0000-0000E77F0000}"/>
    <cellStyle name="Normal 30 2 3 5" xfId="18323" xr:uid="{00000000-0005-0000-0000-0000E87F0000}"/>
    <cellStyle name="Normal 30 2 3 5 2" xfId="35713" xr:uid="{00000000-0005-0000-0000-0000E97F0000}"/>
    <cellStyle name="Normal 30 2 3 6" xfId="18324" xr:uid="{00000000-0005-0000-0000-0000EA7F0000}"/>
    <cellStyle name="Normal 30 2 3 6 2" xfId="35714" xr:uid="{00000000-0005-0000-0000-0000EB7F0000}"/>
    <cellStyle name="Normal 30 2 3 7" xfId="18325" xr:uid="{00000000-0005-0000-0000-0000EC7F0000}"/>
    <cellStyle name="Normal 30 2 3 7 2" xfId="35715" xr:uid="{00000000-0005-0000-0000-0000ED7F0000}"/>
    <cellStyle name="Normal 30 2 3 8" xfId="18326" xr:uid="{00000000-0005-0000-0000-0000EE7F0000}"/>
    <cellStyle name="Normal 30 2 3 8 2" xfId="35716" xr:uid="{00000000-0005-0000-0000-0000EF7F0000}"/>
    <cellStyle name="Normal 30 2 3 9" xfId="18327" xr:uid="{00000000-0005-0000-0000-0000F07F0000}"/>
    <cellStyle name="Normal 30 2 3 9 2" xfId="35717" xr:uid="{00000000-0005-0000-0000-0000F17F0000}"/>
    <cellStyle name="Normal 30 2 4" xfId="18328" xr:uid="{00000000-0005-0000-0000-0000F27F0000}"/>
    <cellStyle name="Normal 30 2 4 10" xfId="18329" xr:uid="{00000000-0005-0000-0000-0000F37F0000}"/>
    <cellStyle name="Normal 30 2 4 10 2" xfId="35719" xr:uid="{00000000-0005-0000-0000-0000F47F0000}"/>
    <cellStyle name="Normal 30 2 4 11" xfId="18330" xr:uid="{00000000-0005-0000-0000-0000F57F0000}"/>
    <cellStyle name="Normal 30 2 4 11 2" xfId="35720" xr:uid="{00000000-0005-0000-0000-0000F67F0000}"/>
    <cellStyle name="Normal 30 2 4 12" xfId="18331" xr:uid="{00000000-0005-0000-0000-0000F77F0000}"/>
    <cellStyle name="Normal 30 2 4 12 2" xfId="35721" xr:uid="{00000000-0005-0000-0000-0000F87F0000}"/>
    <cellStyle name="Normal 30 2 4 13" xfId="18332" xr:uid="{00000000-0005-0000-0000-0000F97F0000}"/>
    <cellStyle name="Normal 30 2 4 13 2" xfId="35722" xr:uid="{00000000-0005-0000-0000-0000FA7F0000}"/>
    <cellStyle name="Normal 30 2 4 14" xfId="18333" xr:uid="{00000000-0005-0000-0000-0000FB7F0000}"/>
    <cellStyle name="Normal 30 2 4 14 2" xfId="35723" xr:uid="{00000000-0005-0000-0000-0000FC7F0000}"/>
    <cellStyle name="Normal 30 2 4 15" xfId="18334" xr:uid="{00000000-0005-0000-0000-0000FD7F0000}"/>
    <cellStyle name="Normal 30 2 4 15 2" xfId="35724" xr:uid="{00000000-0005-0000-0000-0000FE7F0000}"/>
    <cellStyle name="Normal 30 2 4 16" xfId="35718" xr:uid="{00000000-0005-0000-0000-0000FF7F0000}"/>
    <cellStyle name="Normal 30 2 4 2" xfId="18335" xr:uid="{00000000-0005-0000-0000-000000800000}"/>
    <cellStyle name="Normal 30 2 4 2 10" xfId="18336" xr:uid="{00000000-0005-0000-0000-000001800000}"/>
    <cellStyle name="Normal 30 2 4 2 10 2" xfId="35726" xr:uid="{00000000-0005-0000-0000-000002800000}"/>
    <cellStyle name="Normal 30 2 4 2 11" xfId="18337" xr:uid="{00000000-0005-0000-0000-000003800000}"/>
    <cellStyle name="Normal 30 2 4 2 11 2" xfId="35727" xr:uid="{00000000-0005-0000-0000-000004800000}"/>
    <cellStyle name="Normal 30 2 4 2 12" xfId="18338" xr:uid="{00000000-0005-0000-0000-000005800000}"/>
    <cellStyle name="Normal 30 2 4 2 12 2" xfId="35728" xr:uid="{00000000-0005-0000-0000-000006800000}"/>
    <cellStyle name="Normal 30 2 4 2 13" xfId="18339" xr:uid="{00000000-0005-0000-0000-000007800000}"/>
    <cellStyle name="Normal 30 2 4 2 13 2" xfId="35729" xr:uid="{00000000-0005-0000-0000-000008800000}"/>
    <cellStyle name="Normal 30 2 4 2 14" xfId="18340" xr:uid="{00000000-0005-0000-0000-000009800000}"/>
    <cellStyle name="Normal 30 2 4 2 14 2" xfId="35730" xr:uid="{00000000-0005-0000-0000-00000A800000}"/>
    <cellStyle name="Normal 30 2 4 2 15" xfId="35725" xr:uid="{00000000-0005-0000-0000-00000B800000}"/>
    <cellStyle name="Normal 30 2 4 2 2" xfId="18341" xr:uid="{00000000-0005-0000-0000-00000C800000}"/>
    <cellStyle name="Normal 30 2 4 2 2 2" xfId="35731" xr:uid="{00000000-0005-0000-0000-00000D800000}"/>
    <cellStyle name="Normal 30 2 4 2 3" xfId="18342" xr:uid="{00000000-0005-0000-0000-00000E800000}"/>
    <cellStyle name="Normal 30 2 4 2 3 2" xfId="35732" xr:uid="{00000000-0005-0000-0000-00000F800000}"/>
    <cellStyle name="Normal 30 2 4 2 4" xfId="18343" xr:uid="{00000000-0005-0000-0000-000010800000}"/>
    <cellStyle name="Normal 30 2 4 2 4 2" xfId="35733" xr:uid="{00000000-0005-0000-0000-000011800000}"/>
    <cellStyle name="Normal 30 2 4 2 5" xfId="18344" xr:uid="{00000000-0005-0000-0000-000012800000}"/>
    <cellStyle name="Normal 30 2 4 2 5 2" xfId="35734" xr:uid="{00000000-0005-0000-0000-000013800000}"/>
    <cellStyle name="Normal 30 2 4 2 6" xfId="18345" xr:uid="{00000000-0005-0000-0000-000014800000}"/>
    <cellStyle name="Normal 30 2 4 2 6 2" xfId="35735" xr:uid="{00000000-0005-0000-0000-000015800000}"/>
    <cellStyle name="Normal 30 2 4 2 7" xfId="18346" xr:uid="{00000000-0005-0000-0000-000016800000}"/>
    <cellStyle name="Normal 30 2 4 2 7 2" xfId="35736" xr:uid="{00000000-0005-0000-0000-000017800000}"/>
    <cellStyle name="Normal 30 2 4 2 8" xfId="18347" xr:uid="{00000000-0005-0000-0000-000018800000}"/>
    <cellStyle name="Normal 30 2 4 2 8 2" xfId="35737" xr:uid="{00000000-0005-0000-0000-000019800000}"/>
    <cellStyle name="Normal 30 2 4 2 9" xfId="18348" xr:uid="{00000000-0005-0000-0000-00001A800000}"/>
    <cellStyle name="Normal 30 2 4 2 9 2" xfId="35738" xr:uid="{00000000-0005-0000-0000-00001B800000}"/>
    <cellStyle name="Normal 30 2 4 3" xfId="18349" xr:uid="{00000000-0005-0000-0000-00001C800000}"/>
    <cellStyle name="Normal 30 2 4 3 2" xfId="35739" xr:uid="{00000000-0005-0000-0000-00001D800000}"/>
    <cellStyle name="Normal 30 2 4 4" xfId="18350" xr:uid="{00000000-0005-0000-0000-00001E800000}"/>
    <cellStyle name="Normal 30 2 4 4 2" xfId="35740" xr:uid="{00000000-0005-0000-0000-00001F800000}"/>
    <cellStyle name="Normal 30 2 4 5" xfId="18351" xr:uid="{00000000-0005-0000-0000-000020800000}"/>
    <cellStyle name="Normal 30 2 4 5 2" xfId="35741" xr:uid="{00000000-0005-0000-0000-000021800000}"/>
    <cellStyle name="Normal 30 2 4 6" xfId="18352" xr:uid="{00000000-0005-0000-0000-000022800000}"/>
    <cellStyle name="Normal 30 2 4 6 2" xfId="35742" xr:uid="{00000000-0005-0000-0000-000023800000}"/>
    <cellStyle name="Normal 30 2 4 7" xfId="18353" xr:uid="{00000000-0005-0000-0000-000024800000}"/>
    <cellStyle name="Normal 30 2 4 7 2" xfId="35743" xr:uid="{00000000-0005-0000-0000-000025800000}"/>
    <cellStyle name="Normal 30 2 4 8" xfId="18354" xr:uid="{00000000-0005-0000-0000-000026800000}"/>
    <cellStyle name="Normal 30 2 4 8 2" xfId="35744" xr:uid="{00000000-0005-0000-0000-000027800000}"/>
    <cellStyle name="Normal 30 2 4 9" xfId="18355" xr:uid="{00000000-0005-0000-0000-000028800000}"/>
    <cellStyle name="Normal 30 2 4 9 2" xfId="35745" xr:uid="{00000000-0005-0000-0000-000029800000}"/>
    <cellStyle name="Normal 30 2 5" xfId="18356" xr:uid="{00000000-0005-0000-0000-00002A800000}"/>
    <cellStyle name="Normal 30 2 5 10" xfId="18357" xr:uid="{00000000-0005-0000-0000-00002B800000}"/>
    <cellStyle name="Normal 30 2 5 10 2" xfId="35747" xr:uid="{00000000-0005-0000-0000-00002C800000}"/>
    <cellStyle name="Normal 30 2 5 11" xfId="18358" xr:uid="{00000000-0005-0000-0000-00002D800000}"/>
    <cellStyle name="Normal 30 2 5 11 2" xfId="35748" xr:uid="{00000000-0005-0000-0000-00002E800000}"/>
    <cellStyle name="Normal 30 2 5 12" xfId="18359" xr:uid="{00000000-0005-0000-0000-00002F800000}"/>
    <cellStyle name="Normal 30 2 5 12 2" xfId="35749" xr:uid="{00000000-0005-0000-0000-000030800000}"/>
    <cellStyle name="Normal 30 2 5 13" xfId="18360" xr:uid="{00000000-0005-0000-0000-000031800000}"/>
    <cellStyle name="Normal 30 2 5 13 2" xfId="35750" xr:uid="{00000000-0005-0000-0000-000032800000}"/>
    <cellStyle name="Normal 30 2 5 14" xfId="18361" xr:uid="{00000000-0005-0000-0000-000033800000}"/>
    <cellStyle name="Normal 30 2 5 14 2" xfId="35751" xr:uid="{00000000-0005-0000-0000-000034800000}"/>
    <cellStyle name="Normal 30 2 5 15" xfId="35746" xr:uid="{00000000-0005-0000-0000-000035800000}"/>
    <cellStyle name="Normal 30 2 5 2" xfId="18362" xr:uid="{00000000-0005-0000-0000-000036800000}"/>
    <cellStyle name="Normal 30 2 5 2 2" xfId="35752" xr:uid="{00000000-0005-0000-0000-000037800000}"/>
    <cellStyle name="Normal 30 2 5 3" xfId="18363" xr:uid="{00000000-0005-0000-0000-000038800000}"/>
    <cellStyle name="Normal 30 2 5 3 2" xfId="35753" xr:uid="{00000000-0005-0000-0000-000039800000}"/>
    <cellStyle name="Normal 30 2 5 4" xfId="18364" xr:uid="{00000000-0005-0000-0000-00003A800000}"/>
    <cellStyle name="Normal 30 2 5 4 2" xfId="35754" xr:uid="{00000000-0005-0000-0000-00003B800000}"/>
    <cellStyle name="Normal 30 2 5 5" xfId="18365" xr:uid="{00000000-0005-0000-0000-00003C800000}"/>
    <cellStyle name="Normal 30 2 5 5 2" xfId="35755" xr:uid="{00000000-0005-0000-0000-00003D800000}"/>
    <cellStyle name="Normal 30 2 5 6" xfId="18366" xr:uid="{00000000-0005-0000-0000-00003E800000}"/>
    <cellStyle name="Normal 30 2 5 6 2" xfId="35756" xr:uid="{00000000-0005-0000-0000-00003F800000}"/>
    <cellStyle name="Normal 30 2 5 7" xfId="18367" xr:uid="{00000000-0005-0000-0000-000040800000}"/>
    <cellStyle name="Normal 30 2 5 7 2" xfId="35757" xr:uid="{00000000-0005-0000-0000-000041800000}"/>
    <cellStyle name="Normal 30 2 5 8" xfId="18368" xr:uid="{00000000-0005-0000-0000-000042800000}"/>
    <cellStyle name="Normal 30 2 5 8 2" xfId="35758" xr:uid="{00000000-0005-0000-0000-000043800000}"/>
    <cellStyle name="Normal 30 2 5 9" xfId="18369" xr:uid="{00000000-0005-0000-0000-000044800000}"/>
    <cellStyle name="Normal 30 2 5 9 2" xfId="35759" xr:uid="{00000000-0005-0000-0000-000045800000}"/>
    <cellStyle name="Normal 30 2 6" xfId="18370" xr:uid="{00000000-0005-0000-0000-000046800000}"/>
    <cellStyle name="Normal 30 2 6 10" xfId="18371" xr:uid="{00000000-0005-0000-0000-000047800000}"/>
    <cellStyle name="Normal 30 2 6 10 2" xfId="35761" xr:uid="{00000000-0005-0000-0000-000048800000}"/>
    <cellStyle name="Normal 30 2 6 11" xfId="18372" xr:uid="{00000000-0005-0000-0000-000049800000}"/>
    <cellStyle name="Normal 30 2 6 11 2" xfId="35762" xr:uid="{00000000-0005-0000-0000-00004A800000}"/>
    <cellStyle name="Normal 30 2 6 12" xfId="18373" xr:uid="{00000000-0005-0000-0000-00004B800000}"/>
    <cellStyle name="Normal 30 2 6 12 2" xfId="35763" xr:uid="{00000000-0005-0000-0000-00004C800000}"/>
    <cellStyle name="Normal 30 2 6 13" xfId="18374" xr:uid="{00000000-0005-0000-0000-00004D800000}"/>
    <cellStyle name="Normal 30 2 6 13 2" xfId="35764" xr:uid="{00000000-0005-0000-0000-00004E800000}"/>
    <cellStyle name="Normal 30 2 6 14" xfId="18375" xr:uid="{00000000-0005-0000-0000-00004F800000}"/>
    <cellStyle name="Normal 30 2 6 14 2" xfId="35765" xr:uid="{00000000-0005-0000-0000-000050800000}"/>
    <cellStyle name="Normal 30 2 6 15" xfId="35760" xr:uid="{00000000-0005-0000-0000-000051800000}"/>
    <cellStyle name="Normal 30 2 6 2" xfId="18376" xr:uid="{00000000-0005-0000-0000-000052800000}"/>
    <cellStyle name="Normal 30 2 6 2 2" xfId="35766" xr:uid="{00000000-0005-0000-0000-000053800000}"/>
    <cellStyle name="Normal 30 2 6 3" xfId="18377" xr:uid="{00000000-0005-0000-0000-000054800000}"/>
    <cellStyle name="Normal 30 2 6 3 2" xfId="35767" xr:uid="{00000000-0005-0000-0000-000055800000}"/>
    <cellStyle name="Normal 30 2 6 4" xfId="18378" xr:uid="{00000000-0005-0000-0000-000056800000}"/>
    <cellStyle name="Normal 30 2 6 4 2" xfId="35768" xr:uid="{00000000-0005-0000-0000-000057800000}"/>
    <cellStyle name="Normal 30 2 6 5" xfId="18379" xr:uid="{00000000-0005-0000-0000-000058800000}"/>
    <cellStyle name="Normal 30 2 6 5 2" xfId="35769" xr:uid="{00000000-0005-0000-0000-000059800000}"/>
    <cellStyle name="Normal 30 2 6 6" xfId="18380" xr:uid="{00000000-0005-0000-0000-00005A800000}"/>
    <cellStyle name="Normal 30 2 6 6 2" xfId="35770" xr:uid="{00000000-0005-0000-0000-00005B800000}"/>
    <cellStyle name="Normal 30 2 6 7" xfId="18381" xr:uid="{00000000-0005-0000-0000-00005C800000}"/>
    <cellStyle name="Normal 30 2 6 7 2" xfId="35771" xr:uid="{00000000-0005-0000-0000-00005D800000}"/>
    <cellStyle name="Normal 30 2 6 8" xfId="18382" xr:uid="{00000000-0005-0000-0000-00005E800000}"/>
    <cellStyle name="Normal 30 2 6 8 2" xfId="35772" xr:uid="{00000000-0005-0000-0000-00005F800000}"/>
    <cellStyle name="Normal 30 2 6 9" xfId="18383" xr:uid="{00000000-0005-0000-0000-000060800000}"/>
    <cellStyle name="Normal 30 2 6 9 2" xfId="35773" xr:uid="{00000000-0005-0000-0000-000061800000}"/>
    <cellStyle name="Normal 30 2 7" xfId="18384" xr:uid="{00000000-0005-0000-0000-000062800000}"/>
    <cellStyle name="Normal 30 2 7 10" xfId="18385" xr:uid="{00000000-0005-0000-0000-000063800000}"/>
    <cellStyle name="Normal 30 2 7 10 2" xfId="35775" xr:uid="{00000000-0005-0000-0000-000064800000}"/>
    <cellStyle name="Normal 30 2 7 11" xfId="18386" xr:uid="{00000000-0005-0000-0000-000065800000}"/>
    <cellStyle name="Normal 30 2 7 11 2" xfId="35776" xr:uid="{00000000-0005-0000-0000-000066800000}"/>
    <cellStyle name="Normal 30 2 7 12" xfId="18387" xr:uid="{00000000-0005-0000-0000-000067800000}"/>
    <cellStyle name="Normal 30 2 7 12 2" xfId="35777" xr:uid="{00000000-0005-0000-0000-000068800000}"/>
    <cellStyle name="Normal 30 2 7 13" xfId="18388" xr:uid="{00000000-0005-0000-0000-000069800000}"/>
    <cellStyle name="Normal 30 2 7 13 2" xfId="35778" xr:uid="{00000000-0005-0000-0000-00006A800000}"/>
    <cellStyle name="Normal 30 2 7 14" xfId="18389" xr:uid="{00000000-0005-0000-0000-00006B800000}"/>
    <cellStyle name="Normal 30 2 7 14 2" xfId="35779" xr:uid="{00000000-0005-0000-0000-00006C800000}"/>
    <cellStyle name="Normal 30 2 7 15" xfId="35774" xr:uid="{00000000-0005-0000-0000-00006D800000}"/>
    <cellStyle name="Normal 30 2 7 2" xfId="18390" xr:uid="{00000000-0005-0000-0000-00006E800000}"/>
    <cellStyle name="Normal 30 2 7 2 2" xfId="35780" xr:uid="{00000000-0005-0000-0000-00006F800000}"/>
    <cellStyle name="Normal 30 2 7 3" xfId="18391" xr:uid="{00000000-0005-0000-0000-000070800000}"/>
    <cellStyle name="Normal 30 2 7 3 2" xfId="35781" xr:uid="{00000000-0005-0000-0000-000071800000}"/>
    <cellStyle name="Normal 30 2 7 4" xfId="18392" xr:uid="{00000000-0005-0000-0000-000072800000}"/>
    <cellStyle name="Normal 30 2 7 4 2" xfId="35782" xr:uid="{00000000-0005-0000-0000-000073800000}"/>
    <cellStyle name="Normal 30 2 7 5" xfId="18393" xr:uid="{00000000-0005-0000-0000-000074800000}"/>
    <cellStyle name="Normal 30 2 7 5 2" xfId="35783" xr:uid="{00000000-0005-0000-0000-000075800000}"/>
    <cellStyle name="Normal 30 2 7 6" xfId="18394" xr:uid="{00000000-0005-0000-0000-000076800000}"/>
    <cellStyle name="Normal 30 2 7 6 2" xfId="35784" xr:uid="{00000000-0005-0000-0000-000077800000}"/>
    <cellStyle name="Normal 30 2 7 7" xfId="18395" xr:uid="{00000000-0005-0000-0000-000078800000}"/>
    <cellStyle name="Normal 30 2 7 7 2" xfId="35785" xr:uid="{00000000-0005-0000-0000-000079800000}"/>
    <cellStyle name="Normal 30 2 7 8" xfId="18396" xr:uid="{00000000-0005-0000-0000-00007A800000}"/>
    <cellStyle name="Normal 30 2 7 8 2" xfId="35786" xr:uid="{00000000-0005-0000-0000-00007B800000}"/>
    <cellStyle name="Normal 30 2 7 9" xfId="18397" xr:uid="{00000000-0005-0000-0000-00007C800000}"/>
    <cellStyle name="Normal 30 2 7 9 2" xfId="35787" xr:uid="{00000000-0005-0000-0000-00007D800000}"/>
    <cellStyle name="Normal 30 2 8" xfId="18398" xr:uid="{00000000-0005-0000-0000-00007E800000}"/>
    <cellStyle name="Normal 30 2 8 10" xfId="18399" xr:uid="{00000000-0005-0000-0000-00007F800000}"/>
    <cellStyle name="Normal 30 2 8 10 2" xfId="35789" xr:uid="{00000000-0005-0000-0000-000080800000}"/>
    <cellStyle name="Normal 30 2 8 11" xfId="18400" xr:uid="{00000000-0005-0000-0000-000081800000}"/>
    <cellStyle name="Normal 30 2 8 11 2" xfId="35790" xr:uid="{00000000-0005-0000-0000-000082800000}"/>
    <cellStyle name="Normal 30 2 8 12" xfId="18401" xr:uid="{00000000-0005-0000-0000-000083800000}"/>
    <cellStyle name="Normal 30 2 8 12 2" xfId="35791" xr:uid="{00000000-0005-0000-0000-000084800000}"/>
    <cellStyle name="Normal 30 2 8 13" xfId="18402" xr:uid="{00000000-0005-0000-0000-000085800000}"/>
    <cellStyle name="Normal 30 2 8 13 2" xfId="35792" xr:uid="{00000000-0005-0000-0000-000086800000}"/>
    <cellStyle name="Normal 30 2 8 14" xfId="18403" xr:uid="{00000000-0005-0000-0000-000087800000}"/>
    <cellStyle name="Normal 30 2 8 14 2" xfId="35793" xr:uid="{00000000-0005-0000-0000-000088800000}"/>
    <cellStyle name="Normal 30 2 8 15" xfId="35788" xr:uid="{00000000-0005-0000-0000-000089800000}"/>
    <cellStyle name="Normal 30 2 8 2" xfId="18404" xr:uid="{00000000-0005-0000-0000-00008A800000}"/>
    <cellStyle name="Normal 30 2 8 2 2" xfId="35794" xr:uid="{00000000-0005-0000-0000-00008B800000}"/>
    <cellStyle name="Normal 30 2 8 3" xfId="18405" xr:uid="{00000000-0005-0000-0000-00008C800000}"/>
    <cellStyle name="Normal 30 2 8 3 2" xfId="35795" xr:uid="{00000000-0005-0000-0000-00008D800000}"/>
    <cellStyle name="Normal 30 2 8 4" xfId="18406" xr:uid="{00000000-0005-0000-0000-00008E800000}"/>
    <cellStyle name="Normal 30 2 8 4 2" xfId="35796" xr:uid="{00000000-0005-0000-0000-00008F800000}"/>
    <cellStyle name="Normal 30 2 8 5" xfId="18407" xr:uid="{00000000-0005-0000-0000-000090800000}"/>
    <cellStyle name="Normal 30 2 8 5 2" xfId="35797" xr:uid="{00000000-0005-0000-0000-000091800000}"/>
    <cellStyle name="Normal 30 2 8 6" xfId="18408" xr:uid="{00000000-0005-0000-0000-000092800000}"/>
    <cellStyle name="Normal 30 2 8 6 2" xfId="35798" xr:uid="{00000000-0005-0000-0000-000093800000}"/>
    <cellStyle name="Normal 30 2 8 7" xfId="18409" xr:uid="{00000000-0005-0000-0000-000094800000}"/>
    <cellStyle name="Normal 30 2 8 7 2" xfId="35799" xr:uid="{00000000-0005-0000-0000-000095800000}"/>
    <cellStyle name="Normal 30 2 8 8" xfId="18410" xr:uid="{00000000-0005-0000-0000-000096800000}"/>
    <cellStyle name="Normal 30 2 8 8 2" xfId="35800" xr:uid="{00000000-0005-0000-0000-000097800000}"/>
    <cellStyle name="Normal 30 2 8 9" xfId="18411" xr:uid="{00000000-0005-0000-0000-000098800000}"/>
    <cellStyle name="Normal 30 2 8 9 2" xfId="35801" xr:uid="{00000000-0005-0000-0000-000099800000}"/>
    <cellStyle name="Normal 30 2 9" xfId="18412" xr:uid="{00000000-0005-0000-0000-00009A800000}"/>
    <cellStyle name="Normal 30 2 9 10" xfId="18413" xr:uid="{00000000-0005-0000-0000-00009B800000}"/>
    <cellStyle name="Normal 30 2 9 10 2" xfId="35803" xr:uid="{00000000-0005-0000-0000-00009C800000}"/>
    <cellStyle name="Normal 30 2 9 11" xfId="18414" xr:uid="{00000000-0005-0000-0000-00009D800000}"/>
    <cellStyle name="Normal 30 2 9 11 2" xfId="35804" xr:uid="{00000000-0005-0000-0000-00009E800000}"/>
    <cellStyle name="Normal 30 2 9 12" xfId="18415" xr:uid="{00000000-0005-0000-0000-00009F800000}"/>
    <cellStyle name="Normal 30 2 9 12 2" xfId="35805" xr:uid="{00000000-0005-0000-0000-0000A0800000}"/>
    <cellStyle name="Normal 30 2 9 13" xfId="18416" xr:uid="{00000000-0005-0000-0000-0000A1800000}"/>
    <cellStyle name="Normal 30 2 9 13 2" xfId="35806" xr:uid="{00000000-0005-0000-0000-0000A2800000}"/>
    <cellStyle name="Normal 30 2 9 14" xfId="18417" xr:uid="{00000000-0005-0000-0000-0000A3800000}"/>
    <cellStyle name="Normal 30 2 9 14 2" xfId="35807" xr:uid="{00000000-0005-0000-0000-0000A4800000}"/>
    <cellStyle name="Normal 30 2 9 15" xfId="35802" xr:uid="{00000000-0005-0000-0000-0000A5800000}"/>
    <cellStyle name="Normal 30 2 9 2" xfId="18418" xr:uid="{00000000-0005-0000-0000-0000A6800000}"/>
    <cellStyle name="Normal 30 2 9 2 2" xfId="35808" xr:uid="{00000000-0005-0000-0000-0000A7800000}"/>
    <cellStyle name="Normal 30 2 9 3" xfId="18419" xr:uid="{00000000-0005-0000-0000-0000A8800000}"/>
    <cellStyle name="Normal 30 2 9 3 2" xfId="35809" xr:uid="{00000000-0005-0000-0000-0000A9800000}"/>
    <cellStyle name="Normal 30 2 9 4" xfId="18420" xr:uid="{00000000-0005-0000-0000-0000AA800000}"/>
    <cellStyle name="Normal 30 2 9 4 2" xfId="35810" xr:uid="{00000000-0005-0000-0000-0000AB800000}"/>
    <cellStyle name="Normal 30 2 9 5" xfId="18421" xr:uid="{00000000-0005-0000-0000-0000AC800000}"/>
    <cellStyle name="Normal 30 2 9 5 2" xfId="35811" xr:uid="{00000000-0005-0000-0000-0000AD800000}"/>
    <cellStyle name="Normal 30 2 9 6" xfId="18422" xr:uid="{00000000-0005-0000-0000-0000AE800000}"/>
    <cellStyle name="Normal 30 2 9 6 2" xfId="35812" xr:uid="{00000000-0005-0000-0000-0000AF800000}"/>
    <cellStyle name="Normal 30 2 9 7" xfId="18423" xr:uid="{00000000-0005-0000-0000-0000B0800000}"/>
    <cellStyle name="Normal 30 2 9 7 2" xfId="35813" xr:uid="{00000000-0005-0000-0000-0000B1800000}"/>
    <cellStyle name="Normal 30 2 9 8" xfId="18424" xr:uid="{00000000-0005-0000-0000-0000B2800000}"/>
    <cellStyle name="Normal 30 2 9 8 2" xfId="35814" xr:uid="{00000000-0005-0000-0000-0000B3800000}"/>
    <cellStyle name="Normal 30 2 9 9" xfId="18425" xr:uid="{00000000-0005-0000-0000-0000B4800000}"/>
    <cellStyle name="Normal 30 2 9 9 2" xfId="35815" xr:uid="{00000000-0005-0000-0000-0000B5800000}"/>
    <cellStyle name="Normal 30 3" xfId="18426" xr:uid="{00000000-0005-0000-0000-0000B6800000}"/>
    <cellStyle name="Normal 30 3 10" xfId="18427" xr:uid="{00000000-0005-0000-0000-0000B7800000}"/>
    <cellStyle name="Normal 30 3 10 10" xfId="18428" xr:uid="{00000000-0005-0000-0000-0000B8800000}"/>
    <cellStyle name="Normal 30 3 10 10 2" xfId="35818" xr:uid="{00000000-0005-0000-0000-0000B9800000}"/>
    <cellStyle name="Normal 30 3 10 11" xfId="18429" xr:uid="{00000000-0005-0000-0000-0000BA800000}"/>
    <cellStyle name="Normal 30 3 10 11 2" xfId="35819" xr:uid="{00000000-0005-0000-0000-0000BB800000}"/>
    <cellStyle name="Normal 30 3 10 12" xfId="18430" xr:uid="{00000000-0005-0000-0000-0000BC800000}"/>
    <cellStyle name="Normal 30 3 10 12 2" xfId="35820" xr:uid="{00000000-0005-0000-0000-0000BD800000}"/>
    <cellStyle name="Normal 30 3 10 13" xfId="18431" xr:uid="{00000000-0005-0000-0000-0000BE800000}"/>
    <cellStyle name="Normal 30 3 10 13 2" xfId="35821" xr:uid="{00000000-0005-0000-0000-0000BF800000}"/>
    <cellStyle name="Normal 30 3 10 14" xfId="18432" xr:uid="{00000000-0005-0000-0000-0000C0800000}"/>
    <cellStyle name="Normal 30 3 10 14 2" xfId="35822" xr:uid="{00000000-0005-0000-0000-0000C1800000}"/>
    <cellStyle name="Normal 30 3 10 15" xfId="35817" xr:uid="{00000000-0005-0000-0000-0000C2800000}"/>
    <cellStyle name="Normal 30 3 10 2" xfId="18433" xr:uid="{00000000-0005-0000-0000-0000C3800000}"/>
    <cellStyle name="Normal 30 3 10 2 2" xfId="35823" xr:uid="{00000000-0005-0000-0000-0000C4800000}"/>
    <cellStyle name="Normal 30 3 10 3" xfId="18434" xr:uid="{00000000-0005-0000-0000-0000C5800000}"/>
    <cellStyle name="Normal 30 3 10 3 2" xfId="35824" xr:uid="{00000000-0005-0000-0000-0000C6800000}"/>
    <cellStyle name="Normal 30 3 10 4" xfId="18435" xr:uid="{00000000-0005-0000-0000-0000C7800000}"/>
    <cellStyle name="Normal 30 3 10 4 2" xfId="35825" xr:uid="{00000000-0005-0000-0000-0000C8800000}"/>
    <cellStyle name="Normal 30 3 10 5" xfId="18436" xr:uid="{00000000-0005-0000-0000-0000C9800000}"/>
    <cellStyle name="Normal 30 3 10 5 2" xfId="35826" xr:uid="{00000000-0005-0000-0000-0000CA800000}"/>
    <cellStyle name="Normal 30 3 10 6" xfId="18437" xr:uid="{00000000-0005-0000-0000-0000CB800000}"/>
    <cellStyle name="Normal 30 3 10 6 2" xfId="35827" xr:uid="{00000000-0005-0000-0000-0000CC800000}"/>
    <cellStyle name="Normal 30 3 10 7" xfId="18438" xr:uid="{00000000-0005-0000-0000-0000CD800000}"/>
    <cellStyle name="Normal 30 3 10 7 2" xfId="35828" xr:uid="{00000000-0005-0000-0000-0000CE800000}"/>
    <cellStyle name="Normal 30 3 10 8" xfId="18439" xr:uid="{00000000-0005-0000-0000-0000CF800000}"/>
    <cellStyle name="Normal 30 3 10 8 2" xfId="35829" xr:uid="{00000000-0005-0000-0000-0000D0800000}"/>
    <cellStyle name="Normal 30 3 10 9" xfId="18440" xr:uid="{00000000-0005-0000-0000-0000D1800000}"/>
    <cellStyle name="Normal 30 3 10 9 2" xfId="35830" xr:uid="{00000000-0005-0000-0000-0000D2800000}"/>
    <cellStyle name="Normal 30 3 11" xfId="18441" xr:uid="{00000000-0005-0000-0000-0000D3800000}"/>
    <cellStyle name="Normal 30 3 11 10" xfId="18442" xr:uid="{00000000-0005-0000-0000-0000D4800000}"/>
    <cellStyle name="Normal 30 3 11 10 2" xfId="35832" xr:uid="{00000000-0005-0000-0000-0000D5800000}"/>
    <cellStyle name="Normal 30 3 11 11" xfId="18443" xr:uid="{00000000-0005-0000-0000-0000D6800000}"/>
    <cellStyle name="Normal 30 3 11 11 2" xfId="35833" xr:uid="{00000000-0005-0000-0000-0000D7800000}"/>
    <cellStyle name="Normal 30 3 11 12" xfId="18444" xr:uid="{00000000-0005-0000-0000-0000D8800000}"/>
    <cellStyle name="Normal 30 3 11 12 2" xfId="35834" xr:uid="{00000000-0005-0000-0000-0000D9800000}"/>
    <cellStyle name="Normal 30 3 11 13" xfId="18445" xr:uid="{00000000-0005-0000-0000-0000DA800000}"/>
    <cellStyle name="Normal 30 3 11 13 2" xfId="35835" xr:uid="{00000000-0005-0000-0000-0000DB800000}"/>
    <cellStyle name="Normal 30 3 11 14" xfId="18446" xr:uid="{00000000-0005-0000-0000-0000DC800000}"/>
    <cellStyle name="Normal 30 3 11 14 2" xfId="35836" xr:uid="{00000000-0005-0000-0000-0000DD800000}"/>
    <cellStyle name="Normal 30 3 11 15" xfId="35831" xr:uid="{00000000-0005-0000-0000-0000DE800000}"/>
    <cellStyle name="Normal 30 3 11 2" xfId="18447" xr:uid="{00000000-0005-0000-0000-0000DF800000}"/>
    <cellStyle name="Normal 30 3 11 2 2" xfId="35837" xr:uid="{00000000-0005-0000-0000-0000E0800000}"/>
    <cellStyle name="Normal 30 3 11 3" xfId="18448" xr:uid="{00000000-0005-0000-0000-0000E1800000}"/>
    <cellStyle name="Normal 30 3 11 3 2" xfId="35838" xr:uid="{00000000-0005-0000-0000-0000E2800000}"/>
    <cellStyle name="Normal 30 3 11 4" xfId="18449" xr:uid="{00000000-0005-0000-0000-0000E3800000}"/>
    <cellStyle name="Normal 30 3 11 4 2" xfId="35839" xr:uid="{00000000-0005-0000-0000-0000E4800000}"/>
    <cellStyle name="Normal 30 3 11 5" xfId="18450" xr:uid="{00000000-0005-0000-0000-0000E5800000}"/>
    <cellStyle name="Normal 30 3 11 5 2" xfId="35840" xr:uid="{00000000-0005-0000-0000-0000E6800000}"/>
    <cellStyle name="Normal 30 3 11 6" xfId="18451" xr:uid="{00000000-0005-0000-0000-0000E7800000}"/>
    <cellStyle name="Normal 30 3 11 6 2" xfId="35841" xr:uid="{00000000-0005-0000-0000-0000E8800000}"/>
    <cellStyle name="Normal 30 3 11 7" xfId="18452" xr:uid="{00000000-0005-0000-0000-0000E9800000}"/>
    <cellStyle name="Normal 30 3 11 7 2" xfId="35842" xr:uid="{00000000-0005-0000-0000-0000EA800000}"/>
    <cellStyle name="Normal 30 3 11 8" xfId="18453" xr:uid="{00000000-0005-0000-0000-0000EB800000}"/>
    <cellStyle name="Normal 30 3 11 8 2" xfId="35843" xr:uid="{00000000-0005-0000-0000-0000EC800000}"/>
    <cellStyle name="Normal 30 3 11 9" xfId="18454" xr:uid="{00000000-0005-0000-0000-0000ED800000}"/>
    <cellStyle name="Normal 30 3 11 9 2" xfId="35844" xr:uid="{00000000-0005-0000-0000-0000EE800000}"/>
    <cellStyle name="Normal 30 3 12" xfId="18455" xr:uid="{00000000-0005-0000-0000-0000EF800000}"/>
    <cellStyle name="Normal 30 3 12 10" xfId="18456" xr:uid="{00000000-0005-0000-0000-0000F0800000}"/>
    <cellStyle name="Normal 30 3 12 10 2" xfId="35846" xr:uid="{00000000-0005-0000-0000-0000F1800000}"/>
    <cellStyle name="Normal 30 3 12 11" xfId="18457" xr:uid="{00000000-0005-0000-0000-0000F2800000}"/>
    <cellStyle name="Normal 30 3 12 11 2" xfId="35847" xr:uid="{00000000-0005-0000-0000-0000F3800000}"/>
    <cellStyle name="Normal 30 3 12 12" xfId="18458" xr:uid="{00000000-0005-0000-0000-0000F4800000}"/>
    <cellStyle name="Normal 30 3 12 12 2" xfId="35848" xr:uid="{00000000-0005-0000-0000-0000F5800000}"/>
    <cellStyle name="Normal 30 3 12 13" xfId="18459" xr:uid="{00000000-0005-0000-0000-0000F6800000}"/>
    <cellStyle name="Normal 30 3 12 13 2" xfId="35849" xr:uid="{00000000-0005-0000-0000-0000F7800000}"/>
    <cellStyle name="Normal 30 3 12 14" xfId="18460" xr:uid="{00000000-0005-0000-0000-0000F8800000}"/>
    <cellStyle name="Normal 30 3 12 14 2" xfId="35850" xr:uid="{00000000-0005-0000-0000-0000F9800000}"/>
    <cellStyle name="Normal 30 3 12 15" xfId="35845" xr:uid="{00000000-0005-0000-0000-0000FA800000}"/>
    <cellStyle name="Normal 30 3 12 2" xfId="18461" xr:uid="{00000000-0005-0000-0000-0000FB800000}"/>
    <cellStyle name="Normal 30 3 12 2 2" xfId="35851" xr:uid="{00000000-0005-0000-0000-0000FC800000}"/>
    <cellStyle name="Normal 30 3 12 3" xfId="18462" xr:uid="{00000000-0005-0000-0000-0000FD800000}"/>
    <cellStyle name="Normal 30 3 12 3 2" xfId="35852" xr:uid="{00000000-0005-0000-0000-0000FE800000}"/>
    <cellStyle name="Normal 30 3 12 4" xfId="18463" xr:uid="{00000000-0005-0000-0000-0000FF800000}"/>
    <cellStyle name="Normal 30 3 12 4 2" xfId="35853" xr:uid="{00000000-0005-0000-0000-000000810000}"/>
    <cellStyle name="Normal 30 3 12 5" xfId="18464" xr:uid="{00000000-0005-0000-0000-000001810000}"/>
    <cellStyle name="Normal 30 3 12 5 2" xfId="35854" xr:uid="{00000000-0005-0000-0000-000002810000}"/>
    <cellStyle name="Normal 30 3 12 6" xfId="18465" xr:uid="{00000000-0005-0000-0000-000003810000}"/>
    <cellStyle name="Normal 30 3 12 6 2" xfId="35855" xr:uid="{00000000-0005-0000-0000-000004810000}"/>
    <cellStyle name="Normal 30 3 12 7" xfId="18466" xr:uid="{00000000-0005-0000-0000-000005810000}"/>
    <cellStyle name="Normal 30 3 12 7 2" xfId="35856" xr:uid="{00000000-0005-0000-0000-000006810000}"/>
    <cellStyle name="Normal 30 3 12 8" xfId="18467" xr:uid="{00000000-0005-0000-0000-000007810000}"/>
    <cellStyle name="Normal 30 3 12 8 2" xfId="35857" xr:uid="{00000000-0005-0000-0000-000008810000}"/>
    <cellStyle name="Normal 30 3 12 9" xfId="18468" xr:uid="{00000000-0005-0000-0000-000009810000}"/>
    <cellStyle name="Normal 30 3 12 9 2" xfId="35858" xr:uid="{00000000-0005-0000-0000-00000A810000}"/>
    <cellStyle name="Normal 30 3 13" xfId="18469" xr:uid="{00000000-0005-0000-0000-00000B810000}"/>
    <cellStyle name="Normal 30 3 13 10" xfId="18470" xr:uid="{00000000-0005-0000-0000-00000C810000}"/>
    <cellStyle name="Normal 30 3 13 10 2" xfId="35860" xr:uid="{00000000-0005-0000-0000-00000D810000}"/>
    <cellStyle name="Normal 30 3 13 11" xfId="18471" xr:uid="{00000000-0005-0000-0000-00000E810000}"/>
    <cellStyle name="Normal 30 3 13 11 2" xfId="35861" xr:uid="{00000000-0005-0000-0000-00000F810000}"/>
    <cellStyle name="Normal 30 3 13 12" xfId="18472" xr:uid="{00000000-0005-0000-0000-000010810000}"/>
    <cellStyle name="Normal 30 3 13 12 2" xfId="35862" xr:uid="{00000000-0005-0000-0000-000011810000}"/>
    <cellStyle name="Normal 30 3 13 13" xfId="18473" xr:uid="{00000000-0005-0000-0000-000012810000}"/>
    <cellStyle name="Normal 30 3 13 13 2" xfId="35863" xr:uid="{00000000-0005-0000-0000-000013810000}"/>
    <cellStyle name="Normal 30 3 13 14" xfId="18474" xr:uid="{00000000-0005-0000-0000-000014810000}"/>
    <cellStyle name="Normal 30 3 13 14 2" xfId="35864" xr:uid="{00000000-0005-0000-0000-000015810000}"/>
    <cellStyle name="Normal 30 3 13 15" xfId="35859" xr:uid="{00000000-0005-0000-0000-000016810000}"/>
    <cellStyle name="Normal 30 3 13 2" xfId="18475" xr:uid="{00000000-0005-0000-0000-000017810000}"/>
    <cellStyle name="Normal 30 3 13 2 2" xfId="35865" xr:uid="{00000000-0005-0000-0000-000018810000}"/>
    <cellStyle name="Normal 30 3 13 3" xfId="18476" xr:uid="{00000000-0005-0000-0000-000019810000}"/>
    <cellStyle name="Normal 30 3 13 3 2" xfId="35866" xr:uid="{00000000-0005-0000-0000-00001A810000}"/>
    <cellStyle name="Normal 30 3 13 4" xfId="18477" xr:uid="{00000000-0005-0000-0000-00001B810000}"/>
    <cellStyle name="Normal 30 3 13 4 2" xfId="35867" xr:uid="{00000000-0005-0000-0000-00001C810000}"/>
    <cellStyle name="Normal 30 3 13 5" xfId="18478" xr:uid="{00000000-0005-0000-0000-00001D810000}"/>
    <cellStyle name="Normal 30 3 13 5 2" xfId="35868" xr:uid="{00000000-0005-0000-0000-00001E810000}"/>
    <cellStyle name="Normal 30 3 13 6" xfId="18479" xr:uid="{00000000-0005-0000-0000-00001F810000}"/>
    <cellStyle name="Normal 30 3 13 6 2" xfId="35869" xr:uid="{00000000-0005-0000-0000-000020810000}"/>
    <cellStyle name="Normal 30 3 13 7" xfId="18480" xr:uid="{00000000-0005-0000-0000-000021810000}"/>
    <cellStyle name="Normal 30 3 13 7 2" xfId="35870" xr:uid="{00000000-0005-0000-0000-000022810000}"/>
    <cellStyle name="Normal 30 3 13 8" xfId="18481" xr:uid="{00000000-0005-0000-0000-000023810000}"/>
    <cellStyle name="Normal 30 3 13 8 2" xfId="35871" xr:uid="{00000000-0005-0000-0000-000024810000}"/>
    <cellStyle name="Normal 30 3 13 9" xfId="18482" xr:uid="{00000000-0005-0000-0000-000025810000}"/>
    <cellStyle name="Normal 30 3 13 9 2" xfId="35872" xr:uid="{00000000-0005-0000-0000-000026810000}"/>
    <cellStyle name="Normal 30 3 14" xfId="18483" xr:uid="{00000000-0005-0000-0000-000027810000}"/>
    <cellStyle name="Normal 30 3 14 10" xfId="18484" xr:uid="{00000000-0005-0000-0000-000028810000}"/>
    <cellStyle name="Normal 30 3 14 10 2" xfId="35874" xr:uid="{00000000-0005-0000-0000-000029810000}"/>
    <cellStyle name="Normal 30 3 14 11" xfId="18485" xr:uid="{00000000-0005-0000-0000-00002A810000}"/>
    <cellStyle name="Normal 30 3 14 11 2" xfId="35875" xr:uid="{00000000-0005-0000-0000-00002B810000}"/>
    <cellStyle name="Normal 30 3 14 12" xfId="18486" xr:uid="{00000000-0005-0000-0000-00002C810000}"/>
    <cellStyle name="Normal 30 3 14 12 2" xfId="35876" xr:uid="{00000000-0005-0000-0000-00002D810000}"/>
    <cellStyle name="Normal 30 3 14 13" xfId="18487" xr:uid="{00000000-0005-0000-0000-00002E810000}"/>
    <cellStyle name="Normal 30 3 14 13 2" xfId="35877" xr:uid="{00000000-0005-0000-0000-00002F810000}"/>
    <cellStyle name="Normal 30 3 14 14" xfId="18488" xr:uid="{00000000-0005-0000-0000-000030810000}"/>
    <cellStyle name="Normal 30 3 14 14 2" xfId="35878" xr:uid="{00000000-0005-0000-0000-000031810000}"/>
    <cellStyle name="Normal 30 3 14 15" xfId="35873" xr:uid="{00000000-0005-0000-0000-000032810000}"/>
    <cellStyle name="Normal 30 3 14 2" xfId="18489" xr:uid="{00000000-0005-0000-0000-000033810000}"/>
    <cellStyle name="Normal 30 3 14 2 2" xfId="35879" xr:uid="{00000000-0005-0000-0000-000034810000}"/>
    <cellStyle name="Normal 30 3 14 3" xfId="18490" xr:uid="{00000000-0005-0000-0000-000035810000}"/>
    <cellStyle name="Normal 30 3 14 3 2" xfId="35880" xr:uid="{00000000-0005-0000-0000-000036810000}"/>
    <cellStyle name="Normal 30 3 14 4" xfId="18491" xr:uid="{00000000-0005-0000-0000-000037810000}"/>
    <cellStyle name="Normal 30 3 14 4 2" xfId="35881" xr:uid="{00000000-0005-0000-0000-000038810000}"/>
    <cellStyle name="Normal 30 3 14 5" xfId="18492" xr:uid="{00000000-0005-0000-0000-000039810000}"/>
    <cellStyle name="Normal 30 3 14 5 2" xfId="35882" xr:uid="{00000000-0005-0000-0000-00003A810000}"/>
    <cellStyle name="Normal 30 3 14 6" xfId="18493" xr:uid="{00000000-0005-0000-0000-00003B810000}"/>
    <cellStyle name="Normal 30 3 14 6 2" xfId="35883" xr:uid="{00000000-0005-0000-0000-00003C810000}"/>
    <cellStyle name="Normal 30 3 14 7" xfId="18494" xr:uid="{00000000-0005-0000-0000-00003D810000}"/>
    <cellStyle name="Normal 30 3 14 7 2" xfId="35884" xr:uid="{00000000-0005-0000-0000-00003E810000}"/>
    <cellStyle name="Normal 30 3 14 8" xfId="18495" xr:uid="{00000000-0005-0000-0000-00003F810000}"/>
    <cellStyle name="Normal 30 3 14 8 2" xfId="35885" xr:uid="{00000000-0005-0000-0000-000040810000}"/>
    <cellStyle name="Normal 30 3 14 9" xfId="18496" xr:uid="{00000000-0005-0000-0000-000041810000}"/>
    <cellStyle name="Normal 30 3 14 9 2" xfId="35886" xr:uid="{00000000-0005-0000-0000-000042810000}"/>
    <cellStyle name="Normal 30 3 15" xfId="18497" xr:uid="{00000000-0005-0000-0000-000043810000}"/>
    <cellStyle name="Normal 30 3 15 10" xfId="18498" xr:uid="{00000000-0005-0000-0000-000044810000}"/>
    <cellStyle name="Normal 30 3 15 10 2" xfId="35888" xr:uid="{00000000-0005-0000-0000-000045810000}"/>
    <cellStyle name="Normal 30 3 15 11" xfId="18499" xr:uid="{00000000-0005-0000-0000-000046810000}"/>
    <cellStyle name="Normal 30 3 15 11 2" xfId="35889" xr:uid="{00000000-0005-0000-0000-000047810000}"/>
    <cellStyle name="Normal 30 3 15 12" xfId="18500" xr:uid="{00000000-0005-0000-0000-000048810000}"/>
    <cellStyle name="Normal 30 3 15 12 2" xfId="35890" xr:uid="{00000000-0005-0000-0000-000049810000}"/>
    <cellStyle name="Normal 30 3 15 13" xfId="18501" xr:uid="{00000000-0005-0000-0000-00004A810000}"/>
    <cellStyle name="Normal 30 3 15 13 2" xfId="35891" xr:uid="{00000000-0005-0000-0000-00004B810000}"/>
    <cellStyle name="Normal 30 3 15 14" xfId="18502" xr:uid="{00000000-0005-0000-0000-00004C810000}"/>
    <cellStyle name="Normal 30 3 15 14 2" xfId="35892" xr:uid="{00000000-0005-0000-0000-00004D810000}"/>
    <cellStyle name="Normal 30 3 15 15" xfId="35887" xr:uid="{00000000-0005-0000-0000-00004E810000}"/>
    <cellStyle name="Normal 30 3 15 2" xfId="18503" xr:uid="{00000000-0005-0000-0000-00004F810000}"/>
    <cellStyle name="Normal 30 3 15 2 2" xfId="35893" xr:uid="{00000000-0005-0000-0000-000050810000}"/>
    <cellStyle name="Normal 30 3 15 3" xfId="18504" xr:uid="{00000000-0005-0000-0000-000051810000}"/>
    <cellStyle name="Normal 30 3 15 3 2" xfId="35894" xr:uid="{00000000-0005-0000-0000-000052810000}"/>
    <cellStyle name="Normal 30 3 15 4" xfId="18505" xr:uid="{00000000-0005-0000-0000-000053810000}"/>
    <cellStyle name="Normal 30 3 15 4 2" xfId="35895" xr:uid="{00000000-0005-0000-0000-000054810000}"/>
    <cellStyle name="Normal 30 3 15 5" xfId="18506" xr:uid="{00000000-0005-0000-0000-000055810000}"/>
    <cellStyle name="Normal 30 3 15 5 2" xfId="35896" xr:uid="{00000000-0005-0000-0000-000056810000}"/>
    <cellStyle name="Normal 30 3 15 6" xfId="18507" xr:uid="{00000000-0005-0000-0000-000057810000}"/>
    <cellStyle name="Normal 30 3 15 6 2" xfId="35897" xr:uid="{00000000-0005-0000-0000-000058810000}"/>
    <cellStyle name="Normal 30 3 15 7" xfId="18508" xr:uid="{00000000-0005-0000-0000-000059810000}"/>
    <cellStyle name="Normal 30 3 15 7 2" xfId="35898" xr:uid="{00000000-0005-0000-0000-00005A810000}"/>
    <cellStyle name="Normal 30 3 15 8" xfId="18509" xr:uid="{00000000-0005-0000-0000-00005B810000}"/>
    <cellStyle name="Normal 30 3 15 8 2" xfId="35899" xr:uid="{00000000-0005-0000-0000-00005C810000}"/>
    <cellStyle name="Normal 30 3 15 9" xfId="18510" xr:uid="{00000000-0005-0000-0000-00005D810000}"/>
    <cellStyle name="Normal 30 3 15 9 2" xfId="35900" xr:uid="{00000000-0005-0000-0000-00005E810000}"/>
    <cellStyle name="Normal 30 3 16" xfId="18511" xr:uid="{00000000-0005-0000-0000-00005F810000}"/>
    <cellStyle name="Normal 30 3 16 2" xfId="35901" xr:uid="{00000000-0005-0000-0000-000060810000}"/>
    <cellStyle name="Normal 30 3 17" xfId="18512" xr:uid="{00000000-0005-0000-0000-000061810000}"/>
    <cellStyle name="Normal 30 3 17 2" xfId="35902" xr:uid="{00000000-0005-0000-0000-000062810000}"/>
    <cellStyle name="Normal 30 3 18" xfId="18513" xr:uid="{00000000-0005-0000-0000-000063810000}"/>
    <cellStyle name="Normal 30 3 18 2" xfId="35903" xr:uid="{00000000-0005-0000-0000-000064810000}"/>
    <cellStyle name="Normal 30 3 19" xfId="18514" xr:uid="{00000000-0005-0000-0000-000065810000}"/>
    <cellStyle name="Normal 30 3 19 2" xfId="35904" xr:uid="{00000000-0005-0000-0000-000066810000}"/>
    <cellStyle name="Normal 30 3 2" xfId="18515" xr:uid="{00000000-0005-0000-0000-000067810000}"/>
    <cellStyle name="Normal 30 3 2 10" xfId="18516" xr:uid="{00000000-0005-0000-0000-000068810000}"/>
    <cellStyle name="Normal 30 3 2 10 2" xfId="35906" xr:uid="{00000000-0005-0000-0000-000069810000}"/>
    <cellStyle name="Normal 30 3 2 11" xfId="18517" xr:uid="{00000000-0005-0000-0000-00006A810000}"/>
    <cellStyle name="Normal 30 3 2 11 2" xfId="35907" xr:uid="{00000000-0005-0000-0000-00006B810000}"/>
    <cellStyle name="Normal 30 3 2 12" xfId="18518" xr:uid="{00000000-0005-0000-0000-00006C810000}"/>
    <cellStyle name="Normal 30 3 2 12 2" xfId="35908" xr:uid="{00000000-0005-0000-0000-00006D810000}"/>
    <cellStyle name="Normal 30 3 2 13" xfId="18519" xr:uid="{00000000-0005-0000-0000-00006E810000}"/>
    <cellStyle name="Normal 30 3 2 13 2" xfId="35909" xr:uid="{00000000-0005-0000-0000-00006F810000}"/>
    <cellStyle name="Normal 30 3 2 14" xfId="18520" xr:uid="{00000000-0005-0000-0000-000070810000}"/>
    <cellStyle name="Normal 30 3 2 14 2" xfId="35910" xr:uid="{00000000-0005-0000-0000-000071810000}"/>
    <cellStyle name="Normal 30 3 2 15" xfId="18521" xr:uid="{00000000-0005-0000-0000-000072810000}"/>
    <cellStyle name="Normal 30 3 2 15 2" xfId="35911" xr:uid="{00000000-0005-0000-0000-000073810000}"/>
    <cellStyle name="Normal 30 3 2 16" xfId="35905" xr:uid="{00000000-0005-0000-0000-000074810000}"/>
    <cellStyle name="Normal 30 3 2 2" xfId="18522" xr:uid="{00000000-0005-0000-0000-000075810000}"/>
    <cellStyle name="Normal 30 3 2 2 10" xfId="18523" xr:uid="{00000000-0005-0000-0000-000076810000}"/>
    <cellStyle name="Normal 30 3 2 2 10 2" xfId="35913" xr:uid="{00000000-0005-0000-0000-000077810000}"/>
    <cellStyle name="Normal 30 3 2 2 11" xfId="18524" xr:uid="{00000000-0005-0000-0000-000078810000}"/>
    <cellStyle name="Normal 30 3 2 2 11 2" xfId="35914" xr:uid="{00000000-0005-0000-0000-000079810000}"/>
    <cellStyle name="Normal 30 3 2 2 12" xfId="18525" xr:uid="{00000000-0005-0000-0000-00007A810000}"/>
    <cellStyle name="Normal 30 3 2 2 12 2" xfId="35915" xr:uid="{00000000-0005-0000-0000-00007B810000}"/>
    <cellStyle name="Normal 30 3 2 2 13" xfId="18526" xr:uid="{00000000-0005-0000-0000-00007C810000}"/>
    <cellStyle name="Normal 30 3 2 2 13 2" xfId="35916" xr:uid="{00000000-0005-0000-0000-00007D810000}"/>
    <cellStyle name="Normal 30 3 2 2 14" xfId="18527" xr:uid="{00000000-0005-0000-0000-00007E810000}"/>
    <cellStyle name="Normal 30 3 2 2 14 2" xfId="35917" xr:uid="{00000000-0005-0000-0000-00007F810000}"/>
    <cellStyle name="Normal 30 3 2 2 15" xfId="35912" xr:uid="{00000000-0005-0000-0000-000080810000}"/>
    <cellStyle name="Normal 30 3 2 2 2" xfId="18528" xr:uid="{00000000-0005-0000-0000-000081810000}"/>
    <cellStyle name="Normal 30 3 2 2 2 2" xfId="35918" xr:uid="{00000000-0005-0000-0000-000082810000}"/>
    <cellStyle name="Normal 30 3 2 2 3" xfId="18529" xr:uid="{00000000-0005-0000-0000-000083810000}"/>
    <cellStyle name="Normal 30 3 2 2 3 2" xfId="35919" xr:uid="{00000000-0005-0000-0000-000084810000}"/>
    <cellStyle name="Normal 30 3 2 2 4" xfId="18530" xr:uid="{00000000-0005-0000-0000-000085810000}"/>
    <cellStyle name="Normal 30 3 2 2 4 2" xfId="35920" xr:uid="{00000000-0005-0000-0000-000086810000}"/>
    <cellStyle name="Normal 30 3 2 2 5" xfId="18531" xr:uid="{00000000-0005-0000-0000-000087810000}"/>
    <cellStyle name="Normal 30 3 2 2 5 2" xfId="35921" xr:uid="{00000000-0005-0000-0000-000088810000}"/>
    <cellStyle name="Normal 30 3 2 2 6" xfId="18532" xr:uid="{00000000-0005-0000-0000-000089810000}"/>
    <cellStyle name="Normal 30 3 2 2 6 2" xfId="35922" xr:uid="{00000000-0005-0000-0000-00008A810000}"/>
    <cellStyle name="Normal 30 3 2 2 7" xfId="18533" xr:uid="{00000000-0005-0000-0000-00008B810000}"/>
    <cellStyle name="Normal 30 3 2 2 7 2" xfId="35923" xr:uid="{00000000-0005-0000-0000-00008C810000}"/>
    <cellStyle name="Normal 30 3 2 2 8" xfId="18534" xr:uid="{00000000-0005-0000-0000-00008D810000}"/>
    <cellStyle name="Normal 30 3 2 2 8 2" xfId="35924" xr:uid="{00000000-0005-0000-0000-00008E810000}"/>
    <cellStyle name="Normal 30 3 2 2 9" xfId="18535" xr:uid="{00000000-0005-0000-0000-00008F810000}"/>
    <cellStyle name="Normal 30 3 2 2 9 2" xfId="35925" xr:uid="{00000000-0005-0000-0000-000090810000}"/>
    <cellStyle name="Normal 30 3 2 3" xfId="18536" xr:uid="{00000000-0005-0000-0000-000091810000}"/>
    <cellStyle name="Normal 30 3 2 3 2" xfId="35926" xr:uid="{00000000-0005-0000-0000-000092810000}"/>
    <cellStyle name="Normal 30 3 2 4" xfId="18537" xr:uid="{00000000-0005-0000-0000-000093810000}"/>
    <cellStyle name="Normal 30 3 2 4 2" xfId="35927" xr:uid="{00000000-0005-0000-0000-000094810000}"/>
    <cellStyle name="Normal 30 3 2 5" xfId="18538" xr:uid="{00000000-0005-0000-0000-000095810000}"/>
    <cellStyle name="Normal 30 3 2 5 2" xfId="35928" xr:uid="{00000000-0005-0000-0000-000096810000}"/>
    <cellStyle name="Normal 30 3 2 6" xfId="18539" xr:uid="{00000000-0005-0000-0000-000097810000}"/>
    <cellStyle name="Normal 30 3 2 6 2" xfId="35929" xr:uid="{00000000-0005-0000-0000-000098810000}"/>
    <cellStyle name="Normal 30 3 2 7" xfId="18540" xr:uid="{00000000-0005-0000-0000-000099810000}"/>
    <cellStyle name="Normal 30 3 2 7 2" xfId="35930" xr:uid="{00000000-0005-0000-0000-00009A810000}"/>
    <cellStyle name="Normal 30 3 2 8" xfId="18541" xr:uid="{00000000-0005-0000-0000-00009B810000}"/>
    <cellStyle name="Normal 30 3 2 8 2" xfId="35931" xr:uid="{00000000-0005-0000-0000-00009C810000}"/>
    <cellStyle name="Normal 30 3 2 9" xfId="18542" xr:uid="{00000000-0005-0000-0000-00009D810000}"/>
    <cellStyle name="Normal 30 3 2 9 2" xfId="35932" xr:uid="{00000000-0005-0000-0000-00009E810000}"/>
    <cellStyle name="Normal 30 3 20" xfId="18543" xr:uid="{00000000-0005-0000-0000-00009F810000}"/>
    <cellStyle name="Normal 30 3 20 2" xfId="35933" xr:uid="{00000000-0005-0000-0000-0000A0810000}"/>
    <cellStyle name="Normal 30 3 21" xfId="18544" xr:uid="{00000000-0005-0000-0000-0000A1810000}"/>
    <cellStyle name="Normal 30 3 21 2" xfId="35934" xr:uid="{00000000-0005-0000-0000-0000A2810000}"/>
    <cellStyle name="Normal 30 3 22" xfId="18545" xr:uid="{00000000-0005-0000-0000-0000A3810000}"/>
    <cellStyle name="Normal 30 3 22 2" xfId="35935" xr:uid="{00000000-0005-0000-0000-0000A4810000}"/>
    <cellStyle name="Normal 30 3 23" xfId="18546" xr:uid="{00000000-0005-0000-0000-0000A5810000}"/>
    <cellStyle name="Normal 30 3 23 2" xfId="35936" xr:uid="{00000000-0005-0000-0000-0000A6810000}"/>
    <cellStyle name="Normal 30 3 24" xfId="18547" xr:uid="{00000000-0005-0000-0000-0000A7810000}"/>
    <cellStyle name="Normal 30 3 24 2" xfId="35937" xr:uid="{00000000-0005-0000-0000-0000A8810000}"/>
    <cellStyle name="Normal 30 3 25" xfId="18548" xr:uid="{00000000-0005-0000-0000-0000A9810000}"/>
    <cellStyle name="Normal 30 3 25 2" xfId="35938" xr:uid="{00000000-0005-0000-0000-0000AA810000}"/>
    <cellStyle name="Normal 30 3 26" xfId="18549" xr:uid="{00000000-0005-0000-0000-0000AB810000}"/>
    <cellStyle name="Normal 30 3 26 2" xfId="35939" xr:uid="{00000000-0005-0000-0000-0000AC810000}"/>
    <cellStyle name="Normal 30 3 27" xfId="18550" xr:uid="{00000000-0005-0000-0000-0000AD810000}"/>
    <cellStyle name="Normal 30 3 27 2" xfId="35940" xr:uid="{00000000-0005-0000-0000-0000AE810000}"/>
    <cellStyle name="Normal 30 3 28" xfId="18551" xr:uid="{00000000-0005-0000-0000-0000AF810000}"/>
    <cellStyle name="Normal 30 3 28 2" xfId="35941" xr:uid="{00000000-0005-0000-0000-0000B0810000}"/>
    <cellStyle name="Normal 30 3 29" xfId="35816" xr:uid="{00000000-0005-0000-0000-0000B1810000}"/>
    <cellStyle name="Normal 30 3 3" xfId="18552" xr:uid="{00000000-0005-0000-0000-0000B2810000}"/>
    <cellStyle name="Normal 30 3 3 10" xfId="18553" xr:uid="{00000000-0005-0000-0000-0000B3810000}"/>
    <cellStyle name="Normal 30 3 3 10 2" xfId="35943" xr:uid="{00000000-0005-0000-0000-0000B4810000}"/>
    <cellStyle name="Normal 30 3 3 11" xfId="18554" xr:uid="{00000000-0005-0000-0000-0000B5810000}"/>
    <cellStyle name="Normal 30 3 3 11 2" xfId="35944" xr:uid="{00000000-0005-0000-0000-0000B6810000}"/>
    <cellStyle name="Normal 30 3 3 12" xfId="18555" xr:uid="{00000000-0005-0000-0000-0000B7810000}"/>
    <cellStyle name="Normal 30 3 3 12 2" xfId="35945" xr:uid="{00000000-0005-0000-0000-0000B8810000}"/>
    <cellStyle name="Normal 30 3 3 13" xfId="18556" xr:uid="{00000000-0005-0000-0000-0000B9810000}"/>
    <cellStyle name="Normal 30 3 3 13 2" xfId="35946" xr:uid="{00000000-0005-0000-0000-0000BA810000}"/>
    <cellStyle name="Normal 30 3 3 14" xfId="18557" xr:uid="{00000000-0005-0000-0000-0000BB810000}"/>
    <cellStyle name="Normal 30 3 3 14 2" xfId="35947" xr:uid="{00000000-0005-0000-0000-0000BC810000}"/>
    <cellStyle name="Normal 30 3 3 15" xfId="18558" xr:uid="{00000000-0005-0000-0000-0000BD810000}"/>
    <cellStyle name="Normal 30 3 3 15 2" xfId="35948" xr:uid="{00000000-0005-0000-0000-0000BE810000}"/>
    <cellStyle name="Normal 30 3 3 16" xfId="35942" xr:uid="{00000000-0005-0000-0000-0000BF810000}"/>
    <cellStyle name="Normal 30 3 3 2" xfId="18559" xr:uid="{00000000-0005-0000-0000-0000C0810000}"/>
    <cellStyle name="Normal 30 3 3 2 10" xfId="18560" xr:uid="{00000000-0005-0000-0000-0000C1810000}"/>
    <cellStyle name="Normal 30 3 3 2 10 2" xfId="35950" xr:uid="{00000000-0005-0000-0000-0000C2810000}"/>
    <cellStyle name="Normal 30 3 3 2 11" xfId="18561" xr:uid="{00000000-0005-0000-0000-0000C3810000}"/>
    <cellStyle name="Normal 30 3 3 2 11 2" xfId="35951" xr:uid="{00000000-0005-0000-0000-0000C4810000}"/>
    <cellStyle name="Normal 30 3 3 2 12" xfId="18562" xr:uid="{00000000-0005-0000-0000-0000C5810000}"/>
    <cellStyle name="Normal 30 3 3 2 12 2" xfId="35952" xr:uid="{00000000-0005-0000-0000-0000C6810000}"/>
    <cellStyle name="Normal 30 3 3 2 13" xfId="18563" xr:uid="{00000000-0005-0000-0000-0000C7810000}"/>
    <cellStyle name="Normal 30 3 3 2 13 2" xfId="35953" xr:uid="{00000000-0005-0000-0000-0000C8810000}"/>
    <cellStyle name="Normal 30 3 3 2 14" xfId="18564" xr:uid="{00000000-0005-0000-0000-0000C9810000}"/>
    <cellStyle name="Normal 30 3 3 2 14 2" xfId="35954" xr:uid="{00000000-0005-0000-0000-0000CA810000}"/>
    <cellStyle name="Normal 30 3 3 2 15" xfId="35949" xr:uid="{00000000-0005-0000-0000-0000CB810000}"/>
    <cellStyle name="Normal 30 3 3 2 2" xfId="18565" xr:uid="{00000000-0005-0000-0000-0000CC810000}"/>
    <cellStyle name="Normal 30 3 3 2 2 2" xfId="35955" xr:uid="{00000000-0005-0000-0000-0000CD810000}"/>
    <cellStyle name="Normal 30 3 3 2 3" xfId="18566" xr:uid="{00000000-0005-0000-0000-0000CE810000}"/>
    <cellStyle name="Normal 30 3 3 2 3 2" xfId="35956" xr:uid="{00000000-0005-0000-0000-0000CF810000}"/>
    <cellStyle name="Normal 30 3 3 2 4" xfId="18567" xr:uid="{00000000-0005-0000-0000-0000D0810000}"/>
    <cellStyle name="Normal 30 3 3 2 4 2" xfId="35957" xr:uid="{00000000-0005-0000-0000-0000D1810000}"/>
    <cellStyle name="Normal 30 3 3 2 5" xfId="18568" xr:uid="{00000000-0005-0000-0000-0000D2810000}"/>
    <cellStyle name="Normal 30 3 3 2 5 2" xfId="35958" xr:uid="{00000000-0005-0000-0000-0000D3810000}"/>
    <cellStyle name="Normal 30 3 3 2 6" xfId="18569" xr:uid="{00000000-0005-0000-0000-0000D4810000}"/>
    <cellStyle name="Normal 30 3 3 2 6 2" xfId="35959" xr:uid="{00000000-0005-0000-0000-0000D5810000}"/>
    <cellStyle name="Normal 30 3 3 2 7" xfId="18570" xr:uid="{00000000-0005-0000-0000-0000D6810000}"/>
    <cellStyle name="Normal 30 3 3 2 7 2" xfId="35960" xr:uid="{00000000-0005-0000-0000-0000D7810000}"/>
    <cellStyle name="Normal 30 3 3 2 8" xfId="18571" xr:uid="{00000000-0005-0000-0000-0000D8810000}"/>
    <cellStyle name="Normal 30 3 3 2 8 2" xfId="35961" xr:uid="{00000000-0005-0000-0000-0000D9810000}"/>
    <cellStyle name="Normal 30 3 3 2 9" xfId="18572" xr:uid="{00000000-0005-0000-0000-0000DA810000}"/>
    <cellStyle name="Normal 30 3 3 2 9 2" xfId="35962" xr:uid="{00000000-0005-0000-0000-0000DB810000}"/>
    <cellStyle name="Normal 30 3 3 3" xfId="18573" xr:uid="{00000000-0005-0000-0000-0000DC810000}"/>
    <cellStyle name="Normal 30 3 3 3 2" xfId="35963" xr:uid="{00000000-0005-0000-0000-0000DD810000}"/>
    <cellStyle name="Normal 30 3 3 4" xfId="18574" xr:uid="{00000000-0005-0000-0000-0000DE810000}"/>
    <cellStyle name="Normal 30 3 3 4 2" xfId="35964" xr:uid="{00000000-0005-0000-0000-0000DF810000}"/>
    <cellStyle name="Normal 30 3 3 5" xfId="18575" xr:uid="{00000000-0005-0000-0000-0000E0810000}"/>
    <cellStyle name="Normal 30 3 3 5 2" xfId="35965" xr:uid="{00000000-0005-0000-0000-0000E1810000}"/>
    <cellStyle name="Normal 30 3 3 6" xfId="18576" xr:uid="{00000000-0005-0000-0000-0000E2810000}"/>
    <cellStyle name="Normal 30 3 3 6 2" xfId="35966" xr:uid="{00000000-0005-0000-0000-0000E3810000}"/>
    <cellStyle name="Normal 30 3 3 7" xfId="18577" xr:uid="{00000000-0005-0000-0000-0000E4810000}"/>
    <cellStyle name="Normal 30 3 3 7 2" xfId="35967" xr:uid="{00000000-0005-0000-0000-0000E5810000}"/>
    <cellStyle name="Normal 30 3 3 8" xfId="18578" xr:uid="{00000000-0005-0000-0000-0000E6810000}"/>
    <cellStyle name="Normal 30 3 3 8 2" xfId="35968" xr:uid="{00000000-0005-0000-0000-0000E7810000}"/>
    <cellStyle name="Normal 30 3 3 9" xfId="18579" xr:uid="{00000000-0005-0000-0000-0000E8810000}"/>
    <cellStyle name="Normal 30 3 3 9 2" xfId="35969" xr:uid="{00000000-0005-0000-0000-0000E9810000}"/>
    <cellStyle name="Normal 30 3 4" xfId="18580" xr:uid="{00000000-0005-0000-0000-0000EA810000}"/>
    <cellStyle name="Normal 30 3 4 10" xfId="18581" xr:uid="{00000000-0005-0000-0000-0000EB810000}"/>
    <cellStyle name="Normal 30 3 4 10 2" xfId="35971" xr:uid="{00000000-0005-0000-0000-0000EC810000}"/>
    <cellStyle name="Normal 30 3 4 11" xfId="18582" xr:uid="{00000000-0005-0000-0000-0000ED810000}"/>
    <cellStyle name="Normal 30 3 4 11 2" xfId="35972" xr:uid="{00000000-0005-0000-0000-0000EE810000}"/>
    <cellStyle name="Normal 30 3 4 12" xfId="18583" xr:uid="{00000000-0005-0000-0000-0000EF810000}"/>
    <cellStyle name="Normal 30 3 4 12 2" xfId="35973" xr:uid="{00000000-0005-0000-0000-0000F0810000}"/>
    <cellStyle name="Normal 30 3 4 13" xfId="18584" xr:uid="{00000000-0005-0000-0000-0000F1810000}"/>
    <cellStyle name="Normal 30 3 4 13 2" xfId="35974" xr:uid="{00000000-0005-0000-0000-0000F2810000}"/>
    <cellStyle name="Normal 30 3 4 14" xfId="18585" xr:uid="{00000000-0005-0000-0000-0000F3810000}"/>
    <cellStyle name="Normal 30 3 4 14 2" xfId="35975" xr:uid="{00000000-0005-0000-0000-0000F4810000}"/>
    <cellStyle name="Normal 30 3 4 15" xfId="18586" xr:uid="{00000000-0005-0000-0000-0000F5810000}"/>
    <cellStyle name="Normal 30 3 4 15 2" xfId="35976" xr:uid="{00000000-0005-0000-0000-0000F6810000}"/>
    <cellStyle name="Normal 30 3 4 16" xfId="35970" xr:uid="{00000000-0005-0000-0000-0000F7810000}"/>
    <cellStyle name="Normal 30 3 4 2" xfId="18587" xr:uid="{00000000-0005-0000-0000-0000F8810000}"/>
    <cellStyle name="Normal 30 3 4 2 10" xfId="18588" xr:uid="{00000000-0005-0000-0000-0000F9810000}"/>
    <cellStyle name="Normal 30 3 4 2 10 2" xfId="35978" xr:uid="{00000000-0005-0000-0000-0000FA810000}"/>
    <cellStyle name="Normal 30 3 4 2 11" xfId="18589" xr:uid="{00000000-0005-0000-0000-0000FB810000}"/>
    <cellStyle name="Normal 30 3 4 2 11 2" xfId="35979" xr:uid="{00000000-0005-0000-0000-0000FC810000}"/>
    <cellStyle name="Normal 30 3 4 2 12" xfId="18590" xr:uid="{00000000-0005-0000-0000-0000FD810000}"/>
    <cellStyle name="Normal 30 3 4 2 12 2" xfId="35980" xr:uid="{00000000-0005-0000-0000-0000FE810000}"/>
    <cellStyle name="Normal 30 3 4 2 13" xfId="18591" xr:uid="{00000000-0005-0000-0000-0000FF810000}"/>
    <cellStyle name="Normal 30 3 4 2 13 2" xfId="35981" xr:uid="{00000000-0005-0000-0000-000000820000}"/>
    <cellStyle name="Normal 30 3 4 2 14" xfId="18592" xr:uid="{00000000-0005-0000-0000-000001820000}"/>
    <cellStyle name="Normal 30 3 4 2 14 2" xfId="35982" xr:uid="{00000000-0005-0000-0000-000002820000}"/>
    <cellStyle name="Normal 30 3 4 2 15" xfId="35977" xr:uid="{00000000-0005-0000-0000-000003820000}"/>
    <cellStyle name="Normal 30 3 4 2 2" xfId="18593" xr:uid="{00000000-0005-0000-0000-000004820000}"/>
    <cellStyle name="Normal 30 3 4 2 2 2" xfId="35983" xr:uid="{00000000-0005-0000-0000-000005820000}"/>
    <cellStyle name="Normal 30 3 4 2 3" xfId="18594" xr:uid="{00000000-0005-0000-0000-000006820000}"/>
    <cellStyle name="Normal 30 3 4 2 3 2" xfId="35984" xr:uid="{00000000-0005-0000-0000-000007820000}"/>
    <cellStyle name="Normal 30 3 4 2 4" xfId="18595" xr:uid="{00000000-0005-0000-0000-000008820000}"/>
    <cellStyle name="Normal 30 3 4 2 4 2" xfId="35985" xr:uid="{00000000-0005-0000-0000-000009820000}"/>
    <cellStyle name="Normal 30 3 4 2 5" xfId="18596" xr:uid="{00000000-0005-0000-0000-00000A820000}"/>
    <cellStyle name="Normal 30 3 4 2 5 2" xfId="35986" xr:uid="{00000000-0005-0000-0000-00000B820000}"/>
    <cellStyle name="Normal 30 3 4 2 6" xfId="18597" xr:uid="{00000000-0005-0000-0000-00000C820000}"/>
    <cellStyle name="Normal 30 3 4 2 6 2" xfId="35987" xr:uid="{00000000-0005-0000-0000-00000D820000}"/>
    <cellStyle name="Normal 30 3 4 2 7" xfId="18598" xr:uid="{00000000-0005-0000-0000-00000E820000}"/>
    <cellStyle name="Normal 30 3 4 2 7 2" xfId="35988" xr:uid="{00000000-0005-0000-0000-00000F820000}"/>
    <cellStyle name="Normal 30 3 4 2 8" xfId="18599" xr:uid="{00000000-0005-0000-0000-000010820000}"/>
    <cellStyle name="Normal 30 3 4 2 8 2" xfId="35989" xr:uid="{00000000-0005-0000-0000-000011820000}"/>
    <cellStyle name="Normal 30 3 4 2 9" xfId="18600" xr:uid="{00000000-0005-0000-0000-000012820000}"/>
    <cellStyle name="Normal 30 3 4 2 9 2" xfId="35990" xr:uid="{00000000-0005-0000-0000-000013820000}"/>
    <cellStyle name="Normal 30 3 4 3" xfId="18601" xr:uid="{00000000-0005-0000-0000-000014820000}"/>
    <cellStyle name="Normal 30 3 4 3 2" xfId="35991" xr:uid="{00000000-0005-0000-0000-000015820000}"/>
    <cellStyle name="Normal 30 3 4 4" xfId="18602" xr:uid="{00000000-0005-0000-0000-000016820000}"/>
    <cellStyle name="Normal 30 3 4 4 2" xfId="35992" xr:uid="{00000000-0005-0000-0000-000017820000}"/>
    <cellStyle name="Normal 30 3 4 5" xfId="18603" xr:uid="{00000000-0005-0000-0000-000018820000}"/>
    <cellStyle name="Normal 30 3 4 5 2" xfId="35993" xr:uid="{00000000-0005-0000-0000-000019820000}"/>
    <cellStyle name="Normal 30 3 4 6" xfId="18604" xr:uid="{00000000-0005-0000-0000-00001A820000}"/>
    <cellStyle name="Normal 30 3 4 6 2" xfId="35994" xr:uid="{00000000-0005-0000-0000-00001B820000}"/>
    <cellStyle name="Normal 30 3 4 7" xfId="18605" xr:uid="{00000000-0005-0000-0000-00001C820000}"/>
    <cellStyle name="Normal 30 3 4 7 2" xfId="35995" xr:uid="{00000000-0005-0000-0000-00001D820000}"/>
    <cellStyle name="Normal 30 3 4 8" xfId="18606" xr:uid="{00000000-0005-0000-0000-00001E820000}"/>
    <cellStyle name="Normal 30 3 4 8 2" xfId="35996" xr:uid="{00000000-0005-0000-0000-00001F820000}"/>
    <cellStyle name="Normal 30 3 4 9" xfId="18607" xr:uid="{00000000-0005-0000-0000-000020820000}"/>
    <cellStyle name="Normal 30 3 4 9 2" xfId="35997" xr:uid="{00000000-0005-0000-0000-000021820000}"/>
    <cellStyle name="Normal 30 3 5" xfId="18608" xr:uid="{00000000-0005-0000-0000-000022820000}"/>
    <cellStyle name="Normal 30 3 5 10" xfId="18609" xr:uid="{00000000-0005-0000-0000-000023820000}"/>
    <cellStyle name="Normal 30 3 5 10 2" xfId="35999" xr:uid="{00000000-0005-0000-0000-000024820000}"/>
    <cellStyle name="Normal 30 3 5 11" xfId="18610" xr:uid="{00000000-0005-0000-0000-000025820000}"/>
    <cellStyle name="Normal 30 3 5 11 2" xfId="36000" xr:uid="{00000000-0005-0000-0000-000026820000}"/>
    <cellStyle name="Normal 30 3 5 12" xfId="18611" xr:uid="{00000000-0005-0000-0000-000027820000}"/>
    <cellStyle name="Normal 30 3 5 12 2" xfId="36001" xr:uid="{00000000-0005-0000-0000-000028820000}"/>
    <cellStyle name="Normal 30 3 5 13" xfId="18612" xr:uid="{00000000-0005-0000-0000-000029820000}"/>
    <cellStyle name="Normal 30 3 5 13 2" xfId="36002" xr:uid="{00000000-0005-0000-0000-00002A820000}"/>
    <cellStyle name="Normal 30 3 5 14" xfId="18613" xr:uid="{00000000-0005-0000-0000-00002B820000}"/>
    <cellStyle name="Normal 30 3 5 14 2" xfId="36003" xr:uid="{00000000-0005-0000-0000-00002C820000}"/>
    <cellStyle name="Normal 30 3 5 15" xfId="35998" xr:uid="{00000000-0005-0000-0000-00002D820000}"/>
    <cellStyle name="Normal 30 3 5 2" xfId="18614" xr:uid="{00000000-0005-0000-0000-00002E820000}"/>
    <cellStyle name="Normal 30 3 5 2 2" xfId="36004" xr:uid="{00000000-0005-0000-0000-00002F820000}"/>
    <cellStyle name="Normal 30 3 5 3" xfId="18615" xr:uid="{00000000-0005-0000-0000-000030820000}"/>
    <cellStyle name="Normal 30 3 5 3 2" xfId="36005" xr:uid="{00000000-0005-0000-0000-000031820000}"/>
    <cellStyle name="Normal 30 3 5 4" xfId="18616" xr:uid="{00000000-0005-0000-0000-000032820000}"/>
    <cellStyle name="Normal 30 3 5 4 2" xfId="36006" xr:uid="{00000000-0005-0000-0000-000033820000}"/>
    <cellStyle name="Normal 30 3 5 5" xfId="18617" xr:uid="{00000000-0005-0000-0000-000034820000}"/>
    <cellStyle name="Normal 30 3 5 5 2" xfId="36007" xr:uid="{00000000-0005-0000-0000-000035820000}"/>
    <cellStyle name="Normal 30 3 5 6" xfId="18618" xr:uid="{00000000-0005-0000-0000-000036820000}"/>
    <cellStyle name="Normal 30 3 5 6 2" xfId="36008" xr:uid="{00000000-0005-0000-0000-000037820000}"/>
    <cellStyle name="Normal 30 3 5 7" xfId="18619" xr:uid="{00000000-0005-0000-0000-000038820000}"/>
    <cellStyle name="Normal 30 3 5 7 2" xfId="36009" xr:uid="{00000000-0005-0000-0000-000039820000}"/>
    <cellStyle name="Normal 30 3 5 8" xfId="18620" xr:uid="{00000000-0005-0000-0000-00003A820000}"/>
    <cellStyle name="Normal 30 3 5 8 2" xfId="36010" xr:uid="{00000000-0005-0000-0000-00003B820000}"/>
    <cellStyle name="Normal 30 3 5 9" xfId="18621" xr:uid="{00000000-0005-0000-0000-00003C820000}"/>
    <cellStyle name="Normal 30 3 5 9 2" xfId="36011" xr:uid="{00000000-0005-0000-0000-00003D820000}"/>
    <cellStyle name="Normal 30 3 6" xfId="18622" xr:uid="{00000000-0005-0000-0000-00003E820000}"/>
    <cellStyle name="Normal 30 3 6 10" xfId="18623" xr:uid="{00000000-0005-0000-0000-00003F820000}"/>
    <cellStyle name="Normal 30 3 6 10 2" xfId="36013" xr:uid="{00000000-0005-0000-0000-000040820000}"/>
    <cellStyle name="Normal 30 3 6 11" xfId="18624" xr:uid="{00000000-0005-0000-0000-000041820000}"/>
    <cellStyle name="Normal 30 3 6 11 2" xfId="36014" xr:uid="{00000000-0005-0000-0000-000042820000}"/>
    <cellStyle name="Normal 30 3 6 12" xfId="18625" xr:uid="{00000000-0005-0000-0000-000043820000}"/>
    <cellStyle name="Normal 30 3 6 12 2" xfId="36015" xr:uid="{00000000-0005-0000-0000-000044820000}"/>
    <cellStyle name="Normal 30 3 6 13" xfId="18626" xr:uid="{00000000-0005-0000-0000-000045820000}"/>
    <cellStyle name="Normal 30 3 6 13 2" xfId="36016" xr:uid="{00000000-0005-0000-0000-000046820000}"/>
    <cellStyle name="Normal 30 3 6 14" xfId="18627" xr:uid="{00000000-0005-0000-0000-000047820000}"/>
    <cellStyle name="Normal 30 3 6 14 2" xfId="36017" xr:uid="{00000000-0005-0000-0000-000048820000}"/>
    <cellStyle name="Normal 30 3 6 15" xfId="36012" xr:uid="{00000000-0005-0000-0000-000049820000}"/>
    <cellStyle name="Normal 30 3 6 2" xfId="18628" xr:uid="{00000000-0005-0000-0000-00004A820000}"/>
    <cellStyle name="Normal 30 3 6 2 2" xfId="36018" xr:uid="{00000000-0005-0000-0000-00004B820000}"/>
    <cellStyle name="Normal 30 3 6 3" xfId="18629" xr:uid="{00000000-0005-0000-0000-00004C820000}"/>
    <cellStyle name="Normal 30 3 6 3 2" xfId="36019" xr:uid="{00000000-0005-0000-0000-00004D820000}"/>
    <cellStyle name="Normal 30 3 6 4" xfId="18630" xr:uid="{00000000-0005-0000-0000-00004E820000}"/>
    <cellStyle name="Normal 30 3 6 4 2" xfId="36020" xr:uid="{00000000-0005-0000-0000-00004F820000}"/>
    <cellStyle name="Normal 30 3 6 5" xfId="18631" xr:uid="{00000000-0005-0000-0000-000050820000}"/>
    <cellStyle name="Normal 30 3 6 5 2" xfId="36021" xr:uid="{00000000-0005-0000-0000-000051820000}"/>
    <cellStyle name="Normal 30 3 6 6" xfId="18632" xr:uid="{00000000-0005-0000-0000-000052820000}"/>
    <cellStyle name="Normal 30 3 6 6 2" xfId="36022" xr:uid="{00000000-0005-0000-0000-000053820000}"/>
    <cellStyle name="Normal 30 3 6 7" xfId="18633" xr:uid="{00000000-0005-0000-0000-000054820000}"/>
    <cellStyle name="Normal 30 3 6 7 2" xfId="36023" xr:uid="{00000000-0005-0000-0000-000055820000}"/>
    <cellStyle name="Normal 30 3 6 8" xfId="18634" xr:uid="{00000000-0005-0000-0000-000056820000}"/>
    <cellStyle name="Normal 30 3 6 8 2" xfId="36024" xr:uid="{00000000-0005-0000-0000-000057820000}"/>
    <cellStyle name="Normal 30 3 6 9" xfId="18635" xr:uid="{00000000-0005-0000-0000-000058820000}"/>
    <cellStyle name="Normal 30 3 6 9 2" xfId="36025" xr:uid="{00000000-0005-0000-0000-000059820000}"/>
    <cellStyle name="Normal 30 3 7" xfId="18636" xr:uid="{00000000-0005-0000-0000-00005A820000}"/>
    <cellStyle name="Normal 30 3 7 10" xfId="18637" xr:uid="{00000000-0005-0000-0000-00005B820000}"/>
    <cellStyle name="Normal 30 3 7 10 2" xfId="36027" xr:uid="{00000000-0005-0000-0000-00005C820000}"/>
    <cellStyle name="Normal 30 3 7 11" xfId="18638" xr:uid="{00000000-0005-0000-0000-00005D820000}"/>
    <cellStyle name="Normal 30 3 7 11 2" xfId="36028" xr:uid="{00000000-0005-0000-0000-00005E820000}"/>
    <cellStyle name="Normal 30 3 7 12" xfId="18639" xr:uid="{00000000-0005-0000-0000-00005F820000}"/>
    <cellStyle name="Normal 30 3 7 12 2" xfId="36029" xr:uid="{00000000-0005-0000-0000-000060820000}"/>
    <cellStyle name="Normal 30 3 7 13" xfId="18640" xr:uid="{00000000-0005-0000-0000-000061820000}"/>
    <cellStyle name="Normal 30 3 7 13 2" xfId="36030" xr:uid="{00000000-0005-0000-0000-000062820000}"/>
    <cellStyle name="Normal 30 3 7 14" xfId="18641" xr:uid="{00000000-0005-0000-0000-000063820000}"/>
    <cellStyle name="Normal 30 3 7 14 2" xfId="36031" xr:uid="{00000000-0005-0000-0000-000064820000}"/>
    <cellStyle name="Normal 30 3 7 15" xfId="36026" xr:uid="{00000000-0005-0000-0000-000065820000}"/>
    <cellStyle name="Normal 30 3 7 2" xfId="18642" xr:uid="{00000000-0005-0000-0000-000066820000}"/>
    <cellStyle name="Normal 30 3 7 2 2" xfId="36032" xr:uid="{00000000-0005-0000-0000-000067820000}"/>
    <cellStyle name="Normal 30 3 7 3" xfId="18643" xr:uid="{00000000-0005-0000-0000-000068820000}"/>
    <cellStyle name="Normal 30 3 7 3 2" xfId="36033" xr:uid="{00000000-0005-0000-0000-000069820000}"/>
    <cellStyle name="Normal 30 3 7 4" xfId="18644" xr:uid="{00000000-0005-0000-0000-00006A820000}"/>
    <cellStyle name="Normal 30 3 7 4 2" xfId="36034" xr:uid="{00000000-0005-0000-0000-00006B820000}"/>
    <cellStyle name="Normal 30 3 7 5" xfId="18645" xr:uid="{00000000-0005-0000-0000-00006C820000}"/>
    <cellStyle name="Normal 30 3 7 5 2" xfId="36035" xr:uid="{00000000-0005-0000-0000-00006D820000}"/>
    <cellStyle name="Normal 30 3 7 6" xfId="18646" xr:uid="{00000000-0005-0000-0000-00006E820000}"/>
    <cellStyle name="Normal 30 3 7 6 2" xfId="36036" xr:uid="{00000000-0005-0000-0000-00006F820000}"/>
    <cellStyle name="Normal 30 3 7 7" xfId="18647" xr:uid="{00000000-0005-0000-0000-000070820000}"/>
    <cellStyle name="Normal 30 3 7 7 2" xfId="36037" xr:uid="{00000000-0005-0000-0000-000071820000}"/>
    <cellStyle name="Normal 30 3 7 8" xfId="18648" xr:uid="{00000000-0005-0000-0000-000072820000}"/>
    <cellStyle name="Normal 30 3 7 8 2" xfId="36038" xr:uid="{00000000-0005-0000-0000-000073820000}"/>
    <cellStyle name="Normal 30 3 7 9" xfId="18649" xr:uid="{00000000-0005-0000-0000-000074820000}"/>
    <cellStyle name="Normal 30 3 7 9 2" xfId="36039" xr:uid="{00000000-0005-0000-0000-000075820000}"/>
    <cellStyle name="Normal 30 3 8" xfId="18650" xr:uid="{00000000-0005-0000-0000-000076820000}"/>
    <cellStyle name="Normal 30 3 8 10" xfId="18651" xr:uid="{00000000-0005-0000-0000-000077820000}"/>
    <cellStyle name="Normal 30 3 8 10 2" xfId="36041" xr:uid="{00000000-0005-0000-0000-000078820000}"/>
    <cellStyle name="Normal 30 3 8 11" xfId="18652" xr:uid="{00000000-0005-0000-0000-000079820000}"/>
    <cellStyle name="Normal 30 3 8 11 2" xfId="36042" xr:uid="{00000000-0005-0000-0000-00007A820000}"/>
    <cellStyle name="Normal 30 3 8 12" xfId="18653" xr:uid="{00000000-0005-0000-0000-00007B820000}"/>
    <cellStyle name="Normal 30 3 8 12 2" xfId="36043" xr:uid="{00000000-0005-0000-0000-00007C820000}"/>
    <cellStyle name="Normal 30 3 8 13" xfId="18654" xr:uid="{00000000-0005-0000-0000-00007D820000}"/>
    <cellStyle name="Normal 30 3 8 13 2" xfId="36044" xr:uid="{00000000-0005-0000-0000-00007E820000}"/>
    <cellStyle name="Normal 30 3 8 14" xfId="18655" xr:uid="{00000000-0005-0000-0000-00007F820000}"/>
    <cellStyle name="Normal 30 3 8 14 2" xfId="36045" xr:uid="{00000000-0005-0000-0000-000080820000}"/>
    <cellStyle name="Normal 30 3 8 15" xfId="36040" xr:uid="{00000000-0005-0000-0000-000081820000}"/>
    <cellStyle name="Normal 30 3 8 2" xfId="18656" xr:uid="{00000000-0005-0000-0000-000082820000}"/>
    <cellStyle name="Normal 30 3 8 2 2" xfId="36046" xr:uid="{00000000-0005-0000-0000-000083820000}"/>
    <cellStyle name="Normal 30 3 8 3" xfId="18657" xr:uid="{00000000-0005-0000-0000-000084820000}"/>
    <cellStyle name="Normal 30 3 8 3 2" xfId="36047" xr:uid="{00000000-0005-0000-0000-000085820000}"/>
    <cellStyle name="Normal 30 3 8 4" xfId="18658" xr:uid="{00000000-0005-0000-0000-000086820000}"/>
    <cellStyle name="Normal 30 3 8 4 2" xfId="36048" xr:uid="{00000000-0005-0000-0000-000087820000}"/>
    <cellStyle name="Normal 30 3 8 5" xfId="18659" xr:uid="{00000000-0005-0000-0000-000088820000}"/>
    <cellStyle name="Normal 30 3 8 5 2" xfId="36049" xr:uid="{00000000-0005-0000-0000-000089820000}"/>
    <cellStyle name="Normal 30 3 8 6" xfId="18660" xr:uid="{00000000-0005-0000-0000-00008A820000}"/>
    <cellStyle name="Normal 30 3 8 6 2" xfId="36050" xr:uid="{00000000-0005-0000-0000-00008B820000}"/>
    <cellStyle name="Normal 30 3 8 7" xfId="18661" xr:uid="{00000000-0005-0000-0000-00008C820000}"/>
    <cellStyle name="Normal 30 3 8 7 2" xfId="36051" xr:uid="{00000000-0005-0000-0000-00008D820000}"/>
    <cellStyle name="Normal 30 3 8 8" xfId="18662" xr:uid="{00000000-0005-0000-0000-00008E820000}"/>
    <cellStyle name="Normal 30 3 8 8 2" xfId="36052" xr:uid="{00000000-0005-0000-0000-00008F820000}"/>
    <cellStyle name="Normal 30 3 8 9" xfId="18663" xr:uid="{00000000-0005-0000-0000-000090820000}"/>
    <cellStyle name="Normal 30 3 8 9 2" xfId="36053" xr:uid="{00000000-0005-0000-0000-000091820000}"/>
    <cellStyle name="Normal 30 3 9" xfId="18664" xr:uid="{00000000-0005-0000-0000-000092820000}"/>
    <cellStyle name="Normal 30 3 9 10" xfId="18665" xr:uid="{00000000-0005-0000-0000-000093820000}"/>
    <cellStyle name="Normal 30 3 9 10 2" xfId="36055" xr:uid="{00000000-0005-0000-0000-000094820000}"/>
    <cellStyle name="Normal 30 3 9 11" xfId="18666" xr:uid="{00000000-0005-0000-0000-000095820000}"/>
    <cellStyle name="Normal 30 3 9 11 2" xfId="36056" xr:uid="{00000000-0005-0000-0000-000096820000}"/>
    <cellStyle name="Normal 30 3 9 12" xfId="18667" xr:uid="{00000000-0005-0000-0000-000097820000}"/>
    <cellStyle name="Normal 30 3 9 12 2" xfId="36057" xr:uid="{00000000-0005-0000-0000-000098820000}"/>
    <cellStyle name="Normal 30 3 9 13" xfId="18668" xr:uid="{00000000-0005-0000-0000-000099820000}"/>
    <cellStyle name="Normal 30 3 9 13 2" xfId="36058" xr:uid="{00000000-0005-0000-0000-00009A820000}"/>
    <cellStyle name="Normal 30 3 9 14" xfId="18669" xr:uid="{00000000-0005-0000-0000-00009B820000}"/>
    <cellStyle name="Normal 30 3 9 14 2" xfId="36059" xr:uid="{00000000-0005-0000-0000-00009C820000}"/>
    <cellStyle name="Normal 30 3 9 15" xfId="36054" xr:uid="{00000000-0005-0000-0000-00009D820000}"/>
    <cellStyle name="Normal 30 3 9 2" xfId="18670" xr:uid="{00000000-0005-0000-0000-00009E820000}"/>
    <cellStyle name="Normal 30 3 9 2 2" xfId="36060" xr:uid="{00000000-0005-0000-0000-00009F820000}"/>
    <cellStyle name="Normal 30 3 9 3" xfId="18671" xr:uid="{00000000-0005-0000-0000-0000A0820000}"/>
    <cellStyle name="Normal 30 3 9 3 2" xfId="36061" xr:uid="{00000000-0005-0000-0000-0000A1820000}"/>
    <cellStyle name="Normal 30 3 9 4" xfId="18672" xr:uid="{00000000-0005-0000-0000-0000A2820000}"/>
    <cellStyle name="Normal 30 3 9 4 2" xfId="36062" xr:uid="{00000000-0005-0000-0000-0000A3820000}"/>
    <cellStyle name="Normal 30 3 9 5" xfId="18673" xr:uid="{00000000-0005-0000-0000-0000A4820000}"/>
    <cellStyle name="Normal 30 3 9 5 2" xfId="36063" xr:uid="{00000000-0005-0000-0000-0000A5820000}"/>
    <cellStyle name="Normal 30 3 9 6" xfId="18674" xr:uid="{00000000-0005-0000-0000-0000A6820000}"/>
    <cellStyle name="Normal 30 3 9 6 2" xfId="36064" xr:uid="{00000000-0005-0000-0000-0000A7820000}"/>
    <cellStyle name="Normal 30 3 9 7" xfId="18675" xr:uid="{00000000-0005-0000-0000-0000A8820000}"/>
    <cellStyle name="Normal 30 3 9 7 2" xfId="36065" xr:uid="{00000000-0005-0000-0000-0000A9820000}"/>
    <cellStyle name="Normal 30 3 9 8" xfId="18676" xr:uid="{00000000-0005-0000-0000-0000AA820000}"/>
    <cellStyle name="Normal 30 3 9 8 2" xfId="36066" xr:uid="{00000000-0005-0000-0000-0000AB820000}"/>
    <cellStyle name="Normal 30 3 9 9" xfId="18677" xr:uid="{00000000-0005-0000-0000-0000AC820000}"/>
    <cellStyle name="Normal 30 3 9 9 2" xfId="36067" xr:uid="{00000000-0005-0000-0000-0000AD820000}"/>
    <cellStyle name="Normal 30 4" xfId="18678" xr:uid="{00000000-0005-0000-0000-0000AE820000}"/>
    <cellStyle name="Normal 30 5" xfId="18679" xr:uid="{00000000-0005-0000-0000-0000AF820000}"/>
    <cellStyle name="Normal 30 6" xfId="18680" xr:uid="{00000000-0005-0000-0000-0000B0820000}"/>
    <cellStyle name="Normal 30 7" xfId="18681" xr:uid="{00000000-0005-0000-0000-0000B1820000}"/>
    <cellStyle name="Normal 30 8" xfId="18682" xr:uid="{00000000-0005-0000-0000-0000B2820000}"/>
    <cellStyle name="Normal 30 8 10" xfId="18683" xr:uid="{00000000-0005-0000-0000-0000B3820000}"/>
    <cellStyle name="Normal 30 8 10 10" xfId="18684" xr:uid="{00000000-0005-0000-0000-0000B4820000}"/>
    <cellStyle name="Normal 30 8 10 10 2" xfId="36070" xr:uid="{00000000-0005-0000-0000-0000B5820000}"/>
    <cellStyle name="Normal 30 8 10 11" xfId="18685" xr:uid="{00000000-0005-0000-0000-0000B6820000}"/>
    <cellStyle name="Normal 30 8 10 11 2" xfId="36071" xr:uid="{00000000-0005-0000-0000-0000B7820000}"/>
    <cellStyle name="Normal 30 8 10 12" xfId="18686" xr:uid="{00000000-0005-0000-0000-0000B8820000}"/>
    <cellStyle name="Normal 30 8 10 12 2" xfId="36072" xr:uid="{00000000-0005-0000-0000-0000B9820000}"/>
    <cellStyle name="Normal 30 8 10 13" xfId="18687" xr:uid="{00000000-0005-0000-0000-0000BA820000}"/>
    <cellStyle name="Normal 30 8 10 13 2" xfId="36073" xr:uid="{00000000-0005-0000-0000-0000BB820000}"/>
    <cellStyle name="Normal 30 8 10 14" xfId="18688" xr:uid="{00000000-0005-0000-0000-0000BC820000}"/>
    <cellStyle name="Normal 30 8 10 14 2" xfId="36074" xr:uid="{00000000-0005-0000-0000-0000BD820000}"/>
    <cellStyle name="Normal 30 8 10 15" xfId="36069" xr:uid="{00000000-0005-0000-0000-0000BE820000}"/>
    <cellStyle name="Normal 30 8 10 2" xfId="18689" xr:uid="{00000000-0005-0000-0000-0000BF820000}"/>
    <cellStyle name="Normal 30 8 10 2 2" xfId="36075" xr:uid="{00000000-0005-0000-0000-0000C0820000}"/>
    <cellStyle name="Normal 30 8 10 3" xfId="18690" xr:uid="{00000000-0005-0000-0000-0000C1820000}"/>
    <cellStyle name="Normal 30 8 10 3 2" xfId="36076" xr:uid="{00000000-0005-0000-0000-0000C2820000}"/>
    <cellStyle name="Normal 30 8 10 4" xfId="18691" xr:uid="{00000000-0005-0000-0000-0000C3820000}"/>
    <cellStyle name="Normal 30 8 10 4 2" xfId="36077" xr:uid="{00000000-0005-0000-0000-0000C4820000}"/>
    <cellStyle name="Normal 30 8 10 5" xfId="18692" xr:uid="{00000000-0005-0000-0000-0000C5820000}"/>
    <cellStyle name="Normal 30 8 10 5 2" xfId="36078" xr:uid="{00000000-0005-0000-0000-0000C6820000}"/>
    <cellStyle name="Normal 30 8 10 6" xfId="18693" xr:uid="{00000000-0005-0000-0000-0000C7820000}"/>
    <cellStyle name="Normal 30 8 10 6 2" xfId="36079" xr:uid="{00000000-0005-0000-0000-0000C8820000}"/>
    <cellStyle name="Normal 30 8 10 7" xfId="18694" xr:uid="{00000000-0005-0000-0000-0000C9820000}"/>
    <cellStyle name="Normal 30 8 10 7 2" xfId="36080" xr:uid="{00000000-0005-0000-0000-0000CA820000}"/>
    <cellStyle name="Normal 30 8 10 8" xfId="18695" xr:uid="{00000000-0005-0000-0000-0000CB820000}"/>
    <cellStyle name="Normal 30 8 10 8 2" xfId="36081" xr:uid="{00000000-0005-0000-0000-0000CC820000}"/>
    <cellStyle name="Normal 30 8 10 9" xfId="18696" xr:uid="{00000000-0005-0000-0000-0000CD820000}"/>
    <cellStyle name="Normal 30 8 10 9 2" xfId="36082" xr:uid="{00000000-0005-0000-0000-0000CE820000}"/>
    <cellStyle name="Normal 30 8 11" xfId="18697" xr:uid="{00000000-0005-0000-0000-0000CF820000}"/>
    <cellStyle name="Normal 30 8 11 10" xfId="18698" xr:uid="{00000000-0005-0000-0000-0000D0820000}"/>
    <cellStyle name="Normal 30 8 11 10 2" xfId="36084" xr:uid="{00000000-0005-0000-0000-0000D1820000}"/>
    <cellStyle name="Normal 30 8 11 11" xfId="18699" xr:uid="{00000000-0005-0000-0000-0000D2820000}"/>
    <cellStyle name="Normal 30 8 11 11 2" xfId="36085" xr:uid="{00000000-0005-0000-0000-0000D3820000}"/>
    <cellStyle name="Normal 30 8 11 12" xfId="18700" xr:uid="{00000000-0005-0000-0000-0000D4820000}"/>
    <cellStyle name="Normal 30 8 11 12 2" xfId="36086" xr:uid="{00000000-0005-0000-0000-0000D5820000}"/>
    <cellStyle name="Normal 30 8 11 13" xfId="18701" xr:uid="{00000000-0005-0000-0000-0000D6820000}"/>
    <cellStyle name="Normal 30 8 11 13 2" xfId="36087" xr:uid="{00000000-0005-0000-0000-0000D7820000}"/>
    <cellStyle name="Normal 30 8 11 14" xfId="18702" xr:uid="{00000000-0005-0000-0000-0000D8820000}"/>
    <cellStyle name="Normal 30 8 11 14 2" xfId="36088" xr:uid="{00000000-0005-0000-0000-0000D9820000}"/>
    <cellStyle name="Normal 30 8 11 15" xfId="36083" xr:uid="{00000000-0005-0000-0000-0000DA820000}"/>
    <cellStyle name="Normal 30 8 11 2" xfId="18703" xr:uid="{00000000-0005-0000-0000-0000DB820000}"/>
    <cellStyle name="Normal 30 8 11 2 2" xfId="36089" xr:uid="{00000000-0005-0000-0000-0000DC820000}"/>
    <cellStyle name="Normal 30 8 11 3" xfId="18704" xr:uid="{00000000-0005-0000-0000-0000DD820000}"/>
    <cellStyle name="Normal 30 8 11 3 2" xfId="36090" xr:uid="{00000000-0005-0000-0000-0000DE820000}"/>
    <cellStyle name="Normal 30 8 11 4" xfId="18705" xr:uid="{00000000-0005-0000-0000-0000DF820000}"/>
    <cellStyle name="Normal 30 8 11 4 2" xfId="36091" xr:uid="{00000000-0005-0000-0000-0000E0820000}"/>
    <cellStyle name="Normal 30 8 11 5" xfId="18706" xr:uid="{00000000-0005-0000-0000-0000E1820000}"/>
    <cellStyle name="Normal 30 8 11 5 2" xfId="36092" xr:uid="{00000000-0005-0000-0000-0000E2820000}"/>
    <cellStyle name="Normal 30 8 11 6" xfId="18707" xr:uid="{00000000-0005-0000-0000-0000E3820000}"/>
    <cellStyle name="Normal 30 8 11 6 2" xfId="36093" xr:uid="{00000000-0005-0000-0000-0000E4820000}"/>
    <cellStyle name="Normal 30 8 11 7" xfId="18708" xr:uid="{00000000-0005-0000-0000-0000E5820000}"/>
    <cellStyle name="Normal 30 8 11 7 2" xfId="36094" xr:uid="{00000000-0005-0000-0000-0000E6820000}"/>
    <cellStyle name="Normal 30 8 11 8" xfId="18709" xr:uid="{00000000-0005-0000-0000-0000E7820000}"/>
    <cellStyle name="Normal 30 8 11 8 2" xfId="36095" xr:uid="{00000000-0005-0000-0000-0000E8820000}"/>
    <cellStyle name="Normal 30 8 11 9" xfId="18710" xr:uid="{00000000-0005-0000-0000-0000E9820000}"/>
    <cellStyle name="Normal 30 8 11 9 2" xfId="36096" xr:uid="{00000000-0005-0000-0000-0000EA820000}"/>
    <cellStyle name="Normal 30 8 12" xfId="18711" xr:uid="{00000000-0005-0000-0000-0000EB820000}"/>
    <cellStyle name="Normal 30 8 12 10" xfId="18712" xr:uid="{00000000-0005-0000-0000-0000EC820000}"/>
    <cellStyle name="Normal 30 8 12 10 2" xfId="36098" xr:uid="{00000000-0005-0000-0000-0000ED820000}"/>
    <cellStyle name="Normal 30 8 12 11" xfId="18713" xr:uid="{00000000-0005-0000-0000-0000EE820000}"/>
    <cellStyle name="Normal 30 8 12 11 2" xfId="36099" xr:uid="{00000000-0005-0000-0000-0000EF820000}"/>
    <cellStyle name="Normal 30 8 12 12" xfId="18714" xr:uid="{00000000-0005-0000-0000-0000F0820000}"/>
    <cellStyle name="Normal 30 8 12 12 2" xfId="36100" xr:uid="{00000000-0005-0000-0000-0000F1820000}"/>
    <cellStyle name="Normal 30 8 12 13" xfId="18715" xr:uid="{00000000-0005-0000-0000-0000F2820000}"/>
    <cellStyle name="Normal 30 8 12 13 2" xfId="36101" xr:uid="{00000000-0005-0000-0000-0000F3820000}"/>
    <cellStyle name="Normal 30 8 12 14" xfId="18716" xr:uid="{00000000-0005-0000-0000-0000F4820000}"/>
    <cellStyle name="Normal 30 8 12 14 2" xfId="36102" xr:uid="{00000000-0005-0000-0000-0000F5820000}"/>
    <cellStyle name="Normal 30 8 12 15" xfId="36097" xr:uid="{00000000-0005-0000-0000-0000F6820000}"/>
    <cellStyle name="Normal 30 8 12 2" xfId="18717" xr:uid="{00000000-0005-0000-0000-0000F7820000}"/>
    <cellStyle name="Normal 30 8 12 2 2" xfId="36103" xr:uid="{00000000-0005-0000-0000-0000F8820000}"/>
    <cellStyle name="Normal 30 8 12 3" xfId="18718" xr:uid="{00000000-0005-0000-0000-0000F9820000}"/>
    <cellStyle name="Normal 30 8 12 3 2" xfId="36104" xr:uid="{00000000-0005-0000-0000-0000FA820000}"/>
    <cellStyle name="Normal 30 8 12 4" xfId="18719" xr:uid="{00000000-0005-0000-0000-0000FB820000}"/>
    <cellStyle name="Normal 30 8 12 4 2" xfId="36105" xr:uid="{00000000-0005-0000-0000-0000FC820000}"/>
    <cellStyle name="Normal 30 8 12 5" xfId="18720" xr:uid="{00000000-0005-0000-0000-0000FD820000}"/>
    <cellStyle name="Normal 30 8 12 5 2" xfId="36106" xr:uid="{00000000-0005-0000-0000-0000FE820000}"/>
    <cellStyle name="Normal 30 8 12 6" xfId="18721" xr:uid="{00000000-0005-0000-0000-0000FF820000}"/>
    <cellStyle name="Normal 30 8 12 6 2" xfId="36107" xr:uid="{00000000-0005-0000-0000-000000830000}"/>
    <cellStyle name="Normal 30 8 12 7" xfId="18722" xr:uid="{00000000-0005-0000-0000-000001830000}"/>
    <cellStyle name="Normal 30 8 12 7 2" xfId="36108" xr:uid="{00000000-0005-0000-0000-000002830000}"/>
    <cellStyle name="Normal 30 8 12 8" xfId="18723" xr:uid="{00000000-0005-0000-0000-000003830000}"/>
    <cellStyle name="Normal 30 8 12 8 2" xfId="36109" xr:uid="{00000000-0005-0000-0000-000004830000}"/>
    <cellStyle name="Normal 30 8 12 9" xfId="18724" xr:uid="{00000000-0005-0000-0000-000005830000}"/>
    <cellStyle name="Normal 30 8 12 9 2" xfId="36110" xr:uid="{00000000-0005-0000-0000-000006830000}"/>
    <cellStyle name="Normal 30 8 13" xfId="18725" xr:uid="{00000000-0005-0000-0000-000007830000}"/>
    <cellStyle name="Normal 30 8 13 10" xfId="18726" xr:uid="{00000000-0005-0000-0000-000008830000}"/>
    <cellStyle name="Normal 30 8 13 10 2" xfId="36112" xr:uid="{00000000-0005-0000-0000-000009830000}"/>
    <cellStyle name="Normal 30 8 13 11" xfId="18727" xr:uid="{00000000-0005-0000-0000-00000A830000}"/>
    <cellStyle name="Normal 30 8 13 11 2" xfId="36113" xr:uid="{00000000-0005-0000-0000-00000B830000}"/>
    <cellStyle name="Normal 30 8 13 12" xfId="18728" xr:uid="{00000000-0005-0000-0000-00000C830000}"/>
    <cellStyle name="Normal 30 8 13 12 2" xfId="36114" xr:uid="{00000000-0005-0000-0000-00000D830000}"/>
    <cellStyle name="Normal 30 8 13 13" xfId="18729" xr:uid="{00000000-0005-0000-0000-00000E830000}"/>
    <cellStyle name="Normal 30 8 13 13 2" xfId="36115" xr:uid="{00000000-0005-0000-0000-00000F830000}"/>
    <cellStyle name="Normal 30 8 13 14" xfId="18730" xr:uid="{00000000-0005-0000-0000-000010830000}"/>
    <cellStyle name="Normal 30 8 13 14 2" xfId="36116" xr:uid="{00000000-0005-0000-0000-000011830000}"/>
    <cellStyle name="Normal 30 8 13 15" xfId="36111" xr:uid="{00000000-0005-0000-0000-000012830000}"/>
    <cellStyle name="Normal 30 8 13 2" xfId="18731" xr:uid="{00000000-0005-0000-0000-000013830000}"/>
    <cellStyle name="Normal 30 8 13 2 2" xfId="36117" xr:uid="{00000000-0005-0000-0000-000014830000}"/>
    <cellStyle name="Normal 30 8 13 3" xfId="18732" xr:uid="{00000000-0005-0000-0000-000015830000}"/>
    <cellStyle name="Normal 30 8 13 3 2" xfId="36118" xr:uid="{00000000-0005-0000-0000-000016830000}"/>
    <cellStyle name="Normal 30 8 13 4" xfId="18733" xr:uid="{00000000-0005-0000-0000-000017830000}"/>
    <cellStyle name="Normal 30 8 13 4 2" xfId="36119" xr:uid="{00000000-0005-0000-0000-000018830000}"/>
    <cellStyle name="Normal 30 8 13 5" xfId="18734" xr:uid="{00000000-0005-0000-0000-000019830000}"/>
    <cellStyle name="Normal 30 8 13 5 2" xfId="36120" xr:uid="{00000000-0005-0000-0000-00001A830000}"/>
    <cellStyle name="Normal 30 8 13 6" xfId="18735" xr:uid="{00000000-0005-0000-0000-00001B830000}"/>
    <cellStyle name="Normal 30 8 13 6 2" xfId="36121" xr:uid="{00000000-0005-0000-0000-00001C830000}"/>
    <cellStyle name="Normal 30 8 13 7" xfId="18736" xr:uid="{00000000-0005-0000-0000-00001D830000}"/>
    <cellStyle name="Normal 30 8 13 7 2" xfId="36122" xr:uid="{00000000-0005-0000-0000-00001E830000}"/>
    <cellStyle name="Normal 30 8 13 8" xfId="18737" xr:uid="{00000000-0005-0000-0000-00001F830000}"/>
    <cellStyle name="Normal 30 8 13 8 2" xfId="36123" xr:uid="{00000000-0005-0000-0000-000020830000}"/>
    <cellStyle name="Normal 30 8 13 9" xfId="18738" xr:uid="{00000000-0005-0000-0000-000021830000}"/>
    <cellStyle name="Normal 30 8 13 9 2" xfId="36124" xr:uid="{00000000-0005-0000-0000-000022830000}"/>
    <cellStyle name="Normal 30 8 14" xfId="18739" xr:uid="{00000000-0005-0000-0000-000023830000}"/>
    <cellStyle name="Normal 30 8 14 10" xfId="18740" xr:uid="{00000000-0005-0000-0000-000024830000}"/>
    <cellStyle name="Normal 30 8 14 10 2" xfId="36126" xr:uid="{00000000-0005-0000-0000-000025830000}"/>
    <cellStyle name="Normal 30 8 14 11" xfId="18741" xr:uid="{00000000-0005-0000-0000-000026830000}"/>
    <cellStyle name="Normal 30 8 14 11 2" xfId="36127" xr:uid="{00000000-0005-0000-0000-000027830000}"/>
    <cellStyle name="Normal 30 8 14 12" xfId="18742" xr:uid="{00000000-0005-0000-0000-000028830000}"/>
    <cellStyle name="Normal 30 8 14 12 2" xfId="36128" xr:uid="{00000000-0005-0000-0000-000029830000}"/>
    <cellStyle name="Normal 30 8 14 13" xfId="18743" xr:uid="{00000000-0005-0000-0000-00002A830000}"/>
    <cellStyle name="Normal 30 8 14 13 2" xfId="36129" xr:uid="{00000000-0005-0000-0000-00002B830000}"/>
    <cellStyle name="Normal 30 8 14 14" xfId="18744" xr:uid="{00000000-0005-0000-0000-00002C830000}"/>
    <cellStyle name="Normal 30 8 14 14 2" xfId="36130" xr:uid="{00000000-0005-0000-0000-00002D830000}"/>
    <cellStyle name="Normal 30 8 14 15" xfId="36125" xr:uid="{00000000-0005-0000-0000-00002E830000}"/>
    <cellStyle name="Normal 30 8 14 2" xfId="18745" xr:uid="{00000000-0005-0000-0000-00002F830000}"/>
    <cellStyle name="Normal 30 8 14 2 2" xfId="36131" xr:uid="{00000000-0005-0000-0000-000030830000}"/>
    <cellStyle name="Normal 30 8 14 3" xfId="18746" xr:uid="{00000000-0005-0000-0000-000031830000}"/>
    <cellStyle name="Normal 30 8 14 3 2" xfId="36132" xr:uid="{00000000-0005-0000-0000-000032830000}"/>
    <cellStyle name="Normal 30 8 14 4" xfId="18747" xr:uid="{00000000-0005-0000-0000-000033830000}"/>
    <cellStyle name="Normal 30 8 14 4 2" xfId="36133" xr:uid="{00000000-0005-0000-0000-000034830000}"/>
    <cellStyle name="Normal 30 8 14 5" xfId="18748" xr:uid="{00000000-0005-0000-0000-000035830000}"/>
    <cellStyle name="Normal 30 8 14 5 2" xfId="36134" xr:uid="{00000000-0005-0000-0000-000036830000}"/>
    <cellStyle name="Normal 30 8 14 6" xfId="18749" xr:uid="{00000000-0005-0000-0000-000037830000}"/>
    <cellStyle name="Normal 30 8 14 6 2" xfId="36135" xr:uid="{00000000-0005-0000-0000-000038830000}"/>
    <cellStyle name="Normal 30 8 14 7" xfId="18750" xr:uid="{00000000-0005-0000-0000-000039830000}"/>
    <cellStyle name="Normal 30 8 14 7 2" xfId="36136" xr:uid="{00000000-0005-0000-0000-00003A830000}"/>
    <cellStyle name="Normal 30 8 14 8" xfId="18751" xr:uid="{00000000-0005-0000-0000-00003B830000}"/>
    <cellStyle name="Normal 30 8 14 8 2" xfId="36137" xr:uid="{00000000-0005-0000-0000-00003C830000}"/>
    <cellStyle name="Normal 30 8 14 9" xfId="18752" xr:uid="{00000000-0005-0000-0000-00003D830000}"/>
    <cellStyle name="Normal 30 8 14 9 2" xfId="36138" xr:uid="{00000000-0005-0000-0000-00003E830000}"/>
    <cellStyle name="Normal 30 8 15" xfId="18753" xr:uid="{00000000-0005-0000-0000-00003F830000}"/>
    <cellStyle name="Normal 30 8 15 10" xfId="18754" xr:uid="{00000000-0005-0000-0000-000040830000}"/>
    <cellStyle name="Normal 30 8 15 10 2" xfId="36140" xr:uid="{00000000-0005-0000-0000-000041830000}"/>
    <cellStyle name="Normal 30 8 15 11" xfId="18755" xr:uid="{00000000-0005-0000-0000-000042830000}"/>
    <cellStyle name="Normal 30 8 15 11 2" xfId="36141" xr:uid="{00000000-0005-0000-0000-000043830000}"/>
    <cellStyle name="Normal 30 8 15 12" xfId="18756" xr:uid="{00000000-0005-0000-0000-000044830000}"/>
    <cellStyle name="Normal 30 8 15 12 2" xfId="36142" xr:uid="{00000000-0005-0000-0000-000045830000}"/>
    <cellStyle name="Normal 30 8 15 13" xfId="18757" xr:uid="{00000000-0005-0000-0000-000046830000}"/>
    <cellStyle name="Normal 30 8 15 13 2" xfId="36143" xr:uid="{00000000-0005-0000-0000-000047830000}"/>
    <cellStyle name="Normal 30 8 15 14" xfId="18758" xr:uid="{00000000-0005-0000-0000-000048830000}"/>
    <cellStyle name="Normal 30 8 15 14 2" xfId="36144" xr:uid="{00000000-0005-0000-0000-000049830000}"/>
    <cellStyle name="Normal 30 8 15 15" xfId="36139" xr:uid="{00000000-0005-0000-0000-00004A830000}"/>
    <cellStyle name="Normal 30 8 15 2" xfId="18759" xr:uid="{00000000-0005-0000-0000-00004B830000}"/>
    <cellStyle name="Normal 30 8 15 2 2" xfId="36145" xr:uid="{00000000-0005-0000-0000-00004C830000}"/>
    <cellStyle name="Normal 30 8 15 3" xfId="18760" xr:uid="{00000000-0005-0000-0000-00004D830000}"/>
    <cellStyle name="Normal 30 8 15 3 2" xfId="36146" xr:uid="{00000000-0005-0000-0000-00004E830000}"/>
    <cellStyle name="Normal 30 8 15 4" xfId="18761" xr:uid="{00000000-0005-0000-0000-00004F830000}"/>
    <cellStyle name="Normal 30 8 15 4 2" xfId="36147" xr:uid="{00000000-0005-0000-0000-000050830000}"/>
    <cellStyle name="Normal 30 8 15 5" xfId="18762" xr:uid="{00000000-0005-0000-0000-000051830000}"/>
    <cellStyle name="Normal 30 8 15 5 2" xfId="36148" xr:uid="{00000000-0005-0000-0000-000052830000}"/>
    <cellStyle name="Normal 30 8 15 6" xfId="18763" xr:uid="{00000000-0005-0000-0000-000053830000}"/>
    <cellStyle name="Normal 30 8 15 6 2" xfId="36149" xr:uid="{00000000-0005-0000-0000-000054830000}"/>
    <cellStyle name="Normal 30 8 15 7" xfId="18764" xr:uid="{00000000-0005-0000-0000-000055830000}"/>
    <cellStyle name="Normal 30 8 15 7 2" xfId="36150" xr:uid="{00000000-0005-0000-0000-000056830000}"/>
    <cellStyle name="Normal 30 8 15 8" xfId="18765" xr:uid="{00000000-0005-0000-0000-000057830000}"/>
    <cellStyle name="Normal 30 8 15 8 2" xfId="36151" xr:uid="{00000000-0005-0000-0000-000058830000}"/>
    <cellStyle name="Normal 30 8 15 9" xfId="18766" xr:uid="{00000000-0005-0000-0000-000059830000}"/>
    <cellStyle name="Normal 30 8 15 9 2" xfId="36152" xr:uid="{00000000-0005-0000-0000-00005A830000}"/>
    <cellStyle name="Normal 30 8 16" xfId="18767" xr:uid="{00000000-0005-0000-0000-00005B830000}"/>
    <cellStyle name="Normal 30 8 16 2" xfId="36153" xr:uid="{00000000-0005-0000-0000-00005C830000}"/>
    <cellStyle name="Normal 30 8 17" xfId="18768" xr:uid="{00000000-0005-0000-0000-00005D830000}"/>
    <cellStyle name="Normal 30 8 17 2" xfId="36154" xr:uid="{00000000-0005-0000-0000-00005E830000}"/>
    <cellStyle name="Normal 30 8 18" xfId="18769" xr:uid="{00000000-0005-0000-0000-00005F830000}"/>
    <cellStyle name="Normal 30 8 18 2" xfId="36155" xr:uid="{00000000-0005-0000-0000-000060830000}"/>
    <cellStyle name="Normal 30 8 19" xfId="18770" xr:uid="{00000000-0005-0000-0000-000061830000}"/>
    <cellStyle name="Normal 30 8 19 2" xfId="36156" xr:uid="{00000000-0005-0000-0000-000062830000}"/>
    <cellStyle name="Normal 30 8 2" xfId="18771" xr:uid="{00000000-0005-0000-0000-000063830000}"/>
    <cellStyle name="Normal 30 8 2 10" xfId="18772" xr:uid="{00000000-0005-0000-0000-000064830000}"/>
    <cellStyle name="Normal 30 8 2 10 2" xfId="36158" xr:uid="{00000000-0005-0000-0000-000065830000}"/>
    <cellStyle name="Normal 30 8 2 11" xfId="18773" xr:uid="{00000000-0005-0000-0000-000066830000}"/>
    <cellStyle name="Normal 30 8 2 11 2" xfId="36159" xr:uid="{00000000-0005-0000-0000-000067830000}"/>
    <cellStyle name="Normal 30 8 2 12" xfId="18774" xr:uid="{00000000-0005-0000-0000-000068830000}"/>
    <cellStyle name="Normal 30 8 2 12 2" xfId="36160" xr:uid="{00000000-0005-0000-0000-000069830000}"/>
    <cellStyle name="Normal 30 8 2 13" xfId="18775" xr:uid="{00000000-0005-0000-0000-00006A830000}"/>
    <cellStyle name="Normal 30 8 2 13 2" xfId="36161" xr:uid="{00000000-0005-0000-0000-00006B830000}"/>
    <cellStyle name="Normal 30 8 2 14" xfId="18776" xr:uid="{00000000-0005-0000-0000-00006C830000}"/>
    <cellStyle name="Normal 30 8 2 14 2" xfId="36162" xr:uid="{00000000-0005-0000-0000-00006D830000}"/>
    <cellStyle name="Normal 30 8 2 15" xfId="18777" xr:uid="{00000000-0005-0000-0000-00006E830000}"/>
    <cellStyle name="Normal 30 8 2 15 2" xfId="36163" xr:uid="{00000000-0005-0000-0000-00006F830000}"/>
    <cellStyle name="Normal 30 8 2 16" xfId="36157" xr:uid="{00000000-0005-0000-0000-000070830000}"/>
    <cellStyle name="Normal 30 8 2 2" xfId="18778" xr:uid="{00000000-0005-0000-0000-000071830000}"/>
    <cellStyle name="Normal 30 8 2 2 10" xfId="18779" xr:uid="{00000000-0005-0000-0000-000072830000}"/>
    <cellStyle name="Normal 30 8 2 2 10 2" xfId="36165" xr:uid="{00000000-0005-0000-0000-000073830000}"/>
    <cellStyle name="Normal 30 8 2 2 11" xfId="18780" xr:uid="{00000000-0005-0000-0000-000074830000}"/>
    <cellStyle name="Normal 30 8 2 2 11 2" xfId="36166" xr:uid="{00000000-0005-0000-0000-000075830000}"/>
    <cellStyle name="Normal 30 8 2 2 12" xfId="18781" xr:uid="{00000000-0005-0000-0000-000076830000}"/>
    <cellStyle name="Normal 30 8 2 2 12 2" xfId="36167" xr:uid="{00000000-0005-0000-0000-000077830000}"/>
    <cellStyle name="Normal 30 8 2 2 13" xfId="18782" xr:uid="{00000000-0005-0000-0000-000078830000}"/>
    <cellStyle name="Normal 30 8 2 2 13 2" xfId="36168" xr:uid="{00000000-0005-0000-0000-000079830000}"/>
    <cellStyle name="Normal 30 8 2 2 14" xfId="18783" xr:uid="{00000000-0005-0000-0000-00007A830000}"/>
    <cellStyle name="Normal 30 8 2 2 14 2" xfId="36169" xr:uid="{00000000-0005-0000-0000-00007B830000}"/>
    <cellStyle name="Normal 30 8 2 2 15" xfId="36164" xr:uid="{00000000-0005-0000-0000-00007C830000}"/>
    <cellStyle name="Normal 30 8 2 2 2" xfId="18784" xr:uid="{00000000-0005-0000-0000-00007D830000}"/>
    <cellStyle name="Normal 30 8 2 2 2 2" xfId="36170" xr:uid="{00000000-0005-0000-0000-00007E830000}"/>
    <cellStyle name="Normal 30 8 2 2 3" xfId="18785" xr:uid="{00000000-0005-0000-0000-00007F830000}"/>
    <cellStyle name="Normal 30 8 2 2 3 2" xfId="36171" xr:uid="{00000000-0005-0000-0000-000080830000}"/>
    <cellStyle name="Normal 30 8 2 2 4" xfId="18786" xr:uid="{00000000-0005-0000-0000-000081830000}"/>
    <cellStyle name="Normal 30 8 2 2 4 2" xfId="36172" xr:uid="{00000000-0005-0000-0000-000082830000}"/>
    <cellStyle name="Normal 30 8 2 2 5" xfId="18787" xr:uid="{00000000-0005-0000-0000-000083830000}"/>
    <cellStyle name="Normal 30 8 2 2 5 2" xfId="36173" xr:uid="{00000000-0005-0000-0000-000084830000}"/>
    <cellStyle name="Normal 30 8 2 2 6" xfId="18788" xr:uid="{00000000-0005-0000-0000-000085830000}"/>
    <cellStyle name="Normal 30 8 2 2 6 2" xfId="36174" xr:uid="{00000000-0005-0000-0000-000086830000}"/>
    <cellStyle name="Normal 30 8 2 2 7" xfId="18789" xr:uid="{00000000-0005-0000-0000-000087830000}"/>
    <cellStyle name="Normal 30 8 2 2 7 2" xfId="36175" xr:uid="{00000000-0005-0000-0000-000088830000}"/>
    <cellStyle name="Normal 30 8 2 2 8" xfId="18790" xr:uid="{00000000-0005-0000-0000-000089830000}"/>
    <cellStyle name="Normal 30 8 2 2 8 2" xfId="36176" xr:uid="{00000000-0005-0000-0000-00008A830000}"/>
    <cellStyle name="Normal 30 8 2 2 9" xfId="18791" xr:uid="{00000000-0005-0000-0000-00008B830000}"/>
    <cellStyle name="Normal 30 8 2 2 9 2" xfId="36177" xr:uid="{00000000-0005-0000-0000-00008C830000}"/>
    <cellStyle name="Normal 30 8 2 3" xfId="18792" xr:uid="{00000000-0005-0000-0000-00008D830000}"/>
    <cellStyle name="Normal 30 8 2 3 2" xfId="36178" xr:uid="{00000000-0005-0000-0000-00008E830000}"/>
    <cellStyle name="Normal 30 8 2 4" xfId="18793" xr:uid="{00000000-0005-0000-0000-00008F830000}"/>
    <cellStyle name="Normal 30 8 2 4 2" xfId="36179" xr:uid="{00000000-0005-0000-0000-000090830000}"/>
    <cellStyle name="Normal 30 8 2 5" xfId="18794" xr:uid="{00000000-0005-0000-0000-000091830000}"/>
    <cellStyle name="Normal 30 8 2 5 2" xfId="36180" xr:uid="{00000000-0005-0000-0000-000092830000}"/>
    <cellStyle name="Normal 30 8 2 6" xfId="18795" xr:uid="{00000000-0005-0000-0000-000093830000}"/>
    <cellStyle name="Normal 30 8 2 6 2" xfId="36181" xr:uid="{00000000-0005-0000-0000-000094830000}"/>
    <cellStyle name="Normal 30 8 2 7" xfId="18796" xr:uid="{00000000-0005-0000-0000-000095830000}"/>
    <cellStyle name="Normal 30 8 2 7 2" xfId="36182" xr:uid="{00000000-0005-0000-0000-000096830000}"/>
    <cellStyle name="Normal 30 8 2 8" xfId="18797" xr:uid="{00000000-0005-0000-0000-000097830000}"/>
    <cellStyle name="Normal 30 8 2 8 2" xfId="36183" xr:uid="{00000000-0005-0000-0000-000098830000}"/>
    <cellStyle name="Normal 30 8 2 9" xfId="18798" xr:uid="{00000000-0005-0000-0000-000099830000}"/>
    <cellStyle name="Normal 30 8 2 9 2" xfId="36184" xr:uid="{00000000-0005-0000-0000-00009A830000}"/>
    <cellStyle name="Normal 30 8 20" xfId="18799" xr:uid="{00000000-0005-0000-0000-00009B830000}"/>
    <cellStyle name="Normal 30 8 20 2" xfId="36185" xr:uid="{00000000-0005-0000-0000-00009C830000}"/>
    <cellStyle name="Normal 30 8 21" xfId="18800" xr:uid="{00000000-0005-0000-0000-00009D830000}"/>
    <cellStyle name="Normal 30 8 21 2" xfId="36186" xr:uid="{00000000-0005-0000-0000-00009E830000}"/>
    <cellStyle name="Normal 30 8 22" xfId="18801" xr:uid="{00000000-0005-0000-0000-00009F830000}"/>
    <cellStyle name="Normal 30 8 22 2" xfId="36187" xr:uid="{00000000-0005-0000-0000-0000A0830000}"/>
    <cellStyle name="Normal 30 8 23" xfId="18802" xr:uid="{00000000-0005-0000-0000-0000A1830000}"/>
    <cellStyle name="Normal 30 8 23 2" xfId="36188" xr:uid="{00000000-0005-0000-0000-0000A2830000}"/>
    <cellStyle name="Normal 30 8 24" xfId="18803" xr:uid="{00000000-0005-0000-0000-0000A3830000}"/>
    <cellStyle name="Normal 30 8 24 2" xfId="36189" xr:uid="{00000000-0005-0000-0000-0000A4830000}"/>
    <cellStyle name="Normal 30 8 25" xfId="18804" xr:uid="{00000000-0005-0000-0000-0000A5830000}"/>
    <cellStyle name="Normal 30 8 25 2" xfId="36190" xr:uid="{00000000-0005-0000-0000-0000A6830000}"/>
    <cellStyle name="Normal 30 8 26" xfId="18805" xr:uid="{00000000-0005-0000-0000-0000A7830000}"/>
    <cellStyle name="Normal 30 8 26 2" xfId="36191" xr:uid="{00000000-0005-0000-0000-0000A8830000}"/>
    <cellStyle name="Normal 30 8 27" xfId="18806" xr:uid="{00000000-0005-0000-0000-0000A9830000}"/>
    <cellStyle name="Normal 30 8 27 2" xfId="36192" xr:uid="{00000000-0005-0000-0000-0000AA830000}"/>
    <cellStyle name="Normal 30 8 28" xfId="18807" xr:uid="{00000000-0005-0000-0000-0000AB830000}"/>
    <cellStyle name="Normal 30 8 28 2" xfId="36193" xr:uid="{00000000-0005-0000-0000-0000AC830000}"/>
    <cellStyle name="Normal 30 8 29" xfId="36068" xr:uid="{00000000-0005-0000-0000-0000AD830000}"/>
    <cellStyle name="Normal 30 8 3" xfId="18808" xr:uid="{00000000-0005-0000-0000-0000AE830000}"/>
    <cellStyle name="Normal 30 8 3 10" xfId="18809" xr:uid="{00000000-0005-0000-0000-0000AF830000}"/>
    <cellStyle name="Normal 30 8 3 10 2" xfId="36195" xr:uid="{00000000-0005-0000-0000-0000B0830000}"/>
    <cellStyle name="Normal 30 8 3 11" xfId="18810" xr:uid="{00000000-0005-0000-0000-0000B1830000}"/>
    <cellStyle name="Normal 30 8 3 11 2" xfId="36196" xr:uid="{00000000-0005-0000-0000-0000B2830000}"/>
    <cellStyle name="Normal 30 8 3 12" xfId="18811" xr:uid="{00000000-0005-0000-0000-0000B3830000}"/>
    <cellStyle name="Normal 30 8 3 12 2" xfId="36197" xr:uid="{00000000-0005-0000-0000-0000B4830000}"/>
    <cellStyle name="Normal 30 8 3 13" xfId="18812" xr:uid="{00000000-0005-0000-0000-0000B5830000}"/>
    <cellStyle name="Normal 30 8 3 13 2" xfId="36198" xr:uid="{00000000-0005-0000-0000-0000B6830000}"/>
    <cellStyle name="Normal 30 8 3 14" xfId="18813" xr:uid="{00000000-0005-0000-0000-0000B7830000}"/>
    <cellStyle name="Normal 30 8 3 14 2" xfId="36199" xr:uid="{00000000-0005-0000-0000-0000B8830000}"/>
    <cellStyle name="Normal 30 8 3 15" xfId="18814" xr:uid="{00000000-0005-0000-0000-0000B9830000}"/>
    <cellStyle name="Normal 30 8 3 15 2" xfId="36200" xr:uid="{00000000-0005-0000-0000-0000BA830000}"/>
    <cellStyle name="Normal 30 8 3 16" xfId="36194" xr:uid="{00000000-0005-0000-0000-0000BB830000}"/>
    <cellStyle name="Normal 30 8 3 2" xfId="18815" xr:uid="{00000000-0005-0000-0000-0000BC830000}"/>
    <cellStyle name="Normal 30 8 3 2 10" xfId="18816" xr:uid="{00000000-0005-0000-0000-0000BD830000}"/>
    <cellStyle name="Normal 30 8 3 2 10 2" xfId="36202" xr:uid="{00000000-0005-0000-0000-0000BE830000}"/>
    <cellStyle name="Normal 30 8 3 2 11" xfId="18817" xr:uid="{00000000-0005-0000-0000-0000BF830000}"/>
    <cellStyle name="Normal 30 8 3 2 11 2" xfId="36203" xr:uid="{00000000-0005-0000-0000-0000C0830000}"/>
    <cellStyle name="Normal 30 8 3 2 12" xfId="18818" xr:uid="{00000000-0005-0000-0000-0000C1830000}"/>
    <cellStyle name="Normal 30 8 3 2 12 2" xfId="36204" xr:uid="{00000000-0005-0000-0000-0000C2830000}"/>
    <cellStyle name="Normal 30 8 3 2 13" xfId="18819" xr:uid="{00000000-0005-0000-0000-0000C3830000}"/>
    <cellStyle name="Normal 30 8 3 2 13 2" xfId="36205" xr:uid="{00000000-0005-0000-0000-0000C4830000}"/>
    <cellStyle name="Normal 30 8 3 2 14" xfId="18820" xr:uid="{00000000-0005-0000-0000-0000C5830000}"/>
    <cellStyle name="Normal 30 8 3 2 14 2" xfId="36206" xr:uid="{00000000-0005-0000-0000-0000C6830000}"/>
    <cellStyle name="Normal 30 8 3 2 15" xfId="36201" xr:uid="{00000000-0005-0000-0000-0000C7830000}"/>
    <cellStyle name="Normal 30 8 3 2 2" xfId="18821" xr:uid="{00000000-0005-0000-0000-0000C8830000}"/>
    <cellStyle name="Normal 30 8 3 2 2 2" xfId="36207" xr:uid="{00000000-0005-0000-0000-0000C9830000}"/>
    <cellStyle name="Normal 30 8 3 2 3" xfId="18822" xr:uid="{00000000-0005-0000-0000-0000CA830000}"/>
    <cellStyle name="Normal 30 8 3 2 3 2" xfId="36208" xr:uid="{00000000-0005-0000-0000-0000CB830000}"/>
    <cellStyle name="Normal 30 8 3 2 4" xfId="18823" xr:uid="{00000000-0005-0000-0000-0000CC830000}"/>
    <cellStyle name="Normal 30 8 3 2 4 2" xfId="36209" xr:uid="{00000000-0005-0000-0000-0000CD830000}"/>
    <cellStyle name="Normal 30 8 3 2 5" xfId="18824" xr:uid="{00000000-0005-0000-0000-0000CE830000}"/>
    <cellStyle name="Normal 30 8 3 2 5 2" xfId="36210" xr:uid="{00000000-0005-0000-0000-0000CF830000}"/>
    <cellStyle name="Normal 30 8 3 2 6" xfId="18825" xr:uid="{00000000-0005-0000-0000-0000D0830000}"/>
    <cellStyle name="Normal 30 8 3 2 6 2" xfId="36211" xr:uid="{00000000-0005-0000-0000-0000D1830000}"/>
    <cellStyle name="Normal 30 8 3 2 7" xfId="18826" xr:uid="{00000000-0005-0000-0000-0000D2830000}"/>
    <cellStyle name="Normal 30 8 3 2 7 2" xfId="36212" xr:uid="{00000000-0005-0000-0000-0000D3830000}"/>
    <cellStyle name="Normal 30 8 3 2 8" xfId="18827" xr:uid="{00000000-0005-0000-0000-0000D4830000}"/>
    <cellStyle name="Normal 30 8 3 2 8 2" xfId="36213" xr:uid="{00000000-0005-0000-0000-0000D5830000}"/>
    <cellStyle name="Normal 30 8 3 2 9" xfId="18828" xr:uid="{00000000-0005-0000-0000-0000D6830000}"/>
    <cellStyle name="Normal 30 8 3 2 9 2" xfId="36214" xr:uid="{00000000-0005-0000-0000-0000D7830000}"/>
    <cellStyle name="Normal 30 8 3 3" xfId="18829" xr:uid="{00000000-0005-0000-0000-0000D8830000}"/>
    <cellStyle name="Normal 30 8 3 3 2" xfId="36215" xr:uid="{00000000-0005-0000-0000-0000D9830000}"/>
    <cellStyle name="Normal 30 8 3 4" xfId="18830" xr:uid="{00000000-0005-0000-0000-0000DA830000}"/>
    <cellStyle name="Normal 30 8 3 4 2" xfId="36216" xr:uid="{00000000-0005-0000-0000-0000DB830000}"/>
    <cellStyle name="Normal 30 8 3 5" xfId="18831" xr:uid="{00000000-0005-0000-0000-0000DC830000}"/>
    <cellStyle name="Normal 30 8 3 5 2" xfId="36217" xr:uid="{00000000-0005-0000-0000-0000DD830000}"/>
    <cellStyle name="Normal 30 8 3 6" xfId="18832" xr:uid="{00000000-0005-0000-0000-0000DE830000}"/>
    <cellStyle name="Normal 30 8 3 6 2" xfId="36218" xr:uid="{00000000-0005-0000-0000-0000DF830000}"/>
    <cellStyle name="Normal 30 8 3 7" xfId="18833" xr:uid="{00000000-0005-0000-0000-0000E0830000}"/>
    <cellStyle name="Normal 30 8 3 7 2" xfId="36219" xr:uid="{00000000-0005-0000-0000-0000E1830000}"/>
    <cellStyle name="Normal 30 8 3 8" xfId="18834" xr:uid="{00000000-0005-0000-0000-0000E2830000}"/>
    <cellStyle name="Normal 30 8 3 8 2" xfId="36220" xr:uid="{00000000-0005-0000-0000-0000E3830000}"/>
    <cellStyle name="Normal 30 8 3 9" xfId="18835" xr:uid="{00000000-0005-0000-0000-0000E4830000}"/>
    <cellStyle name="Normal 30 8 3 9 2" xfId="36221" xr:uid="{00000000-0005-0000-0000-0000E5830000}"/>
    <cellStyle name="Normal 30 8 4" xfId="18836" xr:uid="{00000000-0005-0000-0000-0000E6830000}"/>
    <cellStyle name="Normal 30 8 4 10" xfId="18837" xr:uid="{00000000-0005-0000-0000-0000E7830000}"/>
    <cellStyle name="Normal 30 8 4 10 2" xfId="36223" xr:uid="{00000000-0005-0000-0000-0000E8830000}"/>
    <cellStyle name="Normal 30 8 4 11" xfId="18838" xr:uid="{00000000-0005-0000-0000-0000E9830000}"/>
    <cellStyle name="Normal 30 8 4 11 2" xfId="36224" xr:uid="{00000000-0005-0000-0000-0000EA830000}"/>
    <cellStyle name="Normal 30 8 4 12" xfId="18839" xr:uid="{00000000-0005-0000-0000-0000EB830000}"/>
    <cellStyle name="Normal 30 8 4 12 2" xfId="36225" xr:uid="{00000000-0005-0000-0000-0000EC830000}"/>
    <cellStyle name="Normal 30 8 4 13" xfId="18840" xr:uid="{00000000-0005-0000-0000-0000ED830000}"/>
    <cellStyle name="Normal 30 8 4 13 2" xfId="36226" xr:uid="{00000000-0005-0000-0000-0000EE830000}"/>
    <cellStyle name="Normal 30 8 4 14" xfId="18841" xr:uid="{00000000-0005-0000-0000-0000EF830000}"/>
    <cellStyle name="Normal 30 8 4 14 2" xfId="36227" xr:uid="{00000000-0005-0000-0000-0000F0830000}"/>
    <cellStyle name="Normal 30 8 4 15" xfId="18842" xr:uid="{00000000-0005-0000-0000-0000F1830000}"/>
    <cellStyle name="Normal 30 8 4 15 2" xfId="36228" xr:uid="{00000000-0005-0000-0000-0000F2830000}"/>
    <cellStyle name="Normal 30 8 4 16" xfId="36222" xr:uid="{00000000-0005-0000-0000-0000F3830000}"/>
    <cellStyle name="Normal 30 8 4 2" xfId="18843" xr:uid="{00000000-0005-0000-0000-0000F4830000}"/>
    <cellStyle name="Normal 30 8 4 2 10" xfId="18844" xr:uid="{00000000-0005-0000-0000-0000F5830000}"/>
    <cellStyle name="Normal 30 8 4 2 10 2" xfId="36230" xr:uid="{00000000-0005-0000-0000-0000F6830000}"/>
    <cellStyle name="Normal 30 8 4 2 11" xfId="18845" xr:uid="{00000000-0005-0000-0000-0000F7830000}"/>
    <cellStyle name="Normal 30 8 4 2 11 2" xfId="36231" xr:uid="{00000000-0005-0000-0000-0000F8830000}"/>
    <cellStyle name="Normal 30 8 4 2 12" xfId="18846" xr:uid="{00000000-0005-0000-0000-0000F9830000}"/>
    <cellStyle name="Normal 30 8 4 2 12 2" xfId="36232" xr:uid="{00000000-0005-0000-0000-0000FA830000}"/>
    <cellStyle name="Normal 30 8 4 2 13" xfId="18847" xr:uid="{00000000-0005-0000-0000-0000FB830000}"/>
    <cellStyle name="Normal 30 8 4 2 13 2" xfId="36233" xr:uid="{00000000-0005-0000-0000-0000FC830000}"/>
    <cellStyle name="Normal 30 8 4 2 14" xfId="18848" xr:uid="{00000000-0005-0000-0000-0000FD830000}"/>
    <cellStyle name="Normal 30 8 4 2 14 2" xfId="36234" xr:uid="{00000000-0005-0000-0000-0000FE830000}"/>
    <cellStyle name="Normal 30 8 4 2 15" xfId="36229" xr:uid="{00000000-0005-0000-0000-0000FF830000}"/>
    <cellStyle name="Normal 30 8 4 2 2" xfId="18849" xr:uid="{00000000-0005-0000-0000-000000840000}"/>
    <cellStyle name="Normal 30 8 4 2 2 2" xfId="36235" xr:uid="{00000000-0005-0000-0000-000001840000}"/>
    <cellStyle name="Normal 30 8 4 2 3" xfId="18850" xr:uid="{00000000-0005-0000-0000-000002840000}"/>
    <cellStyle name="Normal 30 8 4 2 3 2" xfId="36236" xr:uid="{00000000-0005-0000-0000-000003840000}"/>
    <cellStyle name="Normal 30 8 4 2 4" xfId="18851" xr:uid="{00000000-0005-0000-0000-000004840000}"/>
    <cellStyle name="Normal 30 8 4 2 4 2" xfId="36237" xr:uid="{00000000-0005-0000-0000-000005840000}"/>
    <cellStyle name="Normal 30 8 4 2 5" xfId="18852" xr:uid="{00000000-0005-0000-0000-000006840000}"/>
    <cellStyle name="Normal 30 8 4 2 5 2" xfId="36238" xr:uid="{00000000-0005-0000-0000-000007840000}"/>
    <cellStyle name="Normal 30 8 4 2 6" xfId="18853" xr:uid="{00000000-0005-0000-0000-000008840000}"/>
    <cellStyle name="Normal 30 8 4 2 6 2" xfId="36239" xr:uid="{00000000-0005-0000-0000-000009840000}"/>
    <cellStyle name="Normal 30 8 4 2 7" xfId="18854" xr:uid="{00000000-0005-0000-0000-00000A840000}"/>
    <cellStyle name="Normal 30 8 4 2 7 2" xfId="36240" xr:uid="{00000000-0005-0000-0000-00000B840000}"/>
    <cellStyle name="Normal 30 8 4 2 8" xfId="18855" xr:uid="{00000000-0005-0000-0000-00000C840000}"/>
    <cellStyle name="Normal 30 8 4 2 8 2" xfId="36241" xr:uid="{00000000-0005-0000-0000-00000D840000}"/>
    <cellStyle name="Normal 30 8 4 2 9" xfId="18856" xr:uid="{00000000-0005-0000-0000-00000E840000}"/>
    <cellStyle name="Normal 30 8 4 2 9 2" xfId="36242" xr:uid="{00000000-0005-0000-0000-00000F840000}"/>
    <cellStyle name="Normal 30 8 4 3" xfId="18857" xr:uid="{00000000-0005-0000-0000-000010840000}"/>
    <cellStyle name="Normal 30 8 4 3 2" xfId="36243" xr:uid="{00000000-0005-0000-0000-000011840000}"/>
    <cellStyle name="Normal 30 8 4 4" xfId="18858" xr:uid="{00000000-0005-0000-0000-000012840000}"/>
    <cellStyle name="Normal 30 8 4 4 2" xfId="36244" xr:uid="{00000000-0005-0000-0000-000013840000}"/>
    <cellStyle name="Normal 30 8 4 5" xfId="18859" xr:uid="{00000000-0005-0000-0000-000014840000}"/>
    <cellStyle name="Normal 30 8 4 5 2" xfId="36245" xr:uid="{00000000-0005-0000-0000-000015840000}"/>
    <cellStyle name="Normal 30 8 4 6" xfId="18860" xr:uid="{00000000-0005-0000-0000-000016840000}"/>
    <cellStyle name="Normal 30 8 4 6 2" xfId="36246" xr:uid="{00000000-0005-0000-0000-000017840000}"/>
    <cellStyle name="Normal 30 8 4 7" xfId="18861" xr:uid="{00000000-0005-0000-0000-000018840000}"/>
    <cellStyle name="Normal 30 8 4 7 2" xfId="36247" xr:uid="{00000000-0005-0000-0000-000019840000}"/>
    <cellStyle name="Normal 30 8 4 8" xfId="18862" xr:uid="{00000000-0005-0000-0000-00001A840000}"/>
    <cellStyle name="Normal 30 8 4 8 2" xfId="36248" xr:uid="{00000000-0005-0000-0000-00001B840000}"/>
    <cellStyle name="Normal 30 8 4 9" xfId="18863" xr:uid="{00000000-0005-0000-0000-00001C840000}"/>
    <cellStyle name="Normal 30 8 4 9 2" xfId="36249" xr:uid="{00000000-0005-0000-0000-00001D840000}"/>
    <cellStyle name="Normal 30 8 5" xfId="18864" xr:uid="{00000000-0005-0000-0000-00001E840000}"/>
    <cellStyle name="Normal 30 8 5 10" xfId="18865" xr:uid="{00000000-0005-0000-0000-00001F840000}"/>
    <cellStyle name="Normal 30 8 5 10 2" xfId="36251" xr:uid="{00000000-0005-0000-0000-000020840000}"/>
    <cellStyle name="Normal 30 8 5 11" xfId="18866" xr:uid="{00000000-0005-0000-0000-000021840000}"/>
    <cellStyle name="Normal 30 8 5 11 2" xfId="36252" xr:uid="{00000000-0005-0000-0000-000022840000}"/>
    <cellStyle name="Normal 30 8 5 12" xfId="18867" xr:uid="{00000000-0005-0000-0000-000023840000}"/>
    <cellStyle name="Normal 30 8 5 12 2" xfId="36253" xr:uid="{00000000-0005-0000-0000-000024840000}"/>
    <cellStyle name="Normal 30 8 5 13" xfId="18868" xr:uid="{00000000-0005-0000-0000-000025840000}"/>
    <cellStyle name="Normal 30 8 5 13 2" xfId="36254" xr:uid="{00000000-0005-0000-0000-000026840000}"/>
    <cellStyle name="Normal 30 8 5 14" xfId="18869" xr:uid="{00000000-0005-0000-0000-000027840000}"/>
    <cellStyle name="Normal 30 8 5 14 2" xfId="36255" xr:uid="{00000000-0005-0000-0000-000028840000}"/>
    <cellStyle name="Normal 30 8 5 15" xfId="36250" xr:uid="{00000000-0005-0000-0000-000029840000}"/>
    <cellStyle name="Normal 30 8 5 2" xfId="18870" xr:uid="{00000000-0005-0000-0000-00002A840000}"/>
    <cellStyle name="Normal 30 8 5 2 2" xfId="36256" xr:uid="{00000000-0005-0000-0000-00002B840000}"/>
    <cellStyle name="Normal 30 8 5 3" xfId="18871" xr:uid="{00000000-0005-0000-0000-00002C840000}"/>
    <cellStyle name="Normal 30 8 5 3 2" xfId="36257" xr:uid="{00000000-0005-0000-0000-00002D840000}"/>
    <cellStyle name="Normal 30 8 5 4" xfId="18872" xr:uid="{00000000-0005-0000-0000-00002E840000}"/>
    <cellStyle name="Normal 30 8 5 4 2" xfId="36258" xr:uid="{00000000-0005-0000-0000-00002F840000}"/>
    <cellStyle name="Normal 30 8 5 5" xfId="18873" xr:uid="{00000000-0005-0000-0000-000030840000}"/>
    <cellStyle name="Normal 30 8 5 5 2" xfId="36259" xr:uid="{00000000-0005-0000-0000-000031840000}"/>
    <cellStyle name="Normal 30 8 5 6" xfId="18874" xr:uid="{00000000-0005-0000-0000-000032840000}"/>
    <cellStyle name="Normal 30 8 5 6 2" xfId="36260" xr:uid="{00000000-0005-0000-0000-000033840000}"/>
    <cellStyle name="Normal 30 8 5 7" xfId="18875" xr:uid="{00000000-0005-0000-0000-000034840000}"/>
    <cellStyle name="Normal 30 8 5 7 2" xfId="36261" xr:uid="{00000000-0005-0000-0000-000035840000}"/>
    <cellStyle name="Normal 30 8 5 8" xfId="18876" xr:uid="{00000000-0005-0000-0000-000036840000}"/>
    <cellStyle name="Normal 30 8 5 8 2" xfId="36262" xr:uid="{00000000-0005-0000-0000-000037840000}"/>
    <cellStyle name="Normal 30 8 5 9" xfId="18877" xr:uid="{00000000-0005-0000-0000-000038840000}"/>
    <cellStyle name="Normal 30 8 5 9 2" xfId="36263" xr:uid="{00000000-0005-0000-0000-000039840000}"/>
    <cellStyle name="Normal 30 8 6" xfId="18878" xr:uid="{00000000-0005-0000-0000-00003A840000}"/>
    <cellStyle name="Normal 30 8 6 10" xfId="18879" xr:uid="{00000000-0005-0000-0000-00003B840000}"/>
    <cellStyle name="Normal 30 8 6 10 2" xfId="36265" xr:uid="{00000000-0005-0000-0000-00003C840000}"/>
    <cellStyle name="Normal 30 8 6 11" xfId="18880" xr:uid="{00000000-0005-0000-0000-00003D840000}"/>
    <cellStyle name="Normal 30 8 6 11 2" xfId="36266" xr:uid="{00000000-0005-0000-0000-00003E840000}"/>
    <cellStyle name="Normal 30 8 6 12" xfId="18881" xr:uid="{00000000-0005-0000-0000-00003F840000}"/>
    <cellStyle name="Normal 30 8 6 12 2" xfId="36267" xr:uid="{00000000-0005-0000-0000-000040840000}"/>
    <cellStyle name="Normal 30 8 6 13" xfId="18882" xr:uid="{00000000-0005-0000-0000-000041840000}"/>
    <cellStyle name="Normal 30 8 6 13 2" xfId="36268" xr:uid="{00000000-0005-0000-0000-000042840000}"/>
    <cellStyle name="Normal 30 8 6 14" xfId="18883" xr:uid="{00000000-0005-0000-0000-000043840000}"/>
    <cellStyle name="Normal 30 8 6 14 2" xfId="36269" xr:uid="{00000000-0005-0000-0000-000044840000}"/>
    <cellStyle name="Normal 30 8 6 15" xfId="36264" xr:uid="{00000000-0005-0000-0000-000045840000}"/>
    <cellStyle name="Normal 30 8 6 2" xfId="18884" xr:uid="{00000000-0005-0000-0000-000046840000}"/>
    <cellStyle name="Normal 30 8 6 2 2" xfId="36270" xr:uid="{00000000-0005-0000-0000-000047840000}"/>
    <cellStyle name="Normal 30 8 6 3" xfId="18885" xr:uid="{00000000-0005-0000-0000-000048840000}"/>
    <cellStyle name="Normal 30 8 6 3 2" xfId="36271" xr:uid="{00000000-0005-0000-0000-000049840000}"/>
    <cellStyle name="Normal 30 8 6 4" xfId="18886" xr:uid="{00000000-0005-0000-0000-00004A840000}"/>
    <cellStyle name="Normal 30 8 6 4 2" xfId="36272" xr:uid="{00000000-0005-0000-0000-00004B840000}"/>
    <cellStyle name="Normal 30 8 6 5" xfId="18887" xr:uid="{00000000-0005-0000-0000-00004C840000}"/>
    <cellStyle name="Normal 30 8 6 5 2" xfId="36273" xr:uid="{00000000-0005-0000-0000-00004D840000}"/>
    <cellStyle name="Normal 30 8 6 6" xfId="18888" xr:uid="{00000000-0005-0000-0000-00004E840000}"/>
    <cellStyle name="Normal 30 8 6 6 2" xfId="36274" xr:uid="{00000000-0005-0000-0000-00004F840000}"/>
    <cellStyle name="Normal 30 8 6 7" xfId="18889" xr:uid="{00000000-0005-0000-0000-000050840000}"/>
    <cellStyle name="Normal 30 8 6 7 2" xfId="36275" xr:uid="{00000000-0005-0000-0000-000051840000}"/>
    <cellStyle name="Normal 30 8 6 8" xfId="18890" xr:uid="{00000000-0005-0000-0000-000052840000}"/>
    <cellStyle name="Normal 30 8 6 8 2" xfId="36276" xr:uid="{00000000-0005-0000-0000-000053840000}"/>
    <cellStyle name="Normal 30 8 6 9" xfId="18891" xr:uid="{00000000-0005-0000-0000-000054840000}"/>
    <cellStyle name="Normal 30 8 6 9 2" xfId="36277" xr:uid="{00000000-0005-0000-0000-000055840000}"/>
    <cellStyle name="Normal 30 8 7" xfId="18892" xr:uid="{00000000-0005-0000-0000-000056840000}"/>
    <cellStyle name="Normal 30 8 7 10" xfId="18893" xr:uid="{00000000-0005-0000-0000-000057840000}"/>
    <cellStyle name="Normal 30 8 7 10 2" xfId="36279" xr:uid="{00000000-0005-0000-0000-000058840000}"/>
    <cellStyle name="Normal 30 8 7 11" xfId="18894" xr:uid="{00000000-0005-0000-0000-000059840000}"/>
    <cellStyle name="Normal 30 8 7 11 2" xfId="36280" xr:uid="{00000000-0005-0000-0000-00005A840000}"/>
    <cellStyle name="Normal 30 8 7 12" xfId="18895" xr:uid="{00000000-0005-0000-0000-00005B840000}"/>
    <cellStyle name="Normal 30 8 7 12 2" xfId="36281" xr:uid="{00000000-0005-0000-0000-00005C840000}"/>
    <cellStyle name="Normal 30 8 7 13" xfId="18896" xr:uid="{00000000-0005-0000-0000-00005D840000}"/>
    <cellStyle name="Normal 30 8 7 13 2" xfId="36282" xr:uid="{00000000-0005-0000-0000-00005E840000}"/>
    <cellStyle name="Normal 30 8 7 14" xfId="18897" xr:uid="{00000000-0005-0000-0000-00005F840000}"/>
    <cellStyle name="Normal 30 8 7 14 2" xfId="36283" xr:uid="{00000000-0005-0000-0000-000060840000}"/>
    <cellStyle name="Normal 30 8 7 15" xfId="36278" xr:uid="{00000000-0005-0000-0000-000061840000}"/>
    <cellStyle name="Normal 30 8 7 2" xfId="18898" xr:uid="{00000000-0005-0000-0000-000062840000}"/>
    <cellStyle name="Normal 30 8 7 2 2" xfId="36284" xr:uid="{00000000-0005-0000-0000-000063840000}"/>
    <cellStyle name="Normal 30 8 7 3" xfId="18899" xr:uid="{00000000-0005-0000-0000-000064840000}"/>
    <cellStyle name="Normal 30 8 7 3 2" xfId="36285" xr:uid="{00000000-0005-0000-0000-000065840000}"/>
    <cellStyle name="Normal 30 8 7 4" xfId="18900" xr:uid="{00000000-0005-0000-0000-000066840000}"/>
    <cellStyle name="Normal 30 8 7 4 2" xfId="36286" xr:uid="{00000000-0005-0000-0000-000067840000}"/>
    <cellStyle name="Normal 30 8 7 5" xfId="18901" xr:uid="{00000000-0005-0000-0000-000068840000}"/>
    <cellStyle name="Normal 30 8 7 5 2" xfId="36287" xr:uid="{00000000-0005-0000-0000-000069840000}"/>
    <cellStyle name="Normal 30 8 7 6" xfId="18902" xr:uid="{00000000-0005-0000-0000-00006A840000}"/>
    <cellStyle name="Normal 30 8 7 6 2" xfId="36288" xr:uid="{00000000-0005-0000-0000-00006B840000}"/>
    <cellStyle name="Normal 30 8 7 7" xfId="18903" xr:uid="{00000000-0005-0000-0000-00006C840000}"/>
    <cellStyle name="Normal 30 8 7 7 2" xfId="36289" xr:uid="{00000000-0005-0000-0000-00006D840000}"/>
    <cellStyle name="Normal 30 8 7 8" xfId="18904" xr:uid="{00000000-0005-0000-0000-00006E840000}"/>
    <cellStyle name="Normal 30 8 7 8 2" xfId="36290" xr:uid="{00000000-0005-0000-0000-00006F840000}"/>
    <cellStyle name="Normal 30 8 7 9" xfId="18905" xr:uid="{00000000-0005-0000-0000-000070840000}"/>
    <cellStyle name="Normal 30 8 7 9 2" xfId="36291" xr:uid="{00000000-0005-0000-0000-000071840000}"/>
    <cellStyle name="Normal 30 8 8" xfId="18906" xr:uid="{00000000-0005-0000-0000-000072840000}"/>
    <cellStyle name="Normal 30 8 8 10" xfId="18907" xr:uid="{00000000-0005-0000-0000-000073840000}"/>
    <cellStyle name="Normal 30 8 8 10 2" xfId="36293" xr:uid="{00000000-0005-0000-0000-000074840000}"/>
    <cellStyle name="Normal 30 8 8 11" xfId="18908" xr:uid="{00000000-0005-0000-0000-000075840000}"/>
    <cellStyle name="Normal 30 8 8 11 2" xfId="36294" xr:uid="{00000000-0005-0000-0000-000076840000}"/>
    <cellStyle name="Normal 30 8 8 12" xfId="18909" xr:uid="{00000000-0005-0000-0000-000077840000}"/>
    <cellStyle name="Normal 30 8 8 12 2" xfId="36295" xr:uid="{00000000-0005-0000-0000-000078840000}"/>
    <cellStyle name="Normal 30 8 8 13" xfId="18910" xr:uid="{00000000-0005-0000-0000-000079840000}"/>
    <cellStyle name="Normal 30 8 8 13 2" xfId="36296" xr:uid="{00000000-0005-0000-0000-00007A840000}"/>
    <cellStyle name="Normal 30 8 8 14" xfId="18911" xr:uid="{00000000-0005-0000-0000-00007B840000}"/>
    <cellStyle name="Normal 30 8 8 14 2" xfId="36297" xr:uid="{00000000-0005-0000-0000-00007C840000}"/>
    <cellStyle name="Normal 30 8 8 15" xfId="36292" xr:uid="{00000000-0005-0000-0000-00007D840000}"/>
    <cellStyle name="Normal 30 8 8 2" xfId="18912" xr:uid="{00000000-0005-0000-0000-00007E840000}"/>
    <cellStyle name="Normal 30 8 8 2 2" xfId="36298" xr:uid="{00000000-0005-0000-0000-00007F840000}"/>
    <cellStyle name="Normal 30 8 8 3" xfId="18913" xr:uid="{00000000-0005-0000-0000-000080840000}"/>
    <cellStyle name="Normal 30 8 8 3 2" xfId="36299" xr:uid="{00000000-0005-0000-0000-000081840000}"/>
    <cellStyle name="Normal 30 8 8 4" xfId="18914" xr:uid="{00000000-0005-0000-0000-000082840000}"/>
    <cellStyle name="Normal 30 8 8 4 2" xfId="36300" xr:uid="{00000000-0005-0000-0000-000083840000}"/>
    <cellStyle name="Normal 30 8 8 5" xfId="18915" xr:uid="{00000000-0005-0000-0000-000084840000}"/>
    <cellStyle name="Normal 30 8 8 5 2" xfId="36301" xr:uid="{00000000-0005-0000-0000-000085840000}"/>
    <cellStyle name="Normal 30 8 8 6" xfId="18916" xr:uid="{00000000-0005-0000-0000-000086840000}"/>
    <cellStyle name="Normal 30 8 8 6 2" xfId="36302" xr:uid="{00000000-0005-0000-0000-000087840000}"/>
    <cellStyle name="Normal 30 8 8 7" xfId="18917" xr:uid="{00000000-0005-0000-0000-000088840000}"/>
    <cellStyle name="Normal 30 8 8 7 2" xfId="36303" xr:uid="{00000000-0005-0000-0000-000089840000}"/>
    <cellStyle name="Normal 30 8 8 8" xfId="18918" xr:uid="{00000000-0005-0000-0000-00008A840000}"/>
    <cellStyle name="Normal 30 8 8 8 2" xfId="36304" xr:uid="{00000000-0005-0000-0000-00008B840000}"/>
    <cellStyle name="Normal 30 8 8 9" xfId="18919" xr:uid="{00000000-0005-0000-0000-00008C840000}"/>
    <cellStyle name="Normal 30 8 8 9 2" xfId="36305" xr:uid="{00000000-0005-0000-0000-00008D840000}"/>
    <cellStyle name="Normal 30 8 9" xfId="18920" xr:uid="{00000000-0005-0000-0000-00008E840000}"/>
    <cellStyle name="Normal 30 8 9 10" xfId="18921" xr:uid="{00000000-0005-0000-0000-00008F840000}"/>
    <cellStyle name="Normal 30 8 9 10 2" xfId="36307" xr:uid="{00000000-0005-0000-0000-000090840000}"/>
    <cellStyle name="Normal 30 8 9 11" xfId="18922" xr:uid="{00000000-0005-0000-0000-000091840000}"/>
    <cellStyle name="Normal 30 8 9 11 2" xfId="36308" xr:uid="{00000000-0005-0000-0000-000092840000}"/>
    <cellStyle name="Normal 30 8 9 12" xfId="18923" xr:uid="{00000000-0005-0000-0000-000093840000}"/>
    <cellStyle name="Normal 30 8 9 12 2" xfId="36309" xr:uid="{00000000-0005-0000-0000-000094840000}"/>
    <cellStyle name="Normal 30 8 9 13" xfId="18924" xr:uid="{00000000-0005-0000-0000-000095840000}"/>
    <cellStyle name="Normal 30 8 9 13 2" xfId="36310" xr:uid="{00000000-0005-0000-0000-000096840000}"/>
    <cellStyle name="Normal 30 8 9 14" xfId="18925" xr:uid="{00000000-0005-0000-0000-000097840000}"/>
    <cellStyle name="Normal 30 8 9 14 2" xfId="36311" xr:uid="{00000000-0005-0000-0000-000098840000}"/>
    <cellStyle name="Normal 30 8 9 15" xfId="36306" xr:uid="{00000000-0005-0000-0000-000099840000}"/>
    <cellStyle name="Normal 30 8 9 2" xfId="18926" xr:uid="{00000000-0005-0000-0000-00009A840000}"/>
    <cellStyle name="Normal 30 8 9 2 2" xfId="36312" xr:uid="{00000000-0005-0000-0000-00009B840000}"/>
    <cellStyle name="Normal 30 8 9 3" xfId="18927" xr:uid="{00000000-0005-0000-0000-00009C840000}"/>
    <cellStyle name="Normal 30 8 9 3 2" xfId="36313" xr:uid="{00000000-0005-0000-0000-00009D840000}"/>
    <cellStyle name="Normal 30 8 9 4" xfId="18928" xr:uid="{00000000-0005-0000-0000-00009E840000}"/>
    <cellStyle name="Normal 30 8 9 4 2" xfId="36314" xr:uid="{00000000-0005-0000-0000-00009F840000}"/>
    <cellStyle name="Normal 30 8 9 5" xfId="18929" xr:uid="{00000000-0005-0000-0000-0000A0840000}"/>
    <cellStyle name="Normal 30 8 9 5 2" xfId="36315" xr:uid="{00000000-0005-0000-0000-0000A1840000}"/>
    <cellStyle name="Normal 30 8 9 6" xfId="18930" xr:uid="{00000000-0005-0000-0000-0000A2840000}"/>
    <cellStyle name="Normal 30 8 9 6 2" xfId="36316" xr:uid="{00000000-0005-0000-0000-0000A3840000}"/>
    <cellStyle name="Normal 30 8 9 7" xfId="18931" xr:uid="{00000000-0005-0000-0000-0000A4840000}"/>
    <cellStyle name="Normal 30 8 9 7 2" xfId="36317" xr:uid="{00000000-0005-0000-0000-0000A5840000}"/>
    <cellStyle name="Normal 30 8 9 8" xfId="18932" xr:uid="{00000000-0005-0000-0000-0000A6840000}"/>
    <cellStyle name="Normal 30 8 9 8 2" xfId="36318" xr:uid="{00000000-0005-0000-0000-0000A7840000}"/>
    <cellStyle name="Normal 30 8 9 9" xfId="18933" xr:uid="{00000000-0005-0000-0000-0000A8840000}"/>
    <cellStyle name="Normal 30 8 9 9 2" xfId="36319" xr:uid="{00000000-0005-0000-0000-0000A9840000}"/>
    <cellStyle name="Normal 30 9" xfId="18173" xr:uid="{00000000-0005-0000-0000-0000AA840000}"/>
    <cellStyle name="Normal 31" xfId="439" xr:uid="{00000000-0005-0000-0000-0000AB840000}"/>
    <cellStyle name="Normal 31 2" xfId="18935" xr:uid="{00000000-0005-0000-0000-0000AC840000}"/>
    <cellStyle name="Normal 31 3" xfId="18936" xr:uid="{00000000-0005-0000-0000-0000AD840000}"/>
    <cellStyle name="Normal 31 4" xfId="18937" xr:uid="{00000000-0005-0000-0000-0000AE840000}"/>
    <cellStyle name="Normal 31 5" xfId="18938" xr:uid="{00000000-0005-0000-0000-0000AF840000}"/>
    <cellStyle name="Normal 31 6" xfId="18939" xr:uid="{00000000-0005-0000-0000-0000B0840000}"/>
    <cellStyle name="Normal 31 7" xfId="18934" xr:uid="{00000000-0005-0000-0000-0000B1840000}"/>
    <cellStyle name="Normal 32" xfId="441" xr:uid="{00000000-0005-0000-0000-0000B2840000}"/>
    <cellStyle name="Normal 32 2" xfId="18941" xr:uid="{00000000-0005-0000-0000-0000B3840000}"/>
    <cellStyle name="Normal 32 3" xfId="18942" xr:uid="{00000000-0005-0000-0000-0000B4840000}"/>
    <cellStyle name="Normal 32 4" xfId="18940" xr:uid="{00000000-0005-0000-0000-0000B5840000}"/>
    <cellStyle name="Normal 33" xfId="281" xr:uid="{00000000-0005-0000-0000-0000B6840000}"/>
    <cellStyle name="Normal 33 2" xfId="18943" xr:uid="{00000000-0005-0000-0000-0000B7840000}"/>
    <cellStyle name="Normal 33 3" xfId="18944" xr:uid="{00000000-0005-0000-0000-0000B8840000}"/>
    <cellStyle name="Normal 33 4" xfId="18945" xr:uid="{00000000-0005-0000-0000-0000B9840000}"/>
    <cellStyle name="Normal 34" xfId="609" xr:uid="{00000000-0005-0000-0000-0000BA840000}"/>
    <cellStyle name="Normal 34 2" xfId="18947" xr:uid="{00000000-0005-0000-0000-0000BB840000}"/>
    <cellStyle name="Normal 34 3" xfId="18948" xr:uid="{00000000-0005-0000-0000-0000BC840000}"/>
    <cellStyle name="Normal 34 4" xfId="18949" xr:uid="{00000000-0005-0000-0000-0000BD840000}"/>
    <cellStyle name="Normal 34 5" xfId="18950" xr:uid="{00000000-0005-0000-0000-0000BE840000}"/>
    <cellStyle name="Normal 34 6" xfId="18951" xr:uid="{00000000-0005-0000-0000-0000BF840000}"/>
    <cellStyle name="Normal 34 7" xfId="18946" xr:uid="{00000000-0005-0000-0000-0000C0840000}"/>
    <cellStyle name="Normal 35" xfId="305" xr:uid="{00000000-0005-0000-0000-0000C1840000}"/>
    <cellStyle name="Normal 35 2" xfId="388" xr:uid="{00000000-0005-0000-0000-0000C2840000}"/>
    <cellStyle name="Normal 35 2 2" xfId="580" xr:uid="{00000000-0005-0000-0000-0000C3840000}"/>
    <cellStyle name="Normal 35 2 3" xfId="18953" xr:uid="{00000000-0005-0000-0000-0000C4840000}"/>
    <cellStyle name="Normal 35 3" xfId="521" xr:uid="{00000000-0005-0000-0000-0000C5840000}"/>
    <cellStyle name="Normal 35 3 2" xfId="18954" xr:uid="{00000000-0005-0000-0000-0000C6840000}"/>
    <cellStyle name="Normal 35 4" xfId="18955" xr:uid="{00000000-0005-0000-0000-0000C7840000}"/>
    <cellStyle name="Normal 35 5" xfId="21149" xr:uid="{00000000-0005-0000-0000-0000C8840000}"/>
    <cellStyle name="Normal 35 5 2" xfId="37602" xr:uid="{00000000-0005-0000-0000-0000C9840000}"/>
    <cellStyle name="Normal 35 6" xfId="18952" xr:uid="{00000000-0005-0000-0000-0000CA840000}"/>
    <cellStyle name="Normal 36" xfId="64" xr:uid="{00000000-0005-0000-0000-0000CB840000}"/>
    <cellStyle name="Normal 36 2" xfId="224" xr:uid="{00000000-0005-0000-0000-0000CC840000}"/>
    <cellStyle name="Normal 36 3" xfId="18956" xr:uid="{00000000-0005-0000-0000-0000CD840000}"/>
    <cellStyle name="Normal 36 4" xfId="37605" xr:uid="{00000000-0005-0000-0000-0000CE840000}"/>
    <cellStyle name="Normal 37" xfId="65" xr:uid="{00000000-0005-0000-0000-0000CF840000}"/>
    <cellStyle name="Normal 37 2" xfId="225" xr:uid="{00000000-0005-0000-0000-0000D0840000}"/>
    <cellStyle name="Normal 37 2 10" xfId="18958" xr:uid="{00000000-0005-0000-0000-0000D1840000}"/>
    <cellStyle name="Normal 37 2 10 10" xfId="18959" xr:uid="{00000000-0005-0000-0000-0000D2840000}"/>
    <cellStyle name="Normal 37 2 10 10 2" xfId="36322" xr:uid="{00000000-0005-0000-0000-0000D3840000}"/>
    <cellStyle name="Normal 37 2 10 11" xfId="18960" xr:uid="{00000000-0005-0000-0000-0000D4840000}"/>
    <cellStyle name="Normal 37 2 10 11 2" xfId="36323" xr:uid="{00000000-0005-0000-0000-0000D5840000}"/>
    <cellStyle name="Normal 37 2 10 12" xfId="18961" xr:uid="{00000000-0005-0000-0000-0000D6840000}"/>
    <cellStyle name="Normal 37 2 10 12 2" xfId="36324" xr:uid="{00000000-0005-0000-0000-0000D7840000}"/>
    <cellStyle name="Normal 37 2 10 13" xfId="18962" xr:uid="{00000000-0005-0000-0000-0000D8840000}"/>
    <cellStyle name="Normal 37 2 10 13 2" xfId="36325" xr:uid="{00000000-0005-0000-0000-0000D9840000}"/>
    <cellStyle name="Normal 37 2 10 14" xfId="18963" xr:uid="{00000000-0005-0000-0000-0000DA840000}"/>
    <cellStyle name="Normal 37 2 10 14 2" xfId="36326" xr:uid="{00000000-0005-0000-0000-0000DB840000}"/>
    <cellStyle name="Normal 37 2 10 15" xfId="36321" xr:uid="{00000000-0005-0000-0000-0000DC840000}"/>
    <cellStyle name="Normal 37 2 10 2" xfId="18964" xr:uid="{00000000-0005-0000-0000-0000DD840000}"/>
    <cellStyle name="Normal 37 2 10 2 2" xfId="36327" xr:uid="{00000000-0005-0000-0000-0000DE840000}"/>
    <cellStyle name="Normal 37 2 10 3" xfId="18965" xr:uid="{00000000-0005-0000-0000-0000DF840000}"/>
    <cellStyle name="Normal 37 2 10 3 2" xfId="36328" xr:uid="{00000000-0005-0000-0000-0000E0840000}"/>
    <cellStyle name="Normal 37 2 10 4" xfId="18966" xr:uid="{00000000-0005-0000-0000-0000E1840000}"/>
    <cellStyle name="Normal 37 2 10 4 2" xfId="36329" xr:uid="{00000000-0005-0000-0000-0000E2840000}"/>
    <cellStyle name="Normal 37 2 10 5" xfId="18967" xr:uid="{00000000-0005-0000-0000-0000E3840000}"/>
    <cellStyle name="Normal 37 2 10 5 2" xfId="36330" xr:uid="{00000000-0005-0000-0000-0000E4840000}"/>
    <cellStyle name="Normal 37 2 10 6" xfId="18968" xr:uid="{00000000-0005-0000-0000-0000E5840000}"/>
    <cellStyle name="Normal 37 2 10 6 2" xfId="36331" xr:uid="{00000000-0005-0000-0000-0000E6840000}"/>
    <cellStyle name="Normal 37 2 10 7" xfId="18969" xr:uid="{00000000-0005-0000-0000-0000E7840000}"/>
    <cellStyle name="Normal 37 2 10 7 2" xfId="36332" xr:uid="{00000000-0005-0000-0000-0000E8840000}"/>
    <cellStyle name="Normal 37 2 10 8" xfId="18970" xr:uid="{00000000-0005-0000-0000-0000E9840000}"/>
    <cellStyle name="Normal 37 2 10 8 2" xfId="36333" xr:uid="{00000000-0005-0000-0000-0000EA840000}"/>
    <cellStyle name="Normal 37 2 10 9" xfId="18971" xr:uid="{00000000-0005-0000-0000-0000EB840000}"/>
    <cellStyle name="Normal 37 2 10 9 2" xfId="36334" xr:uid="{00000000-0005-0000-0000-0000EC840000}"/>
    <cellStyle name="Normal 37 2 11" xfId="18972" xr:uid="{00000000-0005-0000-0000-0000ED840000}"/>
    <cellStyle name="Normal 37 2 11 10" xfId="18973" xr:uid="{00000000-0005-0000-0000-0000EE840000}"/>
    <cellStyle name="Normal 37 2 11 10 2" xfId="36336" xr:uid="{00000000-0005-0000-0000-0000EF840000}"/>
    <cellStyle name="Normal 37 2 11 11" xfId="18974" xr:uid="{00000000-0005-0000-0000-0000F0840000}"/>
    <cellStyle name="Normal 37 2 11 11 2" xfId="36337" xr:uid="{00000000-0005-0000-0000-0000F1840000}"/>
    <cellStyle name="Normal 37 2 11 12" xfId="18975" xr:uid="{00000000-0005-0000-0000-0000F2840000}"/>
    <cellStyle name="Normal 37 2 11 12 2" xfId="36338" xr:uid="{00000000-0005-0000-0000-0000F3840000}"/>
    <cellStyle name="Normal 37 2 11 13" xfId="18976" xr:uid="{00000000-0005-0000-0000-0000F4840000}"/>
    <cellStyle name="Normal 37 2 11 13 2" xfId="36339" xr:uid="{00000000-0005-0000-0000-0000F5840000}"/>
    <cellStyle name="Normal 37 2 11 14" xfId="18977" xr:uid="{00000000-0005-0000-0000-0000F6840000}"/>
    <cellStyle name="Normal 37 2 11 14 2" xfId="36340" xr:uid="{00000000-0005-0000-0000-0000F7840000}"/>
    <cellStyle name="Normal 37 2 11 15" xfId="36335" xr:uid="{00000000-0005-0000-0000-0000F8840000}"/>
    <cellStyle name="Normal 37 2 11 2" xfId="18978" xr:uid="{00000000-0005-0000-0000-0000F9840000}"/>
    <cellStyle name="Normal 37 2 11 2 2" xfId="36341" xr:uid="{00000000-0005-0000-0000-0000FA840000}"/>
    <cellStyle name="Normal 37 2 11 3" xfId="18979" xr:uid="{00000000-0005-0000-0000-0000FB840000}"/>
    <cellStyle name="Normal 37 2 11 3 2" xfId="36342" xr:uid="{00000000-0005-0000-0000-0000FC840000}"/>
    <cellStyle name="Normal 37 2 11 4" xfId="18980" xr:uid="{00000000-0005-0000-0000-0000FD840000}"/>
    <cellStyle name="Normal 37 2 11 4 2" xfId="36343" xr:uid="{00000000-0005-0000-0000-0000FE840000}"/>
    <cellStyle name="Normal 37 2 11 5" xfId="18981" xr:uid="{00000000-0005-0000-0000-0000FF840000}"/>
    <cellStyle name="Normal 37 2 11 5 2" xfId="36344" xr:uid="{00000000-0005-0000-0000-000000850000}"/>
    <cellStyle name="Normal 37 2 11 6" xfId="18982" xr:uid="{00000000-0005-0000-0000-000001850000}"/>
    <cellStyle name="Normal 37 2 11 6 2" xfId="36345" xr:uid="{00000000-0005-0000-0000-000002850000}"/>
    <cellStyle name="Normal 37 2 11 7" xfId="18983" xr:uid="{00000000-0005-0000-0000-000003850000}"/>
    <cellStyle name="Normal 37 2 11 7 2" xfId="36346" xr:uid="{00000000-0005-0000-0000-000004850000}"/>
    <cellStyle name="Normal 37 2 11 8" xfId="18984" xr:uid="{00000000-0005-0000-0000-000005850000}"/>
    <cellStyle name="Normal 37 2 11 8 2" xfId="36347" xr:uid="{00000000-0005-0000-0000-000006850000}"/>
    <cellStyle name="Normal 37 2 11 9" xfId="18985" xr:uid="{00000000-0005-0000-0000-000007850000}"/>
    <cellStyle name="Normal 37 2 11 9 2" xfId="36348" xr:uid="{00000000-0005-0000-0000-000008850000}"/>
    <cellStyle name="Normal 37 2 12" xfId="18986" xr:uid="{00000000-0005-0000-0000-000009850000}"/>
    <cellStyle name="Normal 37 2 12 10" xfId="18987" xr:uid="{00000000-0005-0000-0000-00000A850000}"/>
    <cellStyle name="Normal 37 2 12 10 2" xfId="36350" xr:uid="{00000000-0005-0000-0000-00000B850000}"/>
    <cellStyle name="Normal 37 2 12 11" xfId="18988" xr:uid="{00000000-0005-0000-0000-00000C850000}"/>
    <cellStyle name="Normal 37 2 12 11 2" xfId="36351" xr:uid="{00000000-0005-0000-0000-00000D850000}"/>
    <cellStyle name="Normal 37 2 12 12" xfId="18989" xr:uid="{00000000-0005-0000-0000-00000E850000}"/>
    <cellStyle name="Normal 37 2 12 12 2" xfId="36352" xr:uid="{00000000-0005-0000-0000-00000F850000}"/>
    <cellStyle name="Normal 37 2 12 13" xfId="18990" xr:uid="{00000000-0005-0000-0000-000010850000}"/>
    <cellStyle name="Normal 37 2 12 13 2" xfId="36353" xr:uid="{00000000-0005-0000-0000-000011850000}"/>
    <cellStyle name="Normal 37 2 12 14" xfId="18991" xr:uid="{00000000-0005-0000-0000-000012850000}"/>
    <cellStyle name="Normal 37 2 12 14 2" xfId="36354" xr:uid="{00000000-0005-0000-0000-000013850000}"/>
    <cellStyle name="Normal 37 2 12 15" xfId="36349" xr:uid="{00000000-0005-0000-0000-000014850000}"/>
    <cellStyle name="Normal 37 2 12 2" xfId="18992" xr:uid="{00000000-0005-0000-0000-000015850000}"/>
    <cellStyle name="Normal 37 2 12 2 2" xfId="36355" xr:uid="{00000000-0005-0000-0000-000016850000}"/>
    <cellStyle name="Normal 37 2 12 3" xfId="18993" xr:uid="{00000000-0005-0000-0000-000017850000}"/>
    <cellStyle name="Normal 37 2 12 3 2" xfId="36356" xr:uid="{00000000-0005-0000-0000-000018850000}"/>
    <cellStyle name="Normal 37 2 12 4" xfId="18994" xr:uid="{00000000-0005-0000-0000-000019850000}"/>
    <cellStyle name="Normal 37 2 12 4 2" xfId="36357" xr:uid="{00000000-0005-0000-0000-00001A850000}"/>
    <cellStyle name="Normal 37 2 12 5" xfId="18995" xr:uid="{00000000-0005-0000-0000-00001B850000}"/>
    <cellStyle name="Normal 37 2 12 5 2" xfId="36358" xr:uid="{00000000-0005-0000-0000-00001C850000}"/>
    <cellStyle name="Normal 37 2 12 6" xfId="18996" xr:uid="{00000000-0005-0000-0000-00001D850000}"/>
    <cellStyle name="Normal 37 2 12 6 2" xfId="36359" xr:uid="{00000000-0005-0000-0000-00001E850000}"/>
    <cellStyle name="Normal 37 2 12 7" xfId="18997" xr:uid="{00000000-0005-0000-0000-00001F850000}"/>
    <cellStyle name="Normal 37 2 12 7 2" xfId="36360" xr:uid="{00000000-0005-0000-0000-000020850000}"/>
    <cellStyle name="Normal 37 2 12 8" xfId="18998" xr:uid="{00000000-0005-0000-0000-000021850000}"/>
    <cellStyle name="Normal 37 2 12 8 2" xfId="36361" xr:uid="{00000000-0005-0000-0000-000022850000}"/>
    <cellStyle name="Normal 37 2 12 9" xfId="18999" xr:uid="{00000000-0005-0000-0000-000023850000}"/>
    <cellStyle name="Normal 37 2 12 9 2" xfId="36362" xr:uid="{00000000-0005-0000-0000-000024850000}"/>
    <cellStyle name="Normal 37 2 13" xfId="19000" xr:uid="{00000000-0005-0000-0000-000025850000}"/>
    <cellStyle name="Normal 37 2 13 10" xfId="19001" xr:uid="{00000000-0005-0000-0000-000026850000}"/>
    <cellStyle name="Normal 37 2 13 10 2" xfId="36364" xr:uid="{00000000-0005-0000-0000-000027850000}"/>
    <cellStyle name="Normal 37 2 13 11" xfId="19002" xr:uid="{00000000-0005-0000-0000-000028850000}"/>
    <cellStyle name="Normal 37 2 13 11 2" xfId="36365" xr:uid="{00000000-0005-0000-0000-000029850000}"/>
    <cellStyle name="Normal 37 2 13 12" xfId="19003" xr:uid="{00000000-0005-0000-0000-00002A850000}"/>
    <cellStyle name="Normal 37 2 13 12 2" xfId="36366" xr:uid="{00000000-0005-0000-0000-00002B850000}"/>
    <cellStyle name="Normal 37 2 13 13" xfId="19004" xr:uid="{00000000-0005-0000-0000-00002C850000}"/>
    <cellStyle name="Normal 37 2 13 13 2" xfId="36367" xr:uid="{00000000-0005-0000-0000-00002D850000}"/>
    <cellStyle name="Normal 37 2 13 14" xfId="19005" xr:uid="{00000000-0005-0000-0000-00002E850000}"/>
    <cellStyle name="Normal 37 2 13 14 2" xfId="36368" xr:uid="{00000000-0005-0000-0000-00002F850000}"/>
    <cellStyle name="Normal 37 2 13 15" xfId="36363" xr:uid="{00000000-0005-0000-0000-000030850000}"/>
    <cellStyle name="Normal 37 2 13 2" xfId="19006" xr:uid="{00000000-0005-0000-0000-000031850000}"/>
    <cellStyle name="Normal 37 2 13 2 2" xfId="36369" xr:uid="{00000000-0005-0000-0000-000032850000}"/>
    <cellStyle name="Normal 37 2 13 3" xfId="19007" xr:uid="{00000000-0005-0000-0000-000033850000}"/>
    <cellStyle name="Normal 37 2 13 3 2" xfId="36370" xr:uid="{00000000-0005-0000-0000-000034850000}"/>
    <cellStyle name="Normal 37 2 13 4" xfId="19008" xr:uid="{00000000-0005-0000-0000-000035850000}"/>
    <cellStyle name="Normal 37 2 13 4 2" xfId="36371" xr:uid="{00000000-0005-0000-0000-000036850000}"/>
    <cellStyle name="Normal 37 2 13 5" xfId="19009" xr:uid="{00000000-0005-0000-0000-000037850000}"/>
    <cellStyle name="Normal 37 2 13 5 2" xfId="36372" xr:uid="{00000000-0005-0000-0000-000038850000}"/>
    <cellStyle name="Normal 37 2 13 6" xfId="19010" xr:uid="{00000000-0005-0000-0000-000039850000}"/>
    <cellStyle name="Normal 37 2 13 6 2" xfId="36373" xr:uid="{00000000-0005-0000-0000-00003A850000}"/>
    <cellStyle name="Normal 37 2 13 7" xfId="19011" xr:uid="{00000000-0005-0000-0000-00003B850000}"/>
    <cellStyle name="Normal 37 2 13 7 2" xfId="36374" xr:uid="{00000000-0005-0000-0000-00003C850000}"/>
    <cellStyle name="Normal 37 2 13 8" xfId="19012" xr:uid="{00000000-0005-0000-0000-00003D850000}"/>
    <cellStyle name="Normal 37 2 13 8 2" xfId="36375" xr:uid="{00000000-0005-0000-0000-00003E850000}"/>
    <cellStyle name="Normal 37 2 13 9" xfId="19013" xr:uid="{00000000-0005-0000-0000-00003F850000}"/>
    <cellStyle name="Normal 37 2 13 9 2" xfId="36376" xr:uid="{00000000-0005-0000-0000-000040850000}"/>
    <cellStyle name="Normal 37 2 14" xfId="19014" xr:uid="{00000000-0005-0000-0000-000041850000}"/>
    <cellStyle name="Normal 37 2 14 10" xfId="19015" xr:uid="{00000000-0005-0000-0000-000042850000}"/>
    <cellStyle name="Normal 37 2 14 10 2" xfId="36378" xr:uid="{00000000-0005-0000-0000-000043850000}"/>
    <cellStyle name="Normal 37 2 14 11" xfId="19016" xr:uid="{00000000-0005-0000-0000-000044850000}"/>
    <cellStyle name="Normal 37 2 14 11 2" xfId="36379" xr:uid="{00000000-0005-0000-0000-000045850000}"/>
    <cellStyle name="Normal 37 2 14 12" xfId="19017" xr:uid="{00000000-0005-0000-0000-000046850000}"/>
    <cellStyle name="Normal 37 2 14 12 2" xfId="36380" xr:uid="{00000000-0005-0000-0000-000047850000}"/>
    <cellStyle name="Normal 37 2 14 13" xfId="19018" xr:uid="{00000000-0005-0000-0000-000048850000}"/>
    <cellStyle name="Normal 37 2 14 13 2" xfId="36381" xr:uid="{00000000-0005-0000-0000-000049850000}"/>
    <cellStyle name="Normal 37 2 14 14" xfId="19019" xr:uid="{00000000-0005-0000-0000-00004A850000}"/>
    <cellStyle name="Normal 37 2 14 14 2" xfId="36382" xr:uid="{00000000-0005-0000-0000-00004B850000}"/>
    <cellStyle name="Normal 37 2 14 15" xfId="36377" xr:uid="{00000000-0005-0000-0000-00004C850000}"/>
    <cellStyle name="Normal 37 2 14 2" xfId="19020" xr:uid="{00000000-0005-0000-0000-00004D850000}"/>
    <cellStyle name="Normal 37 2 14 2 2" xfId="36383" xr:uid="{00000000-0005-0000-0000-00004E850000}"/>
    <cellStyle name="Normal 37 2 14 3" xfId="19021" xr:uid="{00000000-0005-0000-0000-00004F850000}"/>
    <cellStyle name="Normal 37 2 14 3 2" xfId="36384" xr:uid="{00000000-0005-0000-0000-000050850000}"/>
    <cellStyle name="Normal 37 2 14 4" xfId="19022" xr:uid="{00000000-0005-0000-0000-000051850000}"/>
    <cellStyle name="Normal 37 2 14 4 2" xfId="36385" xr:uid="{00000000-0005-0000-0000-000052850000}"/>
    <cellStyle name="Normal 37 2 14 5" xfId="19023" xr:uid="{00000000-0005-0000-0000-000053850000}"/>
    <cellStyle name="Normal 37 2 14 5 2" xfId="36386" xr:uid="{00000000-0005-0000-0000-000054850000}"/>
    <cellStyle name="Normal 37 2 14 6" xfId="19024" xr:uid="{00000000-0005-0000-0000-000055850000}"/>
    <cellStyle name="Normal 37 2 14 6 2" xfId="36387" xr:uid="{00000000-0005-0000-0000-000056850000}"/>
    <cellStyle name="Normal 37 2 14 7" xfId="19025" xr:uid="{00000000-0005-0000-0000-000057850000}"/>
    <cellStyle name="Normal 37 2 14 7 2" xfId="36388" xr:uid="{00000000-0005-0000-0000-000058850000}"/>
    <cellStyle name="Normal 37 2 14 8" xfId="19026" xr:uid="{00000000-0005-0000-0000-000059850000}"/>
    <cellStyle name="Normal 37 2 14 8 2" xfId="36389" xr:uid="{00000000-0005-0000-0000-00005A850000}"/>
    <cellStyle name="Normal 37 2 14 9" xfId="19027" xr:uid="{00000000-0005-0000-0000-00005B850000}"/>
    <cellStyle name="Normal 37 2 14 9 2" xfId="36390" xr:uid="{00000000-0005-0000-0000-00005C850000}"/>
    <cellStyle name="Normal 37 2 15" xfId="19028" xr:uid="{00000000-0005-0000-0000-00005D850000}"/>
    <cellStyle name="Normal 37 2 15 10" xfId="19029" xr:uid="{00000000-0005-0000-0000-00005E850000}"/>
    <cellStyle name="Normal 37 2 15 10 2" xfId="36392" xr:uid="{00000000-0005-0000-0000-00005F850000}"/>
    <cellStyle name="Normal 37 2 15 11" xfId="19030" xr:uid="{00000000-0005-0000-0000-000060850000}"/>
    <cellStyle name="Normal 37 2 15 11 2" xfId="36393" xr:uid="{00000000-0005-0000-0000-000061850000}"/>
    <cellStyle name="Normal 37 2 15 12" xfId="19031" xr:uid="{00000000-0005-0000-0000-000062850000}"/>
    <cellStyle name="Normal 37 2 15 12 2" xfId="36394" xr:uid="{00000000-0005-0000-0000-000063850000}"/>
    <cellStyle name="Normal 37 2 15 13" xfId="19032" xr:uid="{00000000-0005-0000-0000-000064850000}"/>
    <cellStyle name="Normal 37 2 15 13 2" xfId="36395" xr:uid="{00000000-0005-0000-0000-000065850000}"/>
    <cellStyle name="Normal 37 2 15 14" xfId="19033" xr:uid="{00000000-0005-0000-0000-000066850000}"/>
    <cellStyle name="Normal 37 2 15 14 2" xfId="36396" xr:uid="{00000000-0005-0000-0000-000067850000}"/>
    <cellStyle name="Normal 37 2 15 15" xfId="36391" xr:uid="{00000000-0005-0000-0000-000068850000}"/>
    <cellStyle name="Normal 37 2 15 2" xfId="19034" xr:uid="{00000000-0005-0000-0000-000069850000}"/>
    <cellStyle name="Normal 37 2 15 2 2" xfId="36397" xr:uid="{00000000-0005-0000-0000-00006A850000}"/>
    <cellStyle name="Normal 37 2 15 3" xfId="19035" xr:uid="{00000000-0005-0000-0000-00006B850000}"/>
    <cellStyle name="Normal 37 2 15 3 2" xfId="36398" xr:uid="{00000000-0005-0000-0000-00006C850000}"/>
    <cellStyle name="Normal 37 2 15 4" xfId="19036" xr:uid="{00000000-0005-0000-0000-00006D850000}"/>
    <cellStyle name="Normal 37 2 15 4 2" xfId="36399" xr:uid="{00000000-0005-0000-0000-00006E850000}"/>
    <cellStyle name="Normal 37 2 15 5" xfId="19037" xr:uid="{00000000-0005-0000-0000-00006F850000}"/>
    <cellStyle name="Normal 37 2 15 5 2" xfId="36400" xr:uid="{00000000-0005-0000-0000-000070850000}"/>
    <cellStyle name="Normal 37 2 15 6" xfId="19038" xr:uid="{00000000-0005-0000-0000-000071850000}"/>
    <cellStyle name="Normal 37 2 15 6 2" xfId="36401" xr:uid="{00000000-0005-0000-0000-000072850000}"/>
    <cellStyle name="Normal 37 2 15 7" xfId="19039" xr:uid="{00000000-0005-0000-0000-000073850000}"/>
    <cellStyle name="Normal 37 2 15 7 2" xfId="36402" xr:uid="{00000000-0005-0000-0000-000074850000}"/>
    <cellStyle name="Normal 37 2 15 8" xfId="19040" xr:uid="{00000000-0005-0000-0000-000075850000}"/>
    <cellStyle name="Normal 37 2 15 8 2" xfId="36403" xr:uid="{00000000-0005-0000-0000-000076850000}"/>
    <cellStyle name="Normal 37 2 15 9" xfId="19041" xr:uid="{00000000-0005-0000-0000-000077850000}"/>
    <cellStyle name="Normal 37 2 15 9 2" xfId="36404" xr:uid="{00000000-0005-0000-0000-000078850000}"/>
    <cellStyle name="Normal 37 2 16" xfId="19042" xr:uid="{00000000-0005-0000-0000-000079850000}"/>
    <cellStyle name="Normal 37 2 16 10" xfId="19043" xr:uid="{00000000-0005-0000-0000-00007A850000}"/>
    <cellStyle name="Normal 37 2 16 10 2" xfId="36406" xr:uid="{00000000-0005-0000-0000-00007B850000}"/>
    <cellStyle name="Normal 37 2 16 11" xfId="19044" xr:uid="{00000000-0005-0000-0000-00007C850000}"/>
    <cellStyle name="Normal 37 2 16 11 2" xfId="36407" xr:uid="{00000000-0005-0000-0000-00007D850000}"/>
    <cellStyle name="Normal 37 2 16 12" xfId="19045" xr:uid="{00000000-0005-0000-0000-00007E850000}"/>
    <cellStyle name="Normal 37 2 16 12 2" xfId="36408" xr:uid="{00000000-0005-0000-0000-00007F850000}"/>
    <cellStyle name="Normal 37 2 16 13" xfId="19046" xr:uid="{00000000-0005-0000-0000-000080850000}"/>
    <cellStyle name="Normal 37 2 16 13 2" xfId="36409" xr:uid="{00000000-0005-0000-0000-000081850000}"/>
    <cellStyle name="Normal 37 2 16 14" xfId="19047" xr:uid="{00000000-0005-0000-0000-000082850000}"/>
    <cellStyle name="Normal 37 2 16 14 2" xfId="36410" xr:uid="{00000000-0005-0000-0000-000083850000}"/>
    <cellStyle name="Normal 37 2 16 15" xfId="36405" xr:uid="{00000000-0005-0000-0000-000084850000}"/>
    <cellStyle name="Normal 37 2 16 2" xfId="19048" xr:uid="{00000000-0005-0000-0000-000085850000}"/>
    <cellStyle name="Normal 37 2 16 2 2" xfId="36411" xr:uid="{00000000-0005-0000-0000-000086850000}"/>
    <cellStyle name="Normal 37 2 16 3" xfId="19049" xr:uid="{00000000-0005-0000-0000-000087850000}"/>
    <cellStyle name="Normal 37 2 16 3 2" xfId="36412" xr:uid="{00000000-0005-0000-0000-000088850000}"/>
    <cellStyle name="Normal 37 2 16 4" xfId="19050" xr:uid="{00000000-0005-0000-0000-000089850000}"/>
    <cellStyle name="Normal 37 2 16 4 2" xfId="36413" xr:uid="{00000000-0005-0000-0000-00008A850000}"/>
    <cellStyle name="Normal 37 2 16 5" xfId="19051" xr:uid="{00000000-0005-0000-0000-00008B850000}"/>
    <cellStyle name="Normal 37 2 16 5 2" xfId="36414" xr:uid="{00000000-0005-0000-0000-00008C850000}"/>
    <cellStyle name="Normal 37 2 16 6" xfId="19052" xr:uid="{00000000-0005-0000-0000-00008D850000}"/>
    <cellStyle name="Normal 37 2 16 6 2" xfId="36415" xr:uid="{00000000-0005-0000-0000-00008E850000}"/>
    <cellStyle name="Normal 37 2 16 7" xfId="19053" xr:uid="{00000000-0005-0000-0000-00008F850000}"/>
    <cellStyle name="Normal 37 2 16 7 2" xfId="36416" xr:uid="{00000000-0005-0000-0000-000090850000}"/>
    <cellStyle name="Normal 37 2 16 8" xfId="19054" xr:uid="{00000000-0005-0000-0000-000091850000}"/>
    <cellStyle name="Normal 37 2 16 8 2" xfId="36417" xr:uid="{00000000-0005-0000-0000-000092850000}"/>
    <cellStyle name="Normal 37 2 16 9" xfId="19055" xr:uid="{00000000-0005-0000-0000-000093850000}"/>
    <cellStyle name="Normal 37 2 16 9 2" xfId="36418" xr:uid="{00000000-0005-0000-0000-000094850000}"/>
    <cellStyle name="Normal 37 2 17" xfId="19056" xr:uid="{00000000-0005-0000-0000-000095850000}"/>
    <cellStyle name="Normal 37 2 17 10" xfId="19057" xr:uid="{00000000-0005-0000-0000-000096850000}"/>
    <cellStyle name="Normal 37 2 17 10 2" xfId="36420" xr:uid="{00000000-0005-0000-0000-000097850000}"/>
    <cellStyle name="Normal 37 2 17 11" xfId="19058" xr:uid="{00000000-0005-0000-0000-000098850000}"/>
    <cellStyle name="Normal 37 2 17 11 2" xfId="36421" xr:uid="{00000000-0005-0000-0000-000099850000}"/>
    <cellStyle name="Normal 37 2 17 12" xfId="19059" xr:uid="{00000000-0005-0000-0000-00009A850000}"/>
    <cellStyle name="Normal 37 2 17 12 2" xfId="36422" xr:uid="{00000000-0005-0000-0000-00009B850000}"/>
    <cellStyle name="Normal 37 2 17 13" xfId="19060" xr:uid="{00000000-0005-0000-0000-00009C850000}"/>
    <cellStyle name="Normal 37 2 17 13 2" xfId="36423" xr:uid="{00000000-0005-0000-0000-00009D850000}"/>
    <cellStyle name="Normal 37 2 17 14" xfId="19061" xr:uid="{00000000-0005-0000-0000-00009E850000}"/>
    <cellStyle name="Normal 37 2 17 14 2" xfId="36424" xr:uid="{00000000-0005-0000-0000-00009F850000}"/>
    <cellStyle name="Normal 37 2 17 15" xfId="36419" xr:uid="{00000000-0005-0000-0000-0000A0850000}"/>
    <cellStyle name="Normal 37 2 17 2" xfId="19062" xr:uid="{00000000-0005-0000-0000-0000A1850000}"/>
    <cellStyle name="Normal 37 2 17 2 2" xfId="36425" xr:uid="{00000000-0005-0000-0000-0000A2850000}"/>
    <cellStyle name="Normal 37 2 17 3" xfId="19063" xr:uid="{00000000-0005-0000-0000-0000A3850000}"/>
    <cellStyle name="Normal 37 2 17 3 2" xfId="36426" xr:uid="{00000000-0005-0000-0000-0000A4850000}"/>
    <cellStyle name="Normal 37 2 17 4" xfId="19064" xr:uid="{00000000-0005-0000-0000-0000A5850000}"/>
    <cellStyle name="Normal 37 2 17 4 2" xfId="36427" xr:uid="{00000000-0005-0000-0000-0000A6850000}"/>
    <cellStyle name="Normal 37 2 17 5" xfId="19065" xr:uid="{00000000-0005-0000-0000-0000A7850000}"/>
    <cellStyle name="Normal 37 2 17 5 2" xfId="36428" xr:uid="{00000000-0005-0000-0000-0000A8850000}"/>
    <cellStyle name="Normal 37 2 17 6" xfId="19066" xr:uid="{00000000-0005-0000-0000-0000A9850000}"/>
    <cellStyle name="Normal 37 2 17 6 2" xfId="36429" xr:uid="{00000000-0005-0000-0000-0000AA850000}"/>
    <cellStyle name="Normal 37 2 17 7" xfId="19067" xr:uid="{00000000-0005-0000-0000-0000AB850000}"/>
    <cellStyle name="Normal 37 2 17 7 2" xfId="36430" xr:uid="{00000000-0005-0000-0000-0000AC850000}"/>
    <cellStyle name="Normal 37 2 17 8" xfId="19068" xr:uid="{00000000-0005-0000-0000-0000AD850000}"/>
    <cellStyle name="Normal 37 2 17 8 2" xfId="36431" xr:uid="{00000000-0005-0000-0000-0000AE850000}"/>
    <cellStyle name="Normal 37 2 17 9" xfId="19069" xr:uid="{00000000-0005-0000-0000-0000AF850000}"/>
    <cellStyle name="Normal 37 2 17 9 2" xfId="36432" xr:uid="{00000000-0005-0000-0000-0000B0850000}"/>
    <cellStyle name="Normal 37 2 18" xfId="19070" xr:uid="{00000000-0005-0000-0000-0000B1850000}"/>
    <cellStyle name="Normal 37 2 18 2" xfId="36433" xr:uid="{00000000-0005-0000-0000-0000B2850000}"/>
    <cellStyle name="Normal 37 2 19" xfId="19071" xr:uid="{00000000-0005-0000-0000-0000B3850000}"/>
    <cellStyle name="Normal 37 2 19 2" xfId="36434" xr:uid="{00000000-0005-0000-0000-0000B4850000}"/>
    <cellStyle name="Normal 37 2 2" xfId="19072" xr:uid="{00000000-0005-0000-0000-0000B5850000}"/>
    <cellStyle name="Normal 37 2 20" xfId="19073" xr:uid="{00000000-0005-0000-0000-0000B6850000}"/>
    <cellStyle name="Normal 37 2 20 2" xfId="36435" xr:uid="{00000000-0005-0000-0000-0000B7850000}"/>
    <cellStyle name="Normal 37 2 21" xfId="19074" xr:uid="{00000000-0005-0000-0000-0000B8850000}"/>
    <cellStyle name="Normal 37 2 21 2" xfId="36436" xr:uid="{00000000-0005-0000-0000-0000B9850000}"/>
    <cellStyle name="Normal 37 2 22" xfId="19075" xr:uid="{00000000-0005-0000-0000-0000BA850000}"/>
    <cellStyle name="Normal 37 2 22 2" xfId="36437" xr:uid="{00000000-0005-0000-0000-0000BB850000}"/>
    <cellStyle name="Normal 37 2 23" xfId="19076" xr:uid="{00000000-0005-0000-0000-0000BC850000}"/>
    <cellStyle name="Normal 37 2 23 2" xfId="36438" xr:uid="{00000000-0005-0000-0000-0000BD850000}"/>
    <cellStyle name="Normal 37 2 24" xfId="19077" xr:uid="{00000000-0005-0000-0000-0000BE850000}"/>
    <cellStyle name="Normal 37 2 24 2" xfId="36439" xr:uid="{00000000-0005-0000-0000-0000BF850000}"/>
    <cellStyle name="Normal 37 2 25" xfId="19078" xr:uid="{00000000-0005-0000-0000-0000C0850000}"/>
    <cellStyle name="Normal 37 2 25 2" xfId="36440" xr:uid="{00000000-0005-0000-0000-0000C1850000}"/>
    <cellStyle name="Normal 37 2 26" xfId="19079" xr:uid="{00000000-0005-0000-0000-0000C2850000}"/>
    <cellStyle name="Normal 37 2 26 2" xfId="36441" xr:uid="{00000000-0005-0000-0000-0000C3850000}"/>
    <cellStyle name="Normal 37 2 27" xfId="19080" xr:uid="{00000000-0005-0000-0000-0000C4850000}"/>
    <cellStyle name="Normal 37 2 27 2" xfId="36442" xr:uid="{00000000-0005-0000-0000-0000C5850000}"/>
    <cellStyle name="Normal 37 2 28" xfId="19081" xr:uid="{00000000-0005-0000-0000-0000C6850000}"/>
    <cellStyle name="Normal 37 2 28 2" xfId="36443" xr:uid="{00000000-0005-0000-0000-0000C7850000}"/>
    <cellStyle name="Normal 37 2 29" xfId="19082" xr:uid="{00000000-0005-0000-0000-0000C8850000}"/>
    <cellStyle name="Normal 37 2 29 2" xfId="36444" xr:uid="{00000000-0005-0000-0000-0000C9850000}"/>
    <cellStyle name="Normal 37 2 3" xfId="19083" xr:uid="{00000000-0005-0000-0000-0000CA850000}"/>
    <cellStyle name="Normal 37 2 30" xfId="19084" xr:uid="{00000000-0005-0000-0000-0000CB850000}"/>
    <cellStyle name="Normal 37 2 30 2" xfId="36445" xr:uid="{00000000-0005-0000-0000-0000CC850000}"/>
    <cellStyle name="Normal 37 2 31" xfId="18957" xr:uid="{00000000-0005-0000-0000-0000CD850000}"/>
    <cellStyle name="Normal 37 2 32" xfId="36320" xr:uid="{00000000-0005-0000-0000-0000CE850000}"/>
    <cellStyle name="Normal 37 2 4" xfId="19085" xr:uid="{00000000-0005-0000-0000-0000CF850000}"/>
    <cellStyle name="Normal 37 2 4 10" xfId="19086" xr:uid="{00000000-0005-0000-0000-0000D0850000}"/>
    <cellStyle name="Normal 37 2 4 10 2" xfId="36447" xr:uid="{00000000-0005-0000-0000-0000D1850000}"/>
    <cellStyle name="Normal 37 2 4 11" xfId="19087" xr:uid="{00000000-0005-0000-0000-0000D2850000}"/>
    <cellStyle name="Normal 37 2 4 11 2" xfId="36448" xr:uid="{00000000-0005-0000-0000-0000D3850000}"/>
    <cellStyle name="Normal 37 2 4 12" xfId="19088" xr:uid="{00000000-0005-0000-0000-0000D4850000}"/>
    <cellStyle name="Normal 37 2 4 12 2" xfId="36449" xr:uid="{00000000-0005-0000-0000-0000D5850000}"/>
    <cellStyle name="Normal 37 2 4 13" xfId="19089" xr:uid="{00000000-0005-0000-0000-0000D6850000}"/>
    <cellStyle name="Normal 37 2 4 13 2" xfId="36450" xr:uid="{00000000-0005-0000-0000-0000D7850000}"/>
    <cellStyle name="Normal 37 2 4 14" xfId="19090" xr:uid="{00000000-0005-0000-0000-0000D8850000}"/>
    <cellStyle name="Normal 37 2 4 14 2" xfId="36451" xr:uid="{00000000-0005-0000-0000-0000D9850000}"/>
    <cellStyle name="Normal 37 2 4 15" xfId="19091" xr:uid="{00000000-0005-0000-0000-0000DA850000}"/>
    <cellStyle name="Normal 37 2 4 15 2" xfId="36452" xr:uid="{00000000-0005-0000-0000-0000DB850000}"/>
    <cellStyle name="Normal 37 2 4 16" xfId="36446" xr:uid="{00000000-0005-0000-0000-0000DC850000}"/>
    <cellStyle name="Normal 37 2 4 2" xfId="19092" xr:uid="{00000000-0005-0000-0000-0000DD850000}"/>
    <cellStyle name="Normal 37 2 4 2 10" xfId="19093" xr:uid="{00000000-0005-0000-0000-0000DE850000}"/>
    <cellStyle name="Normal 37 2 4 2 10 2" xfId="36454" xr:uid="{00000000-0005-0000-0000-0000DF850000}"/>
    <cellStyle name="Normal 37 2 4 2 11" xfId="19094" xr:uid="{00000000-0005-0000-0000-0000E0850000}"/>
    <cellStyle name="Normal 37 2 4 2 11 2" xfId="36455" xr:uid="{00000000-0005-0000-0000-0000E1850000}"/>
    <cellStyle name="Normal 37 2 4 2 12" xfId="19095" xr:uid="{00000000-0005-0000-0000-0000E2850000}"/>
    <cellStyle name="Normal 37 2 4 2 12 2" xfId="36456" xr:uid="{00000000-0005-0000-0000-0000E3850000}"/>
    <cellStyle name="Normal 37 2 4 2 13" xfId="19096" xr:uid="{00000000-0005-0000-0000-0000E4850000}"/>
    <cellStyle name="Normal 37 2 4 2 13 2" xfId="36457" xr:uid="{00000000-0005-0000-0000-0000E5850000}"/>
    <cellStyle name="Normal 37 2 4 2 14" xfId="19097" xr:uid="{00000000-0005-0000-0000-0000E6850000}"/>
    <cellStyle name="Normal 37 2 4 2 14 2" xfId="36458" xr:uid="{00000000-0005-0000-0000-0000E7850000}"/>
    <cellStyle name="Normal 37 2 4 2 15" xfId="36453" xr:uid="{00000000-0005-0000-0000-0000E8850000}"/>
    <cellStyle name="Normal 37 2 4 2 2" xfId="19098" xr:uid="{00000000-0005-0000-0000-0000E9850000}"/>
    <cellStyle name="Normal 37 2 4 2 2 2" xfId="36459" xr:uid="{00000000-0005-0000-0000-0000EA850000}"/>
    <cellStyle name="Normal 37 2 4 2 3" xfId="19099" xr:uid="{00000000-0005-0000-0000-0000EB850000}"/>
    <cellStyle name="Normal 37 2 4 2 3 2" xfId="36460" xr:uid="{00000000-0005-0000-0000-0000EC850000}"/>
    <cellStyle name="Normal 37 2 4 2 4" xfId="19100" xr:uid="{00000000-0005-0000-0000-0000ED850000}"/>
    <cellStyle name="Normal 37 2 4 2 4 2" xfId="36461" xr:uid="{00000000-0005-0000-0000-0000EE850000}"/>
    <cellStyle name="Normal 37 2 4 2 5" xfId="19101" xr:uid="{00000000-0005-0000-0000-0000EF850000}"/>
    <cellStyle name="Normal 37 2 4 2 5 2" xfId="36462" xr:uid="{00000000-0005-0000-0000-0000F0850000}"/>
    <cellStyle name="Normal 37 2 4 2 6" xfId="19102" xr:uid="{00000000-0005-0000-0000-0000F1850000}"/>
    <cellStyle name="Normal 37 2 4 2 6 2" xfId="36463" xr:uid="{00000000-0005-0000-0000-0000F2850000}"/>
    <cellStyle name="Normal 37 2 4 2 7" xfId="19103" xr:uid="{00000000-0005-0000-0000-0000F3850000}"/>
    <cellStyle name="Normal 37 2 4 2 7 2" xfId="36464" xr:uid="{00000000-0005-0000-0000-0000F4850000}"/>
    <cellStyle name="Normal 37 2 4 2 8" xfId="19104" xr:uid="{00000000-0005-0000-0000-0000F5850000}"/>
    <cellStyle name="Normal 37 2 4 2 8 2" xfId="36465" xr:uid="{00000000-0005-0000-0000-0000F6850000}"/>
    <cellStyle name="Normal 37 2 4 2 9" xfId="19105" xr:uid="{00000000-0005-0000-0000-0000F7850000}"/>
    <cellStyle name="Normal 37 2 4 2 9 2" xfId="36466" xr:uid="{00000000-0005-0000-0000-0000F8850000}"/>
    <cellStyle name="Normal 37 2 4 3" xfId="19106" xr:uid="{00000000-0005-0000-0000-0000F9850000}"/>
    <cellStyle name="Normal 37 2 4 3 2" xfId="36467" xr:uid="{00000000-0005-0000-0000-0000FA850000}"/>
    <cellStyle name="Normal 37 2 4 4" xfId="19107" xr:uid="{00000000-0005-0000-0000-0000FB850000}"/>
    <cellStyle name="Normal 37 2 4 4 2" xfId="36468" xr:uid="{00000000-0005-0000-0000-0000FC850000}"/>
    <cellStyle name="Normal 37 2 4 5" xfId="19108" xr:uid="{00000000-0005-0000-0000-0000FD850000}"/>
    <cellStyle name="Normal 37 2 4 5 2" xfId="36469" xr:uid="{00000000-0005-0000-0000-0000FE850000}"/>
    <cellStyle name="Normal 37 2 4 6" xfId="19109" xr:uid="{00000000-0005-0000-0000-0000FF850000}"/>
    <cellStyle name="Normal 37 2 4 6 2" xfId="36470" xr:uid="{00000000-0005-0000-0000-000000860000}"/>
    <cellStyle name="Normal 37 2 4 7" xfId="19110" xr:uid="{00000000-0005-0000-0000-000001860000}"/>
    <cellStyle name="Normal 37 2 4 7 2" xfId="36471" xr:uid="{00000000-0005-0000-0000-000002860000}"/>
    <cellStyle name="Normal 37 2 4 8" xfId="19111" xr:uid="{00000000-0005-0000-0000-000003860000}"/>
    <cellStyle name="Normal 37 2 4 8 2" xfId="36472" xr:uid="{00000000-0005-0000-0000-000004860000}"/>
    <cellStyle name="Normal 37 2 4 9" xfId="19112" xr:uid="{00000000-0005-0000-0000-000005860000}"/>
    <cellStyle name="Normal 37 2 4 9 2" xfId="36473" xr:uid="{00000000-0005-0000-0000-000006860000}"/>
    <cellStyle name="Normal 37 2 5" xfId="19113" xr:uid="{00000000-0005-0000-0000-000007860000}"/>
    <cellStyle name="Normal 37 2 5 10" xfId="19114" xr:uid="{00000000-0005-0000-0000-000008860000}"/>
    <cellStyle name="Normal 37 2 5 10 2" xfId="36475" xr:uid="{00000000-0005-0000-0000-000009860000}"/>
    <cellStyle name="Normal 37 2 5 11" xfId="19115" xr:uid="{00000000-0005-0000-0000-00000A860000}"/>
    <cellStyle name="Normal 37 2 5 11 2" xfId="36476" xr:uid="{00000000-0005-0000-0000-00000B860000}"/>
    <cellStyle name="Normal 37 2 5 12" xfId="19116" xr:uid="{00000000-0005-0000-0000-00000C860000}"/>
    <cellStyle name="Normal 37 2 5 12 2" xfId="36477" xr:uid="{00000000-0005-0000-0000-00000D860000}"/>
    <cellStyle name="Normal 37 2 5 13" xfId="19117" xr:uid="{00000000-0005-0000-0000-00000E860000}"/>
    <cellStyle name="Normal 37 2 5 13 2" xfId="36478" xr:uid="{00000000-0005-0000-0000-00000F860000}"/>
    <cellStyle name="Normal 37 2 5 14" xfId="19118" xr:uid="{00000000-0005-0000-0000-000010860000}"/>
    <cellStyle name="Normal 37 2 5 14 2" xfId="36479" xr:uid="{00000000-0005-0000-0000-000011860000}"/>
    <cellStyle name="Normal 37 2 5 15" xfId="19119" xr:uid="{00000000-0005-0000-0000-000012860000}"/>
    <cellStyle name="Normal 37 2 5 15 2" xfId="36480" xr:uid="{00000000-0005-0000-0000-000013860000}"/>
    <cellStyle name="Normal 37 2 5 16" xfId="36474" xr:uid="{00000000-0005-0000-0000-000014860000}"/>
    <cellStyle name="Normal 37 2 5 2" xfId="19120" xr:uid="{00000000-0005-0000-0000-000015860000}"/>
    <cellStyle name="Normal 37 2 5 2 10" xfId="19121" xr:uid="{00000000-0005-0000-0000-000016860000}"/>
    <cellStyle name="Normal 37 2 5 2 10 2" xfId="36482" xr:uid="{00000000-0005-0000-0000-000017860000}"/>
    <cellStyle name="Normal 37 2 5 2 11" xfId="19122" xr:uid="{00000000-0005-0000-0000-000018860000}"/>
    <cellStyle name="Normal 37 2 5 2 11 2" xfId="36483" xr:uid="{00000000-0005-0000-0000-000019860000}"/>
    <cellStyle name="Normal 37 2 5 2 12" xfId="19123" xr:uid="{00000000-0005-0000-0000-00001A860000}"/>
    <cellStyle name="Normal 37 2 5 2 12 2" xfId="36484" xr:uid="{00000000-0005-0000-0000-00001B860000}"/>
    <cellStyle name="Normal 37 2 5 2 13" xfId="19124" xr:uid="{00000000-0005-0000-0000-00001C860000}"/>
    <cellStyle name="Normal 37 2 5 2 13 2" xfId="36485" xr:uid="{00000000-0005-0000-0000-00001D860000}"/>
    <cellStyle name="Normal 37 2 5 2 14" xfId="19125" xr:uid="{00000000-0005-0000-0000-00001E860000}"/>
    <cellStyle name="Normal 37 2 5 2 14 2" xfId="36486" xr:uid="{00000000-0005-0000-0000-00001F860000}"/>
    <cellStyle name="Normal 37 2 5 2 15" xfId="36481" xr:uid="{00000000-0005-0000-0000-000020860000}"/>
    <cellStyle name="Normal 37 2 5 2 2" xfId="19126" xr:uid="{00000000-0005-0000-0000-000021860000}"/>
    <cellStyle name="Normal 37 2 5 2 2 2" xfId="36487" xr:uid="{00000000-0005-0000-0000-000022860000}"/>
    <cellStyle name="Normal 37 2 5 2 3" xfId="19127" xr:uid="{00000000-0005-0000-0000-000023860000}"/>
    <cellStyle name="Normal 37 2 5 2 3 2" xfId="36488" xr:uid="{00000000-0005-0000-0000-000024860000}"/>
    <cellStyle name="Normal 37 2 5 2 4" xfId="19128" xr:uid="{00000000-0005-0000-0000-000025860000}"/>
    <cellStyle name="Normal 37 2 5 2 4 2" xfId="36489" xr:uid="{00000000-0005-0000-0000-000026860000}"/>
    <cellStyle name="Normal 37 2 5 2 5" xfId="19129" xr:uid="{00000000-0005-0000-0000-000027860000}"/>
    <cellStyle name="Normal 37 2 5 2 5 2" xfId="36490" xr:uid="{00000000-0005-0000-0000-000028860000}"/>
    <cellStyle name="Normal 37 2 5 2 6" xfId="19130" xr:uid="{00000000-0005-0000-0000-000029860000}"/>
    <cellStyle name="Normal 37 2 5 2 6 2" xfId="36491" xr:uid="{00000000-0005-0000-0000-00002A860000}"/>
    <cellStyle name="Normal 37 2 5 2 7" xfId="19131" xr:uid="{00000000-0005-0000-0000-00002B860000}"/>
    <cellStyle name="Normal 37 2 5 2 7 2" xfId="36492" xr:uid="{00000000-0005-0000-0000-00002C860000}"/>
    <cellStyle name="Normal 37 2 5 2 8" xfId="19132" xr:uid="{00000000-0005-0000-0000-00002D860000}"/>
    <cellStyle name="Normal 37 2 5 2 8 2" xfId="36493" xr:uid="{00000000-0005-0000-0000-00002E860000}"/>
    <cellStyle name="Normal 37 2 5 2 9" xfId="19133" xr:uid="{00000000-0005-0000-0000-00002F860000}"/>
    <cellStyle name="Normal 37 2 5 2 9 2" xfId="36494" xr:uid="{00000000-0005-0000-0000-000030860000}"/>
    <cellStyle name="Normal 37 2 5 3" xfId="19134" xr:uid="{00000000-0005-0000-0000-000031860000}"/>
    <cellStyle name="Normal 37 2 5 3 2" xfId="36495" xr:uid="{00000000-0005-0000-0000-000032860000}"/>
    <cellStyle name="Normal 37 2 5 4" xfId="19135" xr:uid="{00000000-0005-0000-0000-000033860000}"/>
    <cellStyle name="Normal 37 2 5 4 2" xfId="36496" xr:uid="{00000000-0005-0000-0000-000034860000}"/>
    <cellStyle name="Normal 37 2 5 5" xfId="19136" xr:uid="{00000000-0005-0000-0000-000035860000}"/>
    <cellStyle name="Normal 37 2 5 5 2" xfId="36497" xr:uid="{00000000-0005-0000-0000-000036860000}"/>
    <cellStyle name="Normal 37 2 5 6" xfId="19137" xr:uid="{00000000-0005-0000-0000-000037860000}"/>
    <cellStyle name="Normal 37 2 5 6 2" xfId="36498" xr:uid="{00000000-0005-0000-0000-000038860000}"/>
    <cellStyle name="Normal 37 2 5 7" xfId="19138" xr:uid="{00000000-0005-0000-0000-000039860000}"/>
    <cellStyle name="Normal 37 2 5 7 2" xfId="36499" xr:uid="{00000000-0005-0000-0000-00003A860000}"/>
    <cellStyle name="Normal 37 2 5 8" xfId="19139" xr:uid="{00000000-0005-0000-0000-00003B860000}"/>
    <cellStyle name="Normal 37 2 5 8 2" xfId="36500" xr:uid="{00000000-0005-0000-0000-00003C860000}"/>
    <cellStyle name="Normal 37 2 5 9" xfId="19140" xr:uid="{00000000-0005-0000-0000-00003D860000}"/>
    <cellStyle name="Normal 37 2 5 9 2" xfId="36501" xr:uid="{00000000-0005-0000-0000-00003E860000}"/>
    <cellStyle name="Normal 37 2 6" xfId="19141" xr:uid="{00000000-0005-0000-0000-00003F860000}"/>
    <cellStyle name="Normal 37 2 6 10" xfId="19142" xr:uid="{00000000-0005-0000-0000-000040860000}"/>
    <cellStyle name="Normal 37 2 6 10 2" xfId="36503" xr:uid="{00000000-0005-0000-0000-000041860000}"/>
    <cellStyle name="Normal 37 2 6 11" xfId="19143" xr:uid="{00000000-0005-0000-0000-000042860000}"/>
    <cellStyle name="Normal 37 2 6 11 2" xfId="36504" xr:uid="{00000000-0005-0000-0000-000043860000}"/>
    <cellStyle name="Normal 37 2 6 12" xfId="19144" xr:uid="{00000000-0005-0000-0000-000044860000}"/>
    <cellStyle name="Normal 37 2 6 12 2" xfId="36505" xr:uid="{00000000-0005-0000-0000-000045860000}"/>
    <cellStyle name="Normal 37 2 6 13" xfId="19145" xr:uid="{00000000-0005-0000-0000-000046860000}"/>
    <cellStyle name="Normal 37 2 6 13 2" xfId="36506" xr:uid="{00000000-0005-0000-0000-000047860000}"/>
    <cellStyle name="Normal 37 2 6 14" xfId="19146" xr:uid="{00000000-0005-0000-0000-000048860000}"/>
    <cellStyle name="Normal 37 2 6 14 2" xfId="36507" xr:uid="{00000000-0005-0000-0000-000049860000}"/>
    <cellStyle name="Normal 37 2 6 15" xfId="19147" xr:uid="{00000000-0005-0000-0000-00004A860000}"/>
    <cellStyle name="Normal 37 2 6 15 2" xfId="36508" xr:uid="{00000000-0005-0000-0000-00004B860000}"/>
    <cellStyle name="Normal 37 2 6 16" xfId="36502" xr:uid="{00000000-0005-0000-0000-00004C860000}"/>
    <cellStyle name="Normal 37 2 6 2" xfId="19148" xr:uid="{00000000-0005-0000-0000-00004D860000}"/>
    <cellStyle name="Normal 37 2 6 2 10" xfId="19149" xr:uid="{00000000-0005-0000-0000-00004E860000}"/>
    <cellStyle name="Normal 37 2 6 2 10 2" xfId="36510" xr:uid="{00000000-0005-0000-0000-00004F860000}"/>
    <cellStyle name="Normal 37 2 6 2 11" xfId="19150" xr:uid="{00000000-0005-0000-0000-000050860000}"/>
    <cellStyle name="Normal 37 2 6 2 11 2" xfId="36511" xr:uid="{00000000-0005-0000-0000-000051860000}"/>
    <cellStyle name="Normal 37 2 6 2 12" xfId="19151" xr:uid="{00000000-0005-0000-0000-000052860000}"/>
    <cellStyle name="Normal 37 2 6 2 12 2" xfId="36512" xr:uid="{00000000-0005-0000-0000-000053860000}"/>
    <cellStyle name="Normal 37 2 6 2 13" xfId="19152" xr:uid="{00000000-0005-0000-0000-000054860000}"/>
    <cellStyle name="Normal 37 2 6 2 13 2" xfId="36513" xr:uid="{00000000-0005-0000-0000-000055860000}"/>
    <cellStyle name="Normal 37 2 6 2 14" xfId="19153" xr:uid="{00000000-0005-0000-0000-000056860000}"/>
    <cellStyle name="Normal 37 2 6 2 14 2" xfId="36514" xr:uid="{00000000-0005-0000-0000-000057860000}"/>
    <cellStyle name="Normal 37 2 6 2 15" xfId="36509" xr:uid="{00000000-0005-0000-0000-000058860000}"/>
    <cellStyle name="Normal 37 2 6 2 2" xfId="19154" xr:uid="{00000000-0005-0000-0000-000059860000}"/>
    <cellStyle name="Normal 37 2 6 2 2 2" xfId="36515" xr:uid="{00000000-0005-0000-0000-00005A860000}"/>
    <cellStyle name="Normal 37 2 6 2 3" xfId="19155" xr:uid="{00000000-0005-0000-0000-00005B860000}"/>
    <cellStyle name="Normal 37 2 6 2 3 2" xfId="36516" xr:uid="{00000000-0005-0000-0000-00005C860000}"/>
    <cellStyle name="Normal 37 2 6 2 4" xfId="19156" xr:uid="{00000000-0005-0000-0000-00005D860000}"/>
    <cellStyle name="Normal 37 2 6 2 4 2" xfId="36517" xr:uid="{00000000-0005-0000-0000-00005E860000}"/>
    <cellStyle name="Normal 37 2 6 2 5" xfId="19157" xr:uid="{00000000-0005-0000-0000-00005F860000}"/>
    <cellStyle name="Normal 37 2 6 2 5 2" xfId="36518" xr:uid="{00000000-0005-0000-0000-000060860000}"/>
    <cellStyle name="Normal 37 2 6 2 6" xfId="19158" xr:uid="{00000000-0005-0000-0000-000061860000}"/>
    <cellStyle name="Normal 37 2 6 2 6 2" xfId="36519" xr:uid="{00000000-0005-0000-0000-000062860000}"/>
    <cellStyle name="Normal 37 2 6 2 7" xfId="19159" xr:uid="{00000000-0005-0000-0000-000063860000}"/>
    <cellStyle name="Normal 37 2 6 2 7 2" xfId="36520" xr:uid="{00000000-0005-0000-0000-000064860000}"/>
    <cellStyle name="Normal 37 2 6 2 8" xfId="19160" xr:uid="{00000000-0005-0000-0000-000065860000}"/>
    <cellStyle name="Normal 37 2 6 2 8 2" xfId="36521" xr:uid="{00000000-0005-0000-0000-000066860000}"/>
    <cellStyle name="Normal 37 2 6 2 9" xfId="19161" xr:uid="{00000000-0005-0000-0000-000067860000}"/>
    <cellStyle name="Normal 37 2 6 2 9 2" xfId="36522" xr:uid="{00000000-0005-0000-0000-000068860000}"/>
    <cellStyle name="Normal 37 2 6 3" xfId="19162" xr:uid="{00000000-0005-0000-0000-000069860000}"/>
    <cellStyle name="Normal 37 2 6 3 2" xfId="36523" xr:uid="{00000000-0005-0000-0000-00006A860000}"/>
    <cellStyle name="Normal 37 2 6 4" xfId="19163" xr:uid="{00000000-0005-0000-0000-00006B860000}"/>
    <cellStyle name="Normal 37 2 6 4 2" xfId="36524" xr:uid="{00000000-0005-0000-0000-00006C860000}"/>
    <cellStyle name="Normal 37 2 6 5" xfId="19164" xr:uid="{00000000-0005-0000-0000-00006D860000}"/>
    <cellStyle name="Normal 37 2 6 5 2" xfId="36525" xr:uid="{00000000-0005-0000-0000-00006E860000}"/>
    <cellStyle name="Normal 37 2 6 6" xfId="19165" xr:uid="{00000000-0005-0000-0000-00006F860000}"/>
    <cellStyle name="Normal 37 2 6 6 2" xfId="36526" xr:uid="{00000000-0005-0000-0000-000070860000}"/>
    <cellStyle name="Normal 37 2 6 7" xfId="19166" xr:uid="{00000000-0005-0000-0000-000071860000}"/>
    <cellStyle name="Normal 37 2 6 7 2" xfId="36527" xr:uid="{00000000-0005-0000-0000-000072860000}"/>
    <cellStyle name="Normal 37 2 6 8" xfId="19167" xr:uid="{00000000-0005-0000-0000-000073860000}"/>
    <cellStyle name="Normal 37 2 6 8 2" xfId="36528" xr:uid="{00000000-0005-0000-0000-000074860000}"/>
    <cellStyle name="Normal 37 2 6 9" xfId="19168" xr:uid="{00000000-0005-0000-0000-000075860000}"/>
    <cellStyle name="Normal 37 2 6 9 2" xfId="36529" xr:uid="{00000000-0005-0000-0000-000076860000}"/>
    <cellStyle name="Normal 37 2 7" xfId="19169" xr:uid="{00000000-0005-0000-0000-000077860000}"/>
    <cellStyle name="Normal 37 2 7 10" xfId="19170" xr:uid="{00000000-0005-0000-0000-000078860000}"/>
    <cellStyle name="Normal 37 2 7 10 2" xfId="36531" xr:uid="{00000000-0005-0000-0000-000079860000}"/>
    <cellStyle name="Normal 37 2 7 11" xfId="19171" xr:uid="{00000000-0005-0000-0000-00007A860000}"/>
    <cellStyle name="Normal 37 2 7 11 2" xfId="36532" xr:uid="{00000000-0005-0000-0000-00007B860000}"/>
    <cellStyle name="Normal 37 2 7 12" xfId="19172" xr:uid="{00000000-0005-0000-0000-00007C860000}"/>
    <cellStyle name="Normal 37 2 7 12 2" xfId="36533" xr:uid="{00000000-0005-0000-0000-00007D860000}"/>
    <cellStyle name="Normal 37 2 7 13" xfId="19173" xr:uid="{00000000-0005-0000-0000-00007E860000}"/>
    <cellStyle name="Normal 37 2 7 13 2" xfId="36534" xr:uid="{00000000-0005-0000-0000-00007F860000}"/>
    <cellStyle name="Normal 37 2 7 14" xfId="19174" xr:uid="{00000000-0005-0000-0000-000080860000}"/>
    <cellStyle name="Normal 37 2 7 14 2" xfId="36535" xr:uid="{00000000-0005-0000-0000-000081860000}"/>
    <cellStyle name="Normal 37 2 7 15" xfId="36530" xr:uid="{00000000-0005-0000-0000-000082860000}"/>
    <cellStyle name="Normal 37 2 7 2" xfId="19175" xr:uid="{00000000-0005-0000-0000-000083860000}"/>
    <cellStyle name="Normal 37 2 7 2 2" xfId="36536" xr:uid="{00000000-0005-0000-0000-000084860000}"/>
    <cellStyle name="Normal 37 2 7 3" xfId="19176" xr:uid="{00000000-0005-0000-0000-000085860000}"/>
    <cellStyle name="Normal 37 2 7 3 2" xfId="36537" xr:uid="{00000000-0005-0000-0000-000086860000}"/>
    <cellStyle name="Normal 37 2 7 4" xfId="19177" xr:uid="{00000000-0005-0000-0000-000087860000}"/>
    <cellStyle name="Normal 37 2 7 4 2" xfId="36538" xr:uid="{00000000-0005-0000-0000-000088860000}"/>
    <cellStyle name="Normal 37 2 7 5" xfId="19178" xr:uid="{00000000-0005-0000-0000-000089860000}"/>
    <cellStyle name="Normal 37 2 7 5 2" xfId="36539" xr:uid="{00000000-0005-0000-0000-00008A860000}"/>
    <cellStyle name="Normal 37 2 7 6" xfId="19179" xr:uid="{00000000-0005-0000-0000-00008B860000}"/>
    <cellStyle name="Normal 37 2 7 6 2" xfId="36540" xr:uid="{00000000-0005-0000-0000-00008C860000}"/>
    <cellStyle name="Normal 37 2 7 7" xfId="19180" xr:uid="{00000000-0005-0000-0000-00008D860000}"/>
    <cellStyle name="Normal 37 2 7 7 2" xfId="36541" xr:uid="{00000000-0005-0000-0000-00008E860000}"/>
    <cellStyle name="Normal 37 2 7 8" xfId="19181" xr:uid="{00000000-0005-0000-0000-00008F860000}"/>
    <cellStyle name="Normal 37 2 7 8 2" xfId="36542" xr:uid="{00000000-0005-0000-0000-000090860000}"/>
    <cellStyle name="Normal 37 2 7 9" xfId="19182" xr:uid="{00000000-0005-0000-0000-000091860000}"/>
    <cellStyle name="Normal 37 2 7 9 2" xfId="36543" xr:uid="{00000000-0005-0000-0000-000092860000}"/>
    <cellStyle name="Normal 37 2 8" xfId="19183" xr:uid="{00000000-0005-0000-0000-000093860000}"/>
    <cellStyle name="Normal 37 2 8 10" xfId="19184" xr:uid="{00000000-0005-0000-0000-000094860000}"/>
    <cellStyle name="Normal 37 2 8 10 2" xfId="36545" xr:uid="{00000000-0005-0000-0000-000095860000}"/>
    <cellStyle name="Normal 37 2 8 11" xfId="19185" xr:uid="{00000000-0005-0000-0000-000096860000}"/>
    <cellStyle name="Normal 37 2 8 11 2" xfId="36546" xr:uid="{00000000-0005-0000-0000-000097860000}"/>
    <cellStyle name="Normal 37 2 8 12" xfId="19186" xr:uid="{00000000-0005-0000-0000-000098860000}"/>
    <cellStyle name="Normal 37 2 8 12 2" xfId="36547" xr:uid="{00000000-0005-0000-0000-000099860000}"/>
    <cellStyle name="Normal 37 2 8 13" xfId="19187" xr:uid="{00000000-0005-0000-0000-00009A860000}"/>
    <cellStyle name="Normal 37 2 8 13 2" xfId="36548" xr:uid="{00000000-0005-0000-0000-00009B860000}"/>
    <cellStyle name="Normal 37 2 8 14" xfId="19188" xr:uid="{00000000-0005-0000-0000-00009C860000}"/>
    <cellStyle name="Normal 37 2 8 14 2" xfId="36549" xr:uid="{00000000-0005-0000-0000-00009D860000}"/>
    <cellStyle name="Normal 37 2 8 15" xfId="36544" xr:uid="{00000000-0005-0000-0000-00009E860000}"/>
    <cellStyle name="Normal 37 2 8 2" xfId="19189" xr:uid="{00000000-0005-0000-0000-00009F860000}"/>
    <cellStyle name="Normal 37 2 8 2 2" xfId="36550" xr:uid="{00000000-0005-0000-0000-0000A0860000}"/>
    <cellStyle name="Normal 37 2 8 3" xfId="19190" xr:uid="{00000000-0005-0000-0000-0000A1860000}"/>
    <cellStyle name="Normal 37 2 8 3 2" xfId="36551" xr:uid="{00000000-0005-0000-0000-0000A2860000}"/>
    <cellStyle name="Normal 37 2 8 4" xfId="19191" xr:uid="{00000000-0005-0000-0000-0000A3860000}"/>
    <cellStyle name="Normal 37 2 8 4 2" xfId="36552" xr:uid="{00000000-0005-0000-0000-0000A4860000}"/>
    <cellStyle name="Normal 37 2 8 5" xfId="19192" xr:uid="{00000000-0005-0000-0000-0000A5860000}"/>
    <cellStyle name="Normal 37 2 8 5 2" xfId="36553" xr:uid="{00000000-0005-0000-0000-0000A6860000}"/>
    <cellStyle name="Normal 37 2 8 6" xfId="19193" xr:uid="{00000000-0005-0000-0000-0000A7860000}"/>
    <cellStyle name="Normal 37 2 8 6 2" xfId="36554" xr:uid="{00000000-0005-0000-0000-0000A8860000}"/>
    <cellStyle name="Normal 37 2 8 7" xfId="19194" xr:uid="{00000000-0005-0000-0000-0000A9860000}"/>
    <cellStyle name="Normal 37 2 8 7 2" xfId="36555" xr:uid="{00000000-0005-0000-0000-0000AA860000}"/>
    <cellStyle name="Normal 37 2 8 8" xfId="19195" xr:uid="{00000000-0005-0000-0000-0000AB860000}"/>
    <cellStyle name="Normal 37 2 8 8 2" xfId="36556" xr:uid="{00000000-0005-0000-0000-0000AC860000}"/>
    <cellStyle name="Normal 37 2 8 9" xfId="19196" xr:uid="{00000000-0005-0000-0000-0000AD860000}"/>
    <cellStyle name="Normal 37 2 8 9 2" xfId="36557" xr:uid="{00000000-0005-0000-0000-0000AE860000}"/>
    <cellStyle name="Normal 37 2 9" xfId="19197" xr:uid="{00000000-0005-0000-0000-0000AF860000}"/>
    <cellStyle name="Normal 37 2 9 10" xfId="19198" xr:uid="{00000000-0005-0000-0000-0000B0860000}"/>
    <cellStyle name="Normal 37 2 9 10 2" xfId="36559" xr:uid="{00000000-0005-0000-0000-0000B1860000}"/>
    <cellStyle name="Normal 37 2 9 11" xfId="19199" xr:uid="{00000000-0005-0000-0000-0000B2860000}"/>
    <cellStyle name="Normal 37 2 9 11 2" xfId="36560" xr:uid="{00000000-0005-0000-0000-0000B3860000}"/>
    <cellStyle name="Normal 37 2 9 12" xfId="19200" xr:uid="{00000000-0005-0000-0000-0000B4860000}"/>
    <cellStyle name="Normal 37 2 9 12 2" xfId="36561" xr:uid="{00000000-0005-0000-0000-0000B5860000}"/>
    <cellStyle name="Normal 37 2 9 13" xfId="19201" xr:uid="{00000000-0005-0000-0000-0000B6860000}"/>
    <cellStyle name="Normal 37 2 9 13 2" xfId="36562" xr:uid="{00000000-0005-0000-0000-0000B7860000}"/>
    <cellStyle name="Normal 37 2 9 14" xfId="19202" xr:uid="{00000000-0005-0000-0000-0000B8860000}"/>
    <cellStyle name="Normal 37 2 9 14 2" xfId="36563" xr:uid="{00000000-0005-0000-0000-0000B9860000}"/>
    <cellStyle name="Normal 37 2 9 15" xfId="36558" xr:uid="{00000000-0005-0000-0000-0000BA860000}"/>
    <cellStyle name="Normal 37 2 9 2" xfId="19203" xr:uid="{00000000-0005-0000-0000-0000BB860000}"/>
    <cellStyle name="Normal 37 2 9 2 2" xfId="36564" xr:uid="{00000000-0005-0000-0000-0000BC860000}"/>
    <cellStyle name="Normal 37 2 9 3" xfId="19204" xr:uid="{00000000-0005-0000-0000-0000BD860000}"/>
    <cellStyle name="Normal 37 2 9 3 2" xfId="36565" xr:uid="{00000000-0005-0000-0000-0000BE860000}"/>
    <cellStyle name="Normal 37 2 9 4" xfId="19205" xr:uid="{00000000-0005-0000-0000-0000BF860000}"/>
    <cellStyle name="Normal 37 2 9 4 2" xfId="36566" xr:uid="{00000000-0005-0000-0000-0000C0860000}"/>
    <cellStyle name="Normal 37 2 9 5" xfId="19206" xr:uid="{00000000-0005-0000-0000-0000C1860000}"/>
    <cellStyle name="Normal 37 2 9 5 2" xfId="36567" xr:uid="{00000000-0005-0000-0000-0000C2860000}"/>
    <cellStyle name="Normal 37 2 9 6" xfId="19207" xr:uid="{00000000-0005-0000-0000-0000C3860000}"/>
    <cellStyle name="Normal 37 2 9 6 2" xfId="36568" xr:uid="{00000000-0005-0000-0000-0000C4860000}"/>
    <cellStyle name="Normal 37 2 9 7" xfId="19208" xr:uid="{00000000-0005-0000-0000-0000C5860000}"/>
    <cellStyle name="Normal 37 2 9 7 2" xfId="36569" xr:uid="{00000000-0005-0000-0000-0000C6860000}"/>
    <cellStyle name="Normal 37 2 9 8" xfId="19209" xr:uid="{00000000-0005-0000-0000-0000C7860000}"/>
    <cellStyle name="Normal 37 2 9 8 2" xfId="36570" xr:uid="{00000000-0005-0000-0000-0000C8860000}"/>
    <cellStyle name="Normal 37 2 9 9" xfId="19210" xr:uid="{00000000-0005-0000-0000-0000C9860000}"/>
    <cellStyle name="Normal 37 2 9 9 2" xfId="36571" xr:uid="{00000000-0005-0000-0000-0000CA860000}"/>
    <cellStyle name="Normal 37 3" xfId="19211" xr:uid="{00000000-0005-0000-0000-0000CB860000}"/>
    <cellStyle name="Normal 37 4" xfId="19212" xr:uid="{00000000-0005-0000-0000-0000CC860000}"/>
    <cellStyle name="Normal 37 4 10" xfId="19213" xr:uid="{00000000-0005-0000-0000-0000CD860000}"/>
    <cellStyle name="Normal 37 4 10 10" xfId="19214" xr:uid="{00000000-0005-0000-0000-0000CE860000}"/>
    <cellStyle name="Normal 37 4 10 10 2" xfId="36574" xr:uid="{00000000-0005-0000-0000-0000CF860000}"/>
    <cellStyle name="Normal 37 4 10 11" xfId="19215" xr:uid="{00000000-0005-0000-0000-0000D0860000}"/>
    <cellStyle name="Normal 37 4 10 11 2" xfId="36575" xr:uid="{00000000-0005-0000-0000-0000D1860000}"/>
    <cellStyle name="Normal 37 4 10 12" xfId="19216" xr:uid="{00000000-0005-0000-0000-0000D2860000}"/>
    <cellStyle name="Normal 37 4 10 12 2" xfId="36576" xr:uid="{00000000-0005-0000-0000-0000D3860000}"/>
    <cellStyle name="Normal 37 4 10 13" xfId="19217" xr:uid="{00000000-0005-0000-0000-0000D4860000}"/>
    <cellStyle name="Normal 37 4 10 13 2" xfId="36577" xr:uid="{00000000-0005-0000-0000-0000D5860000}"/>
    <cellStyle name="Normal 37 4 10 14" xfId="19218" xr:uid="{00000000-0005-0000-0000-0000D6860000}"/>
    <cellStyle name="Normal 37 4 10 14 2" xfId="36578" xr:uid="{00000000-0005-0000-0000-0000D7860000}"/>
    <cellStyle name="Normal 37 4 10 15" xfId="36573" xr:uid="{00000000-0005-0000-0000-0000D8860000}"/>
    <cellStyle name="Normal 37 4 10 2" xfId="19219" xr:uid="{00000000-0005-0000-0000-0000D9860000}"/>
    <cellStyle name="Normal 37 4 10 2 2" xfId="36579" xr:uid="{00000000-0005-0000-0000-0000DA860000}"/>
    <cellStyle name="Normal 37 4 10 3" xfId="19220" xr:uid="{00000000-0005-0000-0000-0000DB860000}"/>
    <cellStyle name="Normal 37 4 10 3 2" xfId="36580" xr:uid="{00000000-0005-0000-0000-0000DC860000}"/>
    <cellStyle name="Normal 37 4 10 4" xfId="19221" xr:uid="{00000000-0005-0000-0000-0000DD860000}"/>
    <cellStyle name="Normal 37 4 10 4 2" xfId="36581" xr:uid="{00000000-0005-0000-0000-0000DE860000}"/>
    <cellStyle name="Normal 37 4 10 5" xfId="19222" xr:uid="{00000000-0005-0000-0000-0000DF860000}"/>
    <cellStyle name="Normal 37 4 10 5 2" xfId="36582" xr:uid="{00000000-0005-0000-0000-0000E0860000}"/>
    <cellStyle name="Normal 37 4 10 6" xfId="19223" xr:uid="{00000000-0005-0000-0000-0000E1860000}"/>
    <cellStyle name="Normal 37 4 10 6 2" xfId="36583" xr:uid="{00000000-0005-0000-0000-0000E2860000}"/>
    <cellStyle name="Normal 37 4 10 7" xfId="19224" xr:uid="{00000000-0005-0000-0000-0000E3860000}"/>
    <cellStyle name="Normal 37 4 10 7 2" xfId="36584" xr:uid="{00000000-0005-0000-0000-0000E4860000}"/>
    <cellStyle name="Normal 37 4 10 8" xfId="19225" xr:uid="{00000000-0005-0000-0000-0000E5860000}"/>
    <cellStyle name="Normal 37 4 10 8 2" xfId="36585" xr:uid="{00000000-0005-0000-0000-0000E6860000}"/>
    <cellStyle name="Normal 37 4 10 9" xfId="19226" xr:uid="{00000000-0005-0000-0000-0000E7860000}"/>
    <cellStyle name="Normal 37 4 10 9 2" xfId="36586" xr:uid="{00000000-0005-0000-0000-0000E8860000}"/>
    <cellStyle name="Normal 37 4 11" xfId="19227" xr:uid="{00000000-0005-0000-0000-0000E9860000}"/>
    <cellStyle name="Normal 37 4 11 10" xfId="19228" xr:uid="{00000000-0005-0000-0000-0000EA860000}"/>
    <cellStyle name="Normal 37 4 11 10 2" xfId="36588" xr:uid="{00000000-0005-0000-0000-0000EB860000}"/>
    <cellStyle name="Normal 37 4 11 11" xfId="19229" xr:uid="{00000000-0005-0000-0000-0000EC860000}"/>
    <cellStyle name="Normal 37 4 11 11 2" xfId="36589" xr:uid="{00000000-0005-0000-0000-0000ED860000}"/>
    <cellStyle name="Normal 37 4 11 12" xfId="19230" xr:uid="{00000000-0005-0000-0000-0000EE860000}"/>
    <cellStyle name="Normal 37 4 11 12 2" xfId="36590" xr:uid="{00000000-0005-0000-0000-0000EF860000}"/>
    <cellStyle name="Normal 37 4 11 13" xfId="19231" xr:uid="{00000000-0005-0000-0000-0000F0860000}"/>
    <cellStyle name="Normal 37 4 11 13 2" xfId="36591" xr:uid="{00000000-0005-0000-0000-0000F1860000}"/>
    <cellStyle name="Normal 37 4 11 14" xfId="19232" xr:uid="{00000000-0005-0000-0000-0000F2860000}"/>
    <cellStyle name="Normal 37 4 11 14 2" xfId="36592" xr:uid="{00000000-0005-0000-0000-0000F3860000}"/>
    <cellStyle name="Normal 37 4 11 15" xfId="36587" xr:uid="{00000000-0005-0000-0000-0000F4860000}"/>
    <cellStyle name="Normal 37 4 11 2" xfId="19233" xr:uid="{00000000-0005-0000-0000-0000F5860000}"/>
    <cellStyle name="Normal 37 4 11 2 2" xfId="36593" xr:uid="{00000000-0005-0000-0000-0000F6860000}"/>
    <cellStyle name="Normal 37 4 11 3" xfId="19234" xr:uid="{00000000-0005-0000-0000-0000F7860000}"/>
    <cellStyle name="Normal 37 4 11 3 2" xfId="36594" xr:uid="{00000000-0005-0000-0000-0000F8860000}"/>
    <cellStyle name="Normal 37 4 11 4" xfId="19235" xr:uid="{00000000-0005-0000-0000-0000F9860000}"/>
    <cellStyle name="Normal 37 4 11 4 2" xfId="36595" xr:uid="{00000000-0005-0000-0000-0000FA860000}"/>
    <cellStyle name="Normal 37 4 11 5" xfId="19236" xr:uid="{00000000-0005-0000-0000-0000FB860000}"/>
    <cellStyle name="Normal 37 4 11 5 2" xfId="36596" xr:uid="{00000000-0005-0000-0000-0000FC860000}"/>
    <cellStyle name="Normal 37 4 11 6" xfId="19237" xr:uid="{00000000-0005-0000-0000-0000FD860000}"/>
    <cellStyle name="Normal 37 4 11 6 2" xfId="36597" xr:uid="{00000000-0005-0000-0000-0000FE860000}"/>
    <cellStyle name="Normal 37 4 11 7" xfId="19238" xr:uid="{00000000-0005-0000-0000-0000FF860000}"/>
    <cellStyle name="Normal 37 4 11 7 2" xfId="36598" xr:uid="{00000000-0005-0000-0000-000000870000}"/>
    <cellStyle name="Normal 37 4 11 8" xfId="19239" xr:uid="{00000000-0005-0000-0000-000001870000}"/>
    <cellStyle name="Normal 37 4 11 8 2" xfId="36599" xr:uid="{00000000-0005-0000-0000-000002870000}"/>
    <cellStyle name="Normal 37 4 11 9" xfId="19240" xr:uid="{00000000-0005-0000-0000-000003870000}"/>
    <cellStyle name="Normal 37 4 11 9 2" xfId="36600" xr:uid="{00000000-0005-0000-0000-000004870000}"/>
    <cellStyle name="Normal 37 4 12" xfId="19241" xr:uid="{00000000-0005-0000-0000-000005870000}"/>
    <cellStyle name="Normal 37 4 12 10" xfId="19242" xr:uid="{00000000-0005-0000-0000-000006870000}"/>
    <cellStyle name="Normal 37 4 12 10 2" xfId="36602" xr:uid="{00000000-0005-0000-0000-000007870000}"/>
    <cellStyle name="Normal 37 4 12 11" xfId="19243" xr:uid="{00000000-0005-0000-0000-000008870000}"/>
    <cellStyle name="Normal 37 4 12 11 2" xfId="36603" xr:uid="{00000000-0005-0000-0000-000009870000}"/>
    <cellStyle name="Normal 37 4 12 12" xfId="19244" xr:uid="{00000000-0005-0000-0000-00000A870000}"/>
    <cellStyle name="Normal 37 4 12 12 2" xfId="36604" xr:uid="{00000000-0005-0000-0000-00000B870000}"/>
    <cellStyle name="Normal 37 4 12 13" xfId="19245" xr:uid="{00000000-0005-0000-0000-00000C870000}"/>
    <cellStyle name="Normal 37 4 12 13 2" xfId="36605" xr:uid="{00000000-0005-0000-0000-00000D870000}"/>
    <cellStyle name="Normal 37 4 12 14" xfId="19246" xr:uid="{00000000-0005-0000-0000-00000E870000}"/>
    <cellStyle name="Normal 37 4 12 14 2" xfId="36606" xr:uid="{00000000-0005-0000-0000-00000F870000}"/>
    <cellStyle name="Normal 37 4 12 15" xfId="36601" xr:uid="{00000000-0005-0000-0000-000010870000}"/>
    <cellStyle name="Normal 37 4 12 2" xfId="19247" xr:uid="{00000000-0005-0000-0000-000011870000}"/>
    <cellStyle name="Normal 37 4 12 2 2" xfId="36607" xr:uid="{00000000-0005-0000-0000-000012870000}"/>
    <cellStyle name="Normal 37 4 12 3" xfId="19248" xr:uid="{00000000-0005-0000-0000-000013870000}"/>
    <cellStyle name="Normal 37 4 12 3 2" xfId="36608" xr:uid="{00000000-0005-0000-0000-000014870000}"/>
    <cellStyle name="Normal 37 4 12 4" xfId="19249" xr:uid="{00000000-0005-0000-0000-000015870000}"/>
    <cellStyle name="Normal 37 4 12 4 2" xfId="36609" xr:uid="{00000000-0005-0000-0000-000016870000}"/>
    <cellStyle name="Normal 37 4 12 5" xfId="19250" xr:uid="{00000000-0005-0000-0000-000017870000}"/>
    <cellStyle name="Normal 37 4 12 5 2" xfId="36610" xr:uid="{00000000-0005-0000-0000-000018870000}"/>
    <cellStyle name="Normal 37 4 12 6" xfId="19251" xr:uid="{00000000-0005-0000-0000-000019870000}"/>
    <cellStyle name="Normal 37 4 12 6 2" xfId="36611" xr:uid="{00000000-0005-0000-0000-00001A870000}"/>
    <cellStyle name="Normal 37 4 12 7" xfId="19252" xr:uid="{00000000-0005-0000-0000-00001B870000}"/>
    <cellStyle name="Normal 37 4 12 7 2" xfId="36612" xr:uid="{00000000-0005-0000-0000-00001C870000}"/>
    <cellStyle name="Normal 37 4 12 8" xfId="19253" xr:uid="{00000000-0005-0000-0000-00001D870000}"/>
    <cellStyle name="Normal 37 4 12 8 2" xfId="36613" xr:uid="{00000000-0005-0000-0000-00001E870000}"/>
    <cellStyle name="Normal 37 4 12 9" xfId="19254" xr:uid="{00000000-0005-0000-0000-00001F870000}"/>
    <cellStyle name="Normal 37 4 12 9 2" xfId="36614" xr:uid="{00000000-0005-0000-0000-000020870000}"/>
    <cellStyle name="Normal 37 4 13" xfId="19255" xr:uid="{00000000-0005-0000-0000-000021870000}"/>
    <cellStyle name="Normal 37 4 13 10" xfId="19256" xr:uid="{00000000-0005-0000-0000-000022870000}"/>
    <cellStyle name="Normal 37 4 13 10 2" xfId="36616" xr:uid="{00000000-0005-0000-0000-000023870000}"/>
    <cellStyle name="Normal 37 4 13 11" xfId="19257" xr:uid="{00000000-0005-0000-0000-000024870000}"/>
    <cellStyle name="Normal 37 4 13 11 2" xfId="36617" xr:uid="{00000000-0005-0000-0000-000025870000}"/>
    <cellStyle name="Normal 37 4 13 12" xfId="19258" xr:uid="{00000000-0005-0000-0000-000026870000}"/>
    <cellStyle name="Normal 37 4 13 12 2" xfId="36618" xr:uid="{00000000-0005-0000-0000-000027870000}"/>
    <cellStyle name="Normal 37 4 13 13" xfId="19259" xr:uid="{00000000-0005-0000-0000-000028870000}"/>
    <cellStyle name="Normal 37 4 13 13 2" xfId="36619" xr:uid="{00000000-0005-0000-0000-000029870000}"/>
    <cellStyle name="Normal 37 4 13 14" xfId="19260" xr:uid="{00000000-0005-0000-0000-00002A870000}"/>
    <cellStyle name="Normal 37 4 13 14 2" xfId="36620" xr:uid="{00000000-0005-0000-0000-00002B870000}"/>
    <cellStyle name="Normal 37 4 13 15" xfId="36615" xr:uid="{00000000-0005-0000-0000-00002C870000}"/>
    <cellStyle name="Normal 37 4 13 2" xfId="19261" xr:uid="{00000000-0005-0000-0000-00002D870000}"/>
    <cellStyle name="Normal 37 4 13 2 2" xfId="36621" xr:uid="{00000000-0005-0000-0000-00002E870000}"/>
    <cellStyle name="Normal 37 4 13 3" xfId="19262" xr:uid="{00000000-0005-0000-0000-00002F870000}"/>
    <cellStyle name="Normal 37 4 13 3 2" xfId="36622" xr:uid="{00000000-0005-0000-0000-000030870000}"/>
    <cellStyle name="Normal 37 4 13 4" xfId="19263" xr:uid="{00000000-0005-0000-0000-000031870000}"/>
    <cellStyle name="Normal 37 4 13 4 2" xfId="36623" xr:uid="{00000000-0005-0000-0000-000032870000}"/>
    <cellStyle name="Normal 37 4 13 5" xfId="19264" xr:uid="{00000000-0005-0000-0000-000033870000}"/>
    <cellStyle name="Normal 37 4 13 5 2" xfId="36624" xr:uid="{00000000-0005-0000-0000-000034870000}"/>
    <cellStyle name="Normal 37 4 13 6" xfId="19265" xr:uid="{00000000-0005-0000-0000-000035870000}"/>
    <cellStyle name="Normal 37 4 13 6 2" xfId="36625" xr:uid="{00000000-0005-0000-0000-000036870000}"/>
    <cellStyle name="Normal 37 4 13 7" xfId="19266" xr:uid="{00000000-0005-0000-0000-000037870000}"/>
    <cellStyle name="Normal 37 4 13 7 2" xfId="36626" xr:uid="{00000000-0005-0000-0000-000038870000}"/>
    <cellStyle name="Normal 37 4 13 8" xfId="19267" xr:uid="{00000000-0005-0000-0000-000039870000}"/>
    <cellStyle name="Normal 37 4 13 8 2" xfId="36627" xr:uid="{00000000-0005-0000-0000-00003A870000}"/>
    <cellStyle name="Normal 37 4 13 9" xfId="19268" xr:uid="{00000000-0005-0000-0000-00003B870000}"/>
    <cellStyle name="Normal 37 4 13 9 2" xfId="36628" xr:uid="{00000000-0005-0000-0000-00003C870000}"/>
    <cellStyle name="Normal 37 4 14" xfId="19269" xr:uid="{00000000-0005-0000-0000-00003D870000}"/>
    <cellStyle name="Normal 37 4 14 10" xfId="19270" xr:uid="{00000000-0005-0000-0000-00003E870000}"/>
    <cellStyle name="Normal 37 4 14 10 2" xfId="36630" xr:uid="{00000000-0005-0000-0000-00003F870000}"/>
    <cellStyle name="Normal 37 4 14 11" xfId="19271" xr:uid="{00000000-0005-0000-0000-000040870000}"/>
    <cellStyle name="Normal 37 4 14 11 2" xfId="36631" xr:uid="{00000000-0005-0000-0000-000041870000}"/>
    <cellStyle name="Normal 37 4 14 12" xfId="19272" xr:uid="{00000000-0005-0000-0000-000042870000}"/>
    <cellStyle name="Normal 37 4 14 12 2" xfId="36632" xr:uid="{00000000-0005-0000-0000-000043870000}"/>
    <cellStyle name="Normal 37 4 14 13" xfId="19273" xr:uid="{00000000-0005-0000-0000-000044870000}"/>
    <cellStyle name="Normal 37 4 14 13 2" xfId="36633" xr:uid="{00000000-0005-0000-0000-000045870000}"/>
    <cellStyle name="Normal 37 4 14 14" xfId="19274" xr:uid="{00000000-0005-0000-0000-000046870000}"/>
    <cellStyle name="Normal 37 4 14 14 2" xfId="36634" xr:uid="{00000000-0005-0000-0000-000047870000}"/>
    <cellStyle name="Normal 37 4 14 15" xfId="36629" xr:uid="{00000000-0005-0000-0000-000048870000}"/>
    <cellStyle name="Normal 37 4 14 2" xfId="19275" xr:uid="{00000000-0005-0000-0000-000049870000}"/>
    <cellStyle name="Normal 37 4 14 2 2" xfId="36635" xr:uid="{00000000-0005-0000-0000-00004A870000}"/>
    <cellStyle name="Normal 37 4 14 3" xfId="19276" xr:uid="{00000000-0005-0000-0000-00004B870000}"/>
    <cellStyle name="Normal 37 4 14 3 2" xfId="36636" xr:uid="{00000000-0005-0000-0000-00004C870000}"/>
    <cellStyle name="Normal 37 4 14 4" xfId="19277" xr:uid="{00000000-0005-0000-0000-00004D870000}"/>
    <cellStyle name="Normal 37 4 14 4 2" xfId="36637" xr:uid="{00000000-0005-0000-0000-00004E870000}"/>
    <cellStyle name="Normal 37 4 14 5" xfId="19278" xr:uid="{00000000-0005-0000-0000-00004F870000}"/>
    <cellStyle name="Normal 37 4 14 5 2" xfId="36638" xr:uid="{00000000-0005-0000-0000-000050870000}"/>
    <cellStyle name="Normal 37 4 14 6" xfId="19279" xr:uid="{00000000-0005-0000-0000-000051870000}"/>
    <cellStyle name="Normal 37 4 14 6 2" xfId="36639" xr:uid="{00000000-0005-0000-0000-000052870000}"/>
    <cellStyle name="Normal 37 4 14 7" xfId="19280" xr:uid="{00000000-0005-0000-0000-000053870000}"/>
    <cellStyle name="Normal 37 4 14 7 2" xfId="36640" xr:uid="{00000000-0005-0000-0000-000054870000}"/>
    <cellStyle name="Normal 37 4 14 8" xfId="19281" xr:uid="{00000000-0005-0000-0000-000055870000}"/>
    <cellStyle name="Normal 37 4 14 8 2" xfId="36641" xr:uid="{00000000-0005-0000-0000-000056870000}"/>
    <cellStyle name="Normal 37 4 14 9" xfId="19282" xr:uid="{00000000-0005-0000-0000-000057870000}"/>
    <cellStyle name="Normal 37 4 14 9 2" xfId="36642" xr:uid="{00000000-0005-0000-0000-000058870000}"/>
    <cellStyle name="Normal 37 4 15" xfId="19283" xr:uid="{00000000-0005-0000-0000-000059870000}"/>
    <cellStyle name="Normal 37 4 15 10" xfId="19284" xr:uid="{00000000-0005-0000-0000-00005A870000}"/>
    <cellStyle name="Normal 37 4 15 10 2" xfId="36644" xr:uid="{00000000-0005-0000-0000-00005B870000}"/>
    <cellStyle name="Normal 37 4 15 11" xfId="19285" xr:uid="{00000000-0005-0000-0000-00005C870000}"/>
    <cellStyle name="Normal 37 4 15 11 2" xfId="36645" xr:uid="{00000000-0005-0000-0000-00005D870000}"/>
    <cellStyle name="Normal 37 4 15 12" xfId="19286" xr:uid="{00000000-0005-0000-0000-00005E870000}"/>
    <cellStyle name="Normal 37 4 15 12 2" xfId="36646" xr:uid="{00000000-0005-0000-0000-00005F870000}"/>
    <cellStyle name="Normal 37 4 15 13" xfId="19287" xr:uid="{00000000-0005-0000-0000-000060870000}"/>
    <cellStyle name="Normal 37 4 15 13 2" xfId="36647" xr:uid="{00000000-0005-0000-0000-000061870000}"/>
    <cellStyle name="Normal 37 4 15 14" xfId="19288" xr:uid="{00000000-0005-0000-0000-000062870000}"/>
    <cellStyle name="Normal 37 4 15 14 2" xfId="36648" xr:uid="{00000000-0005-0000-0000-000063870000}"/>
    <cellStyle name="Normal 37 4 15 15" xfId="36643" xr:uid="{00000000-0005-0000-0000-000064870000}"/>
    <cellStyle name="Normal 37 4 15 2" xfId="19289" xr:uid="{00000000-0005-0000-0000-000065870000}"/>
    <cellStyle name="Normal 37 4 15 2 2" xfId="36649" xr:uid="{00000000-0005-0000-0000-000066870000}"/>
    <cellStyle name="Normal 37 4 15 3" xfId="19290" xr:uid="{00000000-0005-0000-0000-000067870000}"/>
    <cellStyle name="Normal 37 4 15 3 2" xfId="36650" xr:uid="{00000000-0005-0000-0000-000068870000}"/>
    <cellStyle name="Normal 37 4 15 4" xfId="19291" xr:uid="{00000000-0005-0000-0000-000069870000}"/>
    <cellStyle name="Normal 37 4 15 4 2" xfId="36651" xr:uid="{00000000-0005-0000-0000-00006A870000}"/>
    <cellStyle name="Normal 37 4 15 5" xfId="19292" xr:uid="{00000000-0005-0000-0000-00006B870000}"/>
    <cellStyle name="Normal 37 4 15 5 2" xfId="36652" xr:uid="{00000000-0005-0000-0000-00006C870000}"/>
    <cellStyle name="Normal 37 4 15 6" xfId="19293" xr:uid="{00000000-0005-0000-0000-00006D870000}"/>
    <cellStyle name="Normal 37 4 15 6 2" xfId="36653" xr:uid="{00000000-0005-0000-0000-00006E870000}"/>
    <cellStyle name="Normal 37 4 15 7" xfId="19294" xr:uid="{00000000-0005-0000-0000-00006F870000}"/>
    <cellStyle name="Normal 37 4 15 7 2" xfId="36654" xr:uid="{00000000-0005-0000-0000-000070870000}"/>
    <cellStyle name="Normal 37 4 15 8" xfId="19295" xr:uid="{00000000-0005-0000-0000-000071870000}"/>
    <cellStyle name="Normal 37 4 15 8 2" xfId="36655" xr:uid="{00000000-0005-0000-0000-000072870000}"/>
    <cellStyle name="Normal 37 4 15 9" xfId="19296" xr:uid="{00000000-0005-0000-0000-000073870000}"/>
    <cellStyle name="Normal 37 4 15 9 2" xfId="36656" xr:uid="{00000000-0005-0000-0000-000074870000}"/>
    <cellStyle name="Normal 37 4 16" xfId="19297" xr:uid="{00000000-0005-0000-0000-000075870000}"/>
    <cellStyle name="Normal 37 4 16 2" xfId="36657" xr:uid="{00000000-0005-0000-0000-000076870000}"/>
    <cellStyle name="Normal 37 4 17" xfId="19298" xr:uid="{00000000-0005-0000-0000-000077870000}"/>
    <cellStyle name="Normal 37 4 17 2" xfId="36658" xr:uid="{00000000-0005-0000-0000-000078870000}"/>
    <cellStyle name="Normal 37 4 18" xfId="19299" xr:uid="{00000000-0005-0000-0000-000079870000}"/>
    <cellStyle name="Normal 37 4 18 2" xfId="36659" xr:uid="{00000000-0005-0000-0000-00007A870000}"/>
    <cellStyle name="Normal 37 4 19" xfId="19300" xr:uid="{00000000-0005-0000-0000-00007B870000}"/>
    <cellStyle name="Normal 37 4 19 2" xfId="36660" xr:uid="{00000000-0005-0000-0000-00007C870000}"/>
    <cellStyle name="Normal 37 4 2" xfId="19301" xr:uid="{00000000-0005-0000-0000-00007D870000}"/>
    <cellStyle name="Normal 37 4 2 10" xfId="19302" xr:uid="{00000000-0005-0000-0000-00007E870000}"/>
    <cellStyle name="Normal 37 4 2 10 2" xfId="36662" xr:uid="{00000000-0005-0000-0000-00007F870000}"/>
    <cellStyle name="Normal 37 4 2 11" xfId="19303" xr:uid="{00000000-0005-0000-0000-000080870000}"/>
    <cellStyle name="Normal 37 4 2 11 2" xfId="36663" xr:uid="{00000000-0005-0000-0000-000081870000}"/>
    <cellStyle name="Normal 37 4 2 12" xfId="19304" xr:uid="{00000000-0005-0000-0000-000082870000}"/>
    <cellStyle name="Normal 37 4 2 12 2" xfId="36664" xr:uid="{00000000-0005-0000-0000-000083870000}"/>
    <cellStyle name="Normal 37 4 2 13" xfId="19305" xr:uid="{00000000-0005-0000-0000-000084870000}"/>
    <cellStyle name="Normal 37 4 2 13 2" xfId="36665" xr:uid="{00000000-0005-0000-0000-000085870000}"/>
    <cellStyle name="Normal 37 4 2 14" xfId="19306" xr:uid="{00000000-0005-0000-0000-000086870000}"/>
    <cellStyle name="Normal 37 4 2 14 2" xfId="36666" xr:uid="{00000000-0005-0000-0000-000087870000}"/>
    <cellStyle name="Normal 37 4 2 15" xfId="19307" xr:uid="{00000000-0005-0000-0000-000088870000}"/>
    <cellStyle name="Normal 37 4 2 15 2" xfId="36667" xr:uid="{00000000-0005-0000-0000-000089870000}"/>
    <cellStyle name="Normal 37 4 2 16" xfId="36661" xr:uid="{00000000-0005-0000-0000-00008A870000}"/>
    <cellStyle name="Normal 37 4 2 2" xfId="19308" xr:uid="{00000000-0005-0000-0000-00008B870000}"/>
    <cellStyle name="Normal 37 4 2 2 10" xfId="19309" xr:uid="{00000000-0005-0000-0000-00008C870000}"/>
    <cellStyle name="Normal 37 4 2 2 10 2" xfId="36669" xr:uid="{00000000-0005-0000-0000-00008D870000}"/>
    <cellStyle name="Normal 37 4 2 2 11" xfId="19310" xr:uid="{00000000-0005-0000-0000-00008E870000}"/>
    <cellStyle name="Normal 37 4 2 2 11 2" xfId="36670" xr:uid="{00000000-0005-0000-0000-00008F870000}"/>
    <cellStyle name="Normal 37 4 2 2 12" xfId="19311" xr:uid="{00000000-0005-0000-0000-000090870000}"/>
    <cellStyle name="Normal 37 4 2 2 12 2" xfId="36671" xr:uid="{00000000-0005-0000-0000-000091870000}"/>
    <cellStyle name="Normal 37 4 2 2 13" xfId="19312" xr:uid="{00000000-0005-0000-0000-000092870000}"/>
    <cellStyle name="Normal 37 4 2 2 13 2" xfId="36672" xr:uid="{00000000-0005-0000-0000-000093870000}"/>
    <cellStyle name="Normal 37 4 2 2 14" xfId="19313" xr:uid="{00000000-0005-0000-0000-000094870000}"/>
    <cellStyle name="Normal 37 4 2 2 14 2" xfId="36673" xr:uid="{00000000-0005-0000-0000-000095870000}"/>
    <cellStyle name="Normal 37 4 2 2 15" xfId="36668" xr:uid="{00000000-0005-0000-0000-000096870000}"/>
    <cellStyle name="Normal 37 4 2 2 2" xfId="19314" xr:uid="{00000000-0005-0000-0000-000097870000}"/>
    <cellStyle name="Normal 37 4 2 2 2 2" xfId="36674" xr:uid="{00000000-0005-0000-0000-000098870000}"/>
    <cellStyle name="Normal 37 4 2 2 3" xfId="19315" xr:uid="{00000000-0005-0000-0000-000099870000}"/>
    <cellStyle name="Normal 37 4 2 2 3 2" xfId="36675" xr:uid="{00000000-0005-0000-0000-00009A870000}"/>
    <cellStyle name="Normal 37 4 2 2 4" xfId="19316" xr:uid="{00000000-0005-0000-0000-00009B870000}"/>
    <cellStyle name="Normal 37 4 2 2 4 2" xfId="36676" xr:uid="{00000000-0005-0000-0000-00009C870000}"/>
    <cellStyle name="Normal 37 4 2 2 5" xfId="19317" xr:uid="{00000000-0005-0000-0000-00009D870000}"/>
    <cellStyle name="Normal 37 4 2 2 5 2" xfId="36677" xr:uid="{00000000-0005-0000-0000-00009E870000}"/>
    <cellStyle name="Normal 37 4 2 2 6" xfId="19318" xr:uid="{00000000-0005-0000-0000-00009F870000}"/>
    <cellStyle name="Normal 37 4 2 2 6 2" xfId="36678" xr:uid="{00000000-0005-0000-0000-0000A0870000}"/>
    <cellStyle name="Normal 37 4 2 2 7" xfId="19319" xr:uid="{00000000-0005-0000-0000-0000A1870000}"/>
    <cellStyle name="Normal 37 4 2 2 7 2" xfId="36679" xr:uid="{00000000-0005-0000-0000-0000A2870000}"/>
    <cellStyle name="Normal 37 4 2 2 8" xfId="19320" xr:uid="{00000000-0005-0000-0000-0000A3870000}"/>
    <cellStyle name="Normal 37 4 2 2 8 2" xfId="36680" xr:uid="{00000000-0005-0000-0000-0000A4870000}"/>
    <cellStyle name="Normal 37 4 2 2 9" xfId="19321" xr:uid="{00000000-0005-0000-0000-0000A5870000}"/>
    <cellStyle name="Normal 37 4 2 2 9 2" xfId="36681" xr:uid="{00000000-0005-0000-0000-0000A6870000}"/>
    <cellStyle name="Normal 37 4 2 3" xfId="19322" xr:uid="{00000000-0005-0000-0000-0000A7870000}"/>
    <cellStyle name="Normal 37 4 2 3 2" xfId="36682" xr:uid="{00000000-0005-0000-0000-0000A8870000}"/>
    <cellStyle name="Normal 37 4 2 4" xfId="19323" xr:uid="{00000000-0005-0000-0000-0000A9870000}"/>
    <cellStyle name="Normal 37 4 2 4 2" xfId="36683" xr:uid="{00000000-0005-0000-0000-0000AA870000}"/>
    <cellStyle name="Normal 37 4 2 5" xfId="19324" xr:uid="{00000000-0005-0000-0000-0000AB870000}"/>
    <cellStyle name="Normal 37 4 2 5 2" xfId="36684" xr:uid="{00000000-0005-0000-0000-0000AC870000}"/>
    <cellStyle name="Normal 37 4 2 6" xfId="19325" xr:uid="{00000000-0005-0000-0000-0000AD870000}"/>
    <cellStyle name="Normal 37 4 2 6 2" xfId="36685" xr:uid="{00000000-0005-0000-0000-0000AE870000}"/>
    <cellStyle name="Normal 37 4 2 7" xfId="19326" xr:uid="{00000000-0005-0000-0000-0000AF870000}"/>
    <cellStyle name="Normal 37 4 2 7 2" xfId="36686" xr:uid="{00000000-0005-0000-0000-0000B0870000}"/>
    <cellStyle name="Normal 37 4 2 8" xfId="19327" xr:uid="{00000000-0005-0000-0000-0000B1870000}"/>
    <cellStyle name="Normal 37 4 2 8 2" xfId="36687" xr:uid="{00000000-0005-0000-0000-0000B2870000}"/>
    <cellStyle name="Normal 37 4 2 9" xfId="19328" xr:uid="{00000000-0005-0000-0000-0000B3870000}"/>
    <cellStyle name="Normal 37 4 2 9 2" xfId="36688" xr:uid="{00000000-0005-0000-0000-0000B4870000}"/>
    <cellStyle name="Normal 37 4 20" xfId="19329" xr:uid="{00000000-0005-0000-0000-0000B5870000}"/>
    <cellStyle name="Normal 37 4 20 2" xfId="36689" xr:uid="{00000000-0005-0000-0000-0000B6870000}"/>
    <cellStyle name="Normal 37 4 21" xfId="19330" xr:uid="{00000000-0005-0000-0000-0000B7870000}"/>
    <cellStyle name="Normal 37 4 21 2" xfId="36690" xr:uid="{00000000-0005-0000-0000-0000B8870000}"/>
    <cellStyle name="Normal 37 4 22" xfId="19331" xr:uid="{00000000-0005-0000-0000-0000B9870000}"/>
    <cellStyle name="Normal 37 4 22 2" xfId="36691" xr:uid="{00000000-0005-0000-0000-0000BA870000}"/>
    <cellStyle name="Normal 37 4 23" xfId="19332" xr:uid="{00000000-0005-0000-0000-0000BB870000}"/>
    <cellStyle name="Normal 37 4 23 2" xfId="36692" xr:uid="{00000000-0005-0000-0000-0000BC870000}"/>
    <cellStyle name="Normal 37 4 24" xfId="19333" xr:uid="{00000000-0005-0000-0000-0000BD870000}"/>
    <cellStyle name="Normal 37 4 24 2" xfId="36693" xr:uid="{00000000-0005-0000-0000-0000BE870000}"/>
    <cellStyle name="Normal 37 4 25" xfId="19334" xr:uid="{00000000-0005-0000-0000-0000BF870000}"/>
    <cellStyle name="Normal 37 4 25 2" xfId="36694" xr:uid="{00000000-0005-0000-0000-0000C0870000}"/>
    <cellStyle name="Normal 37 4 26" xfId="19335" xr:uid="{00000000-0005-0000-0000-0000C1870000}"/>
    <cellStyle name="Normal 37 4 26 2" xfId="36695" xr:uid="{00000000-0005-0000-0000-0000C2870000}"/>
    <cellStyle name="Normal 37 4 27" xfId="19336" xr:uid="{00000000-0005-0000-0000-0000C3870000}"/>
    <cellStyle name="Normal 37 4 27 2" xfId="36696" xr:uid="{00000000-0005-0000-0000-0000C4870000}"/>
    <cellStyle name="Normal 37 4 28" xfId="19337" xr:uid="{00000000-0005-0000-0000-0000C5870000}"/>
    <cellStyle name="Normal 37 4 28 2" xfId="36697" xr:uid="{00000000-0005-0000-0000-0000C6870000}"/>
    <cellStyle name="Normal 37 4 29" xfId="36572" xr:uid="{00000000-0005-0000-0000-0000C7870000}"/>
    <cellStyle name="Normal 37 4 3" xfId="19338" xr:uid="{00000000-0005-0000-0000-0000C8870000}"/>
    <cellStyle name="Normal 37 4 3 10" xfId="19339" xr:uid="{00000000-0005-0000-0000-0000C9870000}"/>
    <cellStyle name="Normal 37 4 3 10 2" xfId="36699" xr:uid="{00000000-0005-0000-0000-0000CA870000}"/>
    <cellStyle name="Normal 37 4 3 11" xfId="19340" xr:uid="{00000000-0005-0000-0000-0000CB870000}"/>
    <cellStyle name="Normal 37 4 3 11 2" xfId="36700" xr:uid="{00000000-0005-0000-0000-0000CC870000}"/>
    <cellStyle name="Normal 37 4 3 12" xfId="19341" xr:uid="{00000000-0005-0000-0000-0000CD870000}"/>
    <cellStyle name="Normal 37 4 3 12 2" xfId="36701" xr:uid="{00000000-0005-0000-0000-0000CE870000}"/>
    <cellStyle name="Normal 37 4 3 13" xfId="19342" xr:uid="{00000000-0005-0000-0000-0000CF870000}"/>
    <cellStyle name="Normal 37 4 3 13 2" xfId="36702" xr:uid="{00000000-0005-0000-0000-0000D0870000}"/>
    <cellStyle name="Normal 37 4 3 14" xfId="19343" xr:uid="{00000000-0005-0000-0000-0000D1870000}"/>
    <cellStyle name="Normal 37 4 3 14 2" xfId="36703" xr:uid="{00000000-0005-0000-0000-0000D2870000}"/>
    <cellStyle name="Normal 37 4 3 15" xfId="19344" xr:uid="{00000000-0005-0000-0000-0000D3870000}"/>
    <cellStyle name="Normal 37 4 3 15 2" xfId="36704" xr:uid="{00000000-0005-0000-0000-0000D4870000}"/>
    <cellStyle name="Normal 37 4 3 16" xfId="36698" xr:uid="{00000000-0005-0000-0000-0000D5870000}"/>
    <cellStyle name="Normal 37 4 3 2" xfId="19345" xr:uid="{00000000-0005-0000-0000-0000D6870000}"/>
    <cellStyle name="Normal 37 4 3 2 10" xfId="19346" xr:uid="{00000000-0005-0000-0000-0000D7870000}"/>
    <cellStyle name="Normal 37 4 3 2 10 2" xfId="36706" xr:uid="{00000000-0005-0000-0000-0000D8870000}"/>
    <cellStyle name="Normal 37 4 3 2 11" xfId="19347" xr:uid="{00000000-0005-0000-0000-0000D9870000}"/>
    <cellStyle name="Normal 37 4 3 2 11 2" xfId="36707" xr:uid="{00000000-0005-0000-0000-0000DA870000}"/>
    <cellStyle name="Normal 37 4 3 2 12" xfId="19348" xr:uid="{00000000-0005-0000-0000-0000DB870000}"/>
    <cellStyle name="Normal 37 4 3 2 12 2" xfId="36708" xr:uid="{00000000-0005-0000-0000-0000DC870000}"/>
    <cellStyle name="Normal 37 4 3 2 13" xfId="19349" xr:uid="{00000000-0005-0000-0000-0000DD870000}"/>
    <cellStyle name="Normal 37 4 3 2 13 2" xfId="36709" xr:uid="{00000000-0005-0000-0000-0000DE870000}"/>
    <cellStyle name="Normal 37 4 3 2 14" xfId="19350" xr:uid="{00000000-0005-0000-0000-0000DF870000}"/>
    <cellStyle name="Normal 37 4 3 2 14 2" xfId="36710" xr:uid="{00000000-0005-0000-0000-0000E0870000}"/>
    <cellStyle name="Normal 37 4 3 2 15" xfId="36705" xr:uid="{00000000-0005-0000-0000-0000E1870000}"/>
    <cellStyle name="Normal 37 4 3 2 2" xfId="19351" xr:uid="{00000000-0005-0000-0000-0000E2870000}"/>
    <cellStyle name="Normal 37 4 3 2 2 2" xfId="36711" xr:uid="{00000000-0005-0000-0000-0000E3870000}"/>
    <cellStyle name="Normal 37 4 3 2 3" xfId="19352" xr:uid="{00000000-0005-0000-0000-0000E4870000}"/>
    <cellStyle name="Normal 37 4 3 2 3 2" xfId="36712" xr:uid="{00000000-0005-0000-0000-0000E5870000}"/>
    <cellStyle name="Normal 37 4 3 2 4" xfId="19353" xr:uid="{00000000-0005-0000-0000-0000E6870000}"/>
    <cellStyle name="Normal 37 4 3 2 4 2" xfId="36713" xr:uid="{00000000-0005-0000-0000-0000E7870000}"/>
    <cellStyle name="Normal 37 4 3 2 5" xfId="19354" xr:uid="{00000000-0005-0000-0000-0000E8870000}"/>
    <cellStyle name="Normal 37 4 3 2 5 2" xfId="36714" xr:uid="{00000000-0005-0000-0000-0000E9870000}"/>
    <cellStyle name="Normal 37 4 3 2 6" xfId="19355" xr:uid="{00000000-0005-0000-0000-0000EA870000}"/>
    <cellStyle name="Normal 37 4 3 2 6 2" xfId="36715" xr:uid="{00000000-0005-0000-0000-0000EB870000}"/>
    <cellStyle name="Normal 37 4 3 2 7" xfId="19356" xr:uid="{00000000-0005-0000-0000-0000EC870000}"/>
    <cellStyle name="Normal 37 4 3 2 7 2" xfId="36716" xr:uid="{00000000-0005-0000-0000-0000ED870000}"/>
    <cellStyle name="Normal 37 4 3 2 8" xfId="19357" xr:uid="{00000000-0005-0000-0000-0000EE870000}"/>
    <cellStyle name="Normal 37 4 3 2 8 2" xfId="36717" xr:uid="{00000000-0005-0000-0000-0000EF870000}"/>
    <cellStyle name="Normal 37 4 3 2 9" xfId="19358" xr:uid="{00000000-0005-0000-0000-0000F0870000}"/>
    <cellStyle name="Normal 37 4 3 2 9 2" xfId="36718" xr:uid="{00000000-0005-0000-0000-0000F1870000}"/>
    <cellStyle name="Normal 37 4 3 3" xfId="19359" xr:uid="{00000000-0005-0000-0000-0000F2870000}"/>
    <cellStyle name="Normal 37 4 3 3 2" xfId="36719" xr:uid="{00000000-0005-0000-0000-0000F3870000}"/>
    <cellStyle name="Normal 37 4 3 4" xfId="19360" xr:uid="{00000000-0005-0000-0000-0000F4870000}"/>
    <cellStyle name="Normal 37 4 3 4 2" xfId="36720" xr:uid="{00000000-0005-0000-0000-0000F5870000}"/>
    <cellStyle name="Normal 37 4 3 5" xfId="19361" xr:uid="{00000000-0005-0000-0000-0000F6870000}"/>
    <cellStyle name="Normal 37 4 3 5 2" xfId="36721" xr:uid="{00000000-0005-0000-0000-0000F7870000}"/>
    <cellStyle name="Normal 37 4 3 6" xfId="19362" xr:uid="{00000000-0005-0000-0000-0000F8870000}"/>
    <cellStyle name="Normal 37 4 3 6 2" xfId="36722" xr:uid="{00000000-0005-0000-0000-0000F9870000}"/>
    <cellStyle name="Normal 37 4 3 7" xfId="19363" xr:uid="{00000000-0005-0000-0000-0000FA870000}"/>
    <cellStyle name="Normal 37 4 3 7 2" xfId="36723" xr:uid="{00000000-0005-0000-0000-0000FB870000}"/>
    <cellStyle name="Normal 37 4 3 8" xfId="19364" xr:uid="{00000000-0005-0000-0000-0000FC870000}"/>
    <cellStyle name="Normal 37 4 3 8 2" xfId="36724" xr:uid="{00000000-0005-0000-0000-0000FD870000}"/>
    <cellStyle name="Normal 37 4 3 9" xfId="19365" xr:uid="{00000000-0005-0000-0000-0000FE870000}"/>
    <cellStyle name="Normal 37 4 3 9 2" xfId="36725" xr:uid="{00000000-0005-0000-0000-0000FF870000}"/>
    <cellStyle name="Normal 37 4 4" xfId="19366" xr:uid="{00000000-0005-0000-0000-000000880000}"/>
    <cellStyle name="Normal 37 4 4 10" xfId="19367" xr:uid="{00000000-0005-0000-0000-000001880000}"/>
    <cellStyle name="Normal 37 4 4 10 2" xfId="36727" xr:uid="{00000000-0005-0000-0000-000002880000}"/>
    <cellStyle name="Normal 37 4 4 11" xfId="19368" xr:uid="{00000000-0005-0000-0000-000003880000}"/>
    <cellStyle name="Normal 37 4 4 11 2" xfId="36728" xr:uid="{00000000-0005-0000-0000-000004880000}"/>
    <cellStyle name="Normal 37 4 4 12" xfId="19369" xr:uid="{00000000-0005-0000-0000-000005880000}"/>
    <cellStyle name="Normal 37 4 4 12 2" xfId="36729" xr:uid="{00000000-0005-0000-0000-000006880000}"/>
    <cellStyle name="Normal 37 4 4 13" xfId="19370" xr:uid="{00000000-0005-0000-0000-000007880000}"/>
    <cellStyle name="Normal 37 4 4 13 2" xfId="36730" xr:uid="{00000000-0005-0000-0000-000008880000}"/>
    <cellStyle name="Normal 37 4 4 14" xfId="19371" xr:uid="{00000000-0005-0000-0000-000009880000}"/>
    <cellStyle name="Normal 37 4 4 14 2" xfId="36731" xr:uid="{00000000-0005-0000-0000-00000A880000}"/>
    <cellStyle name="Normal 37 4 4 15" xfId="19372" xr:uid="{00000000-0005-0000-0000-00000B880000}"/>
    <cellStyle name="Normal 37 4 4 15 2" xfId="36732" xr:uid="{00000000-0005-0000-0000-00000C880000}"/>
    <cellStyle name="Normal 37 4 4 16" xfId="36726" xr:uid="{00000000-0005-0000-0000-00000D880000}"/>
    <cellStyle name="Normal 37 4 4 2" xfId="19373" xr:uid="{00000000-0005-0000-0000-00000E880000}"/>
    <cellStyle name="Normal 37 4 4 2 10" xfId="19374" xr:uid="{00000000-0005-0000-0000-00000F880000}"/>
    <cellStyle name="Normal 37 4 4 2 10 2" xfId="36734" xr:uid="{00000000-0005-0000-0000-000010880000}"/>
    <cellStyle name="Normal 37 4 4 2 11" xfId="19375" xr:uid="{00000000-0005-0000-0000-000011880000}"/>
    <cellStyle name="Normal 37 4 4 2 11 2" xfId="36735" xr:uid="{00000000-0005-0000-0000-000012880000}"/>
    <cellStyle name="Normal 37 4 4 2 12" xfId="19376" xr:uid="{00000000-0005-0000-0000-000013880000}"/>
    <cellStyle name="Normal 37 4 4 2 12 2" xfId="36736" xr:uid="{00000000-0005-0000-0000-000014880000}"/>
    <cellStyle name="Normal 37 4 4 2 13" xfId="19377" xr:uid="{00000000-0005-0000-0000-000015880000}"/>
    <cellStyle name="Normal 37 4 4 2 13 2" xfId="36737" xr:uid="{00000000-0005-0000-0000-000016880000}"/>
    <cellStyle name="Normal 37 4 4 2 14" xfId="19378" xr:uid="{00000000-0005-0000-0000-000017880000}"/>
    <cellStyle name="Normal 37 4 4 2 14 2" xfId="36738" xr:uid="{00000000-0005-0000-0000-000018880000}"/>
    <cellStyle name="Normal 37 4 4 2 15" xfId="36733" xr:uid="{00000000-0005-0000-0000-000019880000}"/>
    <cellStyle name="Normal 37 4 4 2 2" xfId="19379" xr:uid="{00000000-0005-0000-0000-00001A880000}"/>
    <cellStyle name="Normal 37 4 4 2 2 2" xfId="36739" xr:uid="{00000000-0005-0000-0000-00001B880000}"/>
    <cellStyle name="Normal 37 4 4 2 3" xfId="19380" xr:uid="{00000000-0005-0000-0000-00001C880000}"/>
    <cellStyle name="Normal 37 4 4 2 3 2" xfId="36740" xr:uid="{00000000-0005-0000-0000-00001D880000}"/>
    <cellStyle name="Normal 37 4 4 2 4" xfId="19381" xr:uid="{00000000-0005-0000-0000-00001E880000}"/>
    <cellStyle name="Normal 37 4 4 2 4 2" xfId="36741" xr:uid="{00000000-0005-0000-0000-00001F880000}"/>
    <cellStyle name="Normal 37 4 4 2 5" xfId="19382" xr:uid="{00000000-0005-0000-0000-000020880000}"/>
    <cellStyle name="Normal 37 4 4 2 5 2" xfId="36742" xr:uid="{00000000-0005-0000-0000-000021880000}"/>
    <cellStyle name="Normal 37 4 4 2 6" xfId="19383" xr:uid="{00000000-0005-0000-0000-000022880000}"/>
    <cellStyle name="Normal 37 4 4 2 6 2" xfId="36743" xr:uid="{00000000-0005-0000-0000-000023880000}"/>
    <cellStyle name="Normal 37 4 4 2 7" xfId="19384" xr:uid="{00000000-0005-0000-0000-000024880000}"/>
    <cellStyle name="Normal 37 4 4 2 7 2" xfId="36744" xr:uid="{00000000-0005-0000-0000-000025880000}"/>
    <cellStyle name="Normal 37 4 4 2 8" xfId="19385" xr:uid="{00000000-0005-0000-0000-000026880000}"/>
    <cellStyle name="Normal 37 4 4 2 8 2" xfId="36745" xr:uid="{00000000-0005-0000-0000-000027880000}"/>
    <cellStyle name="Normal 37 4 4 2 9" xfId="19386" xr:uid="{00000000-0005-0000-0000-000028880000}"/>
    <cellStyle name="Normal 37 4 4 2 9 2" xfId="36746" xr:uid="{00000000-0005-0000-0000-000029880000}"/>
    <cellStyle name="Normal 37 4 4 3" xfId="19387" xr:uid="{00000000-0005-0000-0000-00002A880000}"/>
    <cellStyle name="Normal 37 4 4 3 2" xfId="36747" xr:uid="{00000000-0005-0000-0000-00002B880000}"/>
    <cellStyle name="Normal 37 4 4 4" xfId="19388" xr:uid="{00000000-0005-0000-0000-00002C880000}"/>
    <cellStyle name="Normal 37 4 4 4 2" xfId="36748" xr:uid="{00000000-0005-0000-0000-00002D880000}"/>
    <cellStyle name="Normal 37 4 4 5" xfId="19389" xr:uid="{00000000-0005-0000-0000-00002E880000}"/>
    <cellStyle name="Normal 37 4 4 5 2" xfId="36749" xr:uid="{00000000-0005-0000-0000-00002F880000}"/>
    <cellStyle name="Normal 37 4 4 6" xfId="19390" xr:uid="{00000000-0005-0000-0000-000030880000}"/>
    <cellStyle name="Normal 37 4 4 6 2" xfId="36750" xr:uid="{00000000-0005-0000-0000-000031880000}"/>
    <cellStyle name="Normal 37 4 4 7" xfId="19391" xr:uid="{00000000-0005-0000-0000-000032880000}"/>
    <cellStyle name="Normal 37 4 4 7 2" xfId="36751" xr:uid="{00000000-0005-0000-0000-000033880000}"/>
    <cellStyle name="Normal 37 4 4 8" xfId="19392" xr:uid="{00000000-0005-0000-0000-000034880000}"/>
    <cellStyle name="Normal 37 4 4 8 2" xfId="36752" xr:uid="{00000000-0005-0000-0000-000035880000}"/>
    <cellStyle name="Normal 37 4 4 9" xfId="19393" xr:uid="{00000000-0005-0000-0000-000036880000}"/>
    <cellStyle name="Normal 37 4 4 9 2" xfId="36753" xr:uid="{00000000-0005-0000-0000-000037880000}"/>
    <cellStyle name="Normal 37 4 5" xfId="19394" xr:uid="{00000000-0005-0000-0000-000038880000}"/>
    <cellStyle name="Normal 37 4 5 10" xfId="19395" xr:uid="{00000000-0005-0000-0000-000039880000}"/>
    <cellStyle name="Normal 37 4 5 10 2" xfId="36755" xr:uid="{00000000-0005-0000-0000-00003A880000}"/>
    <cellStyle name="Normal 37 4 5 11" xfId="19396" xr:uid="{00000000-0005-0000-0000-00003B880000}"/>
    <cellStyle name="Normal 37 4 5 11 2" xfId="36756" xr:uid="{00000000-0005-0000-0000-00003C880000}"/>
    <cellStyle name="Normal 37 4 5 12" xfId="19397" xr:uid="{00000000-0005-0000-0000-00003D880000}"/>
    <cellStyle name="Normal 37 4 5 12 2" xfId="36757" xr:uid="{00000000-0005-0000-0000-00003E880000}"/>
    <cellStyle name="Normal 37 4 5 13" xfId="19398" xr:uid="{00000000-0005-0000-0000-00003F880000}"/>
    <cellStyle name="Normal 37 4 5 13 2" xfId="36758" xr:uid="{00000000-0005-0000-0000-000040880000}"/>
    <cellStyle name="Normal 37 4 5 14" xfId="19399" xr:uid="{00000000-0005-0000-0000-000041880000}"/>
    <cellStyle name="Normal 37 4 5 14 2" xfId="36759" xr:uid="{00000000-0005-0000-0000-000042880000}"/>
    <cellStyle name="Normal 37 4 5 15" xfId="36754" xr:uid="{00000000-0005-0000-0000-000043880000}"/>
    <cellStyle name="Normal 37 4 5 2" xfId="19400" xr:uid="{00000000-0005-0000-0000-000044880000}"/>
    <cellStyle name="Normal 37 4 5 2 2" xfId="36760" xr:uid="{00000000-0005-0000-0000-000045880000}"/>
    <cellStyle name="Normal 37 4 5 3" xfId="19401" xr:uid="{00000000-0005-0000-0000-000046880000}"/>
    <cellStyle name="Normal 37 4 5 3 2" xfId="36761" xr:uid="{00000000-0005-0000-0000-000047880000}"/>
    <cellStyle name="Normal 37 4 5 4" xfId="19402" xr:uid="{00000000-0005-0000-0000-000048880000}"/>
    <cellStyle name="Normal 37 4 5 4 2" xfId="36762" xr:uid="{00000000-0005-0000-0000-000049880000}"/>
    <cellStyle name="Normal 37 4 5 5" xfId="19403" xr:uid="{00000000-0005-0000-0000-00004A880000}"/>
    <cellStyle name="Normal 37 4 5 5 2" xfId="36763" xr:uid="{00000000-0005-0000-0000-00004B880000}"/>
    <cellStyle name="Normal 37 4 5 6" xfId="19404" xr:uid="{00000000-0005-0000-0000-00004C880000}"/>
    <cellStyle name="Normal 37 4 5 6 2" xfId="36764" xr:uid="{00000000-0005-0000-0000-00004D880000}"/>
    <cellStyle name="Normal 37 4 5 7" xfId="19405" xr:uid="{00000000-0005-0000-0000-00004E880000}"/>
    <cellStyle name="Normal 37 4 5 7 2" xfId="36765" xr:uid="{00000000-0005-0000-0000-00004F880000}"/>
    <cellStyle name="Normal 37 4 5 8" xfId="19406" xr:uid="{00000000-0005-0000-0000-000050880000}"/>
    <cellStyle name="Normal 37 4 5 8 2" xfId="36766" xr:uid="{00000000-0005-0000-0000-000051880000}"/>
    <cellStyle name="Normal 37 4 5 9" xfId="19407" xr:uid="{00000000-0005-0000-0000-000052880000}"/>
    <cellStyle name="Normal 37 4 5 9 2" xfId="36767" xr:uid="{00000000-0005-0000-0000-000053880000}"/>
    <cellStyle name="Normal 37 4 6" xfId="19408" xr:uid="{00000000-0005-0000-0000-000054880000}"/>
    <cellStyle name="Normal 37 4 6 10" xfId="19409" xr:uid="{00000000-0005-0000-0000-000055880000}"/>
    <cellStyle name="Normal 37 4 6 10 2" xfId="36769" xr:uid="{00000000-0005-0000-0000-000056880000}"/>
    <cellStyle name="Normal 37 4 6 11" xfId="19410" xr:uid="{00000000-0005-0000-0000-000057880000}"/>
    <cellStyle name="Normal 37 4 6 11 2" xfId="36770" xr:uid="{00000000-0005-0000-0000-000058880000}"/>
    <cellStyle name="Normal 37 4 6 12" xfId="19411" xr:uid="{00000000-0005-0000-0000-000059880000}"/>
    <cellStyle name="Normal 37 4 6 12 2" xfId="36771" xr:uid="{00000000-0005-0000-0000-00005A880000}"/>
    <cellStyle name="Normal 37 4 6 13" xfId="19412" xr:uid="{00000000-0005-0000-0000-00005B880000}"/>
    <cellStyle name="Normal 37 4 6 13 2" xfId="36772" xr:uid="{00000000-0005-0000-0000-00005C880000}"/>
    <cellStyle name="Normal 37 4 6 14" xfId="19413" xr:uid="{00000000-0005-0000-0000-00005D880000}"/>
    <cellStyle name="Normal 37 4 6 14 2" xfId="36773" xr:uid="{00000000-0005-0000-0000-00005E880000}"/>
    <cellStyle name="Normal 37 4 6 15" xfId="36768" xr:uid="{00000000-0005-0000-0000-00005F880000}"/>
    <cellStyle name="Normal 37 4 6 2" xfId="19414" xr:uid="{00000000-0005-0000-0000-000060880000}"/>
    <cellStyle name="Normal 37 4 6 2 2" xfId="36774" xr:uid="{00000000-0005-0000-0000-000061880000}"/>
    <cellStyle name="Normal 37 4 6 3" xfId="19415" xr:uid="{00000000-0005-0000-0000-000062880000}"/>
    <cellStyle name="Normal 37 4 6 3 2" xfId="36775" xr:uid="{00000000-0005-0000-0000-000063880000}"/>
    <cellStyle name="Normal 37 4 6 4" xfId="19416" xr:uid="{00000000-0005-0000-0000-000064880000}"/>
    <cellStyle name="Normal 37 4 6 4 2" xfId="36776" xr:uid="{00000000-0005-0000-0000-000065880000}"/>
    <cellStyle name="Normal 37 4 6 5" xfId="19417" xr:uid="{00000000-0005-0000-0000-000066880000}"/>
    <cellStyle name="Normal 37 4 6 5 2" xfId="36777" xr:uid="{00000000-0005-0000-0000-000067880000}"/>
    <cellStyle name="Normal 37 4 6 6" xfId="19418" xr:uid="{00000000-0005-0000-0000-000068880000}"/>
    <cellStyle name="Normal 37 4 6 6 2" xfId="36778" xr:uid="{00000000-0005-0000-0000-000069880000}"/>
    <cellStyle name="Normal 37 4 6 7" xfId="19419" xr:uid="{00000000-0005-0000-0000-00006A880000}"/>
    <cellStyle name="Normal 37 4 6 7 2" xfId="36779" xr:uid="{00000000-0005-0000-0000-00006B880000}"/>
    <cellStyle name="Normal 37 4 6 8" xfId="19420" xr:uid="{00000000-0005-0000-0000-00006C880000}"/>
    <cellStyle name="Normal 37 4 6 8 2" xfId="36780" xr:uid="{00000000-0005-0000-0000-00006D880000}"/>
    <cellStyle name="Normal 37 4 6 9" xfId="19421" xr:uid="{00000000-0005-0000-0000-00006E880000}"/>
    <cellStyle name="Normal 37 4 6 9 2" xfId="36781" xr:uid="{00000000-0005-0000-0000-00006F880000}"/>
    <cellStyle name="Normal 37 4 7" xfId="19422" xr:uid="{00000000-0005-0000-0000-000070880000}"/>
    <cellStyle name="Normal 37 4 7 10" xfId="19423" xr:uid="{00000000-0005-0000-0000-000071880000}"/>
    <cellStyle name="Normal 37 4 7 10 2" xfId="36783" xr:uid="{00000000-0005-0000-0000-000072880000}"/>
    <cellStyle name="Normal 37 4 7 11" xfId="19424" xr:uid="{00000000-0005-0000-0000-000073880000}"/>
    <cellStyle name="Normal 37 4 7 11 2" xfId="36784" xr:uid="{00000000-0005-0000-0000-000074880000}"/>
    <cellStyle name="Normal 37 4 7 12" xfId="19425" xr:uid="{00000000-0005-0000-0000-000075880000}"/>
    <cellStyle name="Normal 37 4 7 12 2" xfId="36785" xr:uid="{00000000-0005-0000-0000-000076880000}"/>
    <cellStyle name="Normal 37 4 7 13" xfId="19426" xr:uid="{00000000-0005-0000-0000-000077880000}"/>
    <cellStyle name="Normal 37 4 7 13 2" xfId="36786" xr:uid="{00000000-0005-0000-0000-000078880000}"/>
    <cellStyle name="Normal 37 4 7 14" xfId="19427" xr:uid="{00000000-0005-0000-0000-000079880000}"/>
    <cellStyle name="Normal 37 4 7 14 2" xfId="36787" xr:uid="{00000000-0005-0000-0000-00007A880000}"/>
    <cellStyle name="Normal 37 4 7 15" xfId="36782" xr:uid="{00000000-0005-0000-0000-00007B880000}"/>
    <cellStyle name="Normal 37 4 7 2" xfId="19428" xr:uid="{00000000-0005-0000-0000-00007C880000}"/>
    <cellStyle name="Normal 37 4 7 2 2" xfId="36788" xr:uid="{00000000-0005-0000-0000-00007D880000}"/>
    <cellStyle name="Normal 37 4 7 3" xfId="19429" xr:uid="{00000000-0005-0000-0000-00007E880000}"/>
    <cellStyle name="Normal 37 4 7 3 2" xfId="36789" xr:uid="{00000000-0005-0000-0000-00007F880000}"/>
    <cellStyle name="Normal 37 4 7 4" xfId="19430" xr:uid="{00000000-0005-0000-0000-000080880000}"/>
    <cellStyle name="Normal 37 4 7 4 2" xfId="36790" xr:uid="{00000000-0005-0000-0000-000081880000}"/>
    <cellStyle name="Normal 37 4 7 5" xfId="19431" xr:uid="{00000000-0005-0000-0000-000082880000}"/>
    <cellStyle name="Normal 37 4 7 5 2" xfId="36791" xr:uid="{00000000-0005-0000-0000-000083880000}"/>
    <cellStyle name="Normal 37 4 7 6" xfId="19432" xr:uid="{00000000-0005-0000-0000-000084880000}"/>
    <cellStyle name="Normal 37 4 7 6 2" xfId="36792" xr:uid="{00000000-0005-0000-0000-000085880000}"/>
    <cellStyle name="Normal 37 4 7 7" xfId="19433" xr:uid="{00000000-0005-0000-0000-000086880000}"/>
    <cellStyle name="Normal 37 4 7 7 2" xfId="36793" xr:uid="{00000000-0005-0000-0000-000087880000}"/>
    <cellStyle name="Normal 37 4 7 8" xfId="19434" xr:uid="{00000000-0005-0000-0000-000088880000}"/>
    <cellStyle name="Normal 37 4 7 8 2" xfId="36794" xr:uid="{00000000-0005-0000-0000-000089880000}"/>
    <cellStyle name="Normal 37 4 7 9" xfId="19435" xr:uid="{00000000-0005-0000-0000-00008A880000}"/>
    <cellStyle name="Normal 37 4 7 9 2" xfId="36795" xr:uid="{00000000-0005-0000-0000-00008B880000}"/>
    <cellStyle name="Normal 37 4 8" xfId="19436" xr:uid="{00000000-0005-0000-0000-00008C880000}"/>
    <cellStyle name="Normal 37 4 8 10" xfId="19437" xr:uid="{00000000-0005-0000-0000-00008D880000}"/>
    <cellStyle name="Normal 37 4 8 10 2" xfId="36797" xr:uid="{00000000-0005-0000-0000-00008E880000}"/>
    <cellStyle name="Normal 37 4 8 11" xfId="19438" xr:uid="{00000000-0005-0000-0000-00008F880000}"/>
    <cellStyle name="Normal 37 4 8 11 2" xfId="36798" xr:uid="{00000000-0005-0000-0000-000090880000}"/>
    <cellStyle name="Normal 37 4 8 12" xfId="19439" xr:uid="{00000000-0005-0000-0000-000091880000}"/>
    <cellStyle name="Normal 37 4 8 12 2" xfId="36799" xr:uid="{00000000-0005-0000-0000-000092880000}"/>
    <cellStyle name="Normal 37 4 8 13" xfId="19440" xr:uid="{00000000-0005-0000-0000-000093880000}"/>
    <cellStyle name="Normal 37 4 8 13 2" xfId="36800" xr:uid="{00000000-0005-0000-0000-000094880000}"/>
    <cellStyle name="Normal 37 4 8 14" xfId="19441" xr:uid="{00000000-0005-0000-0000-000095880000}"/>
    <cellStyle name="Normal 37 4 8 14 2" xfId="36801" xr:uid="{00000000-0005-0000-0000-000096880000}"/>
    <cellStyle name="Normal 37 4 8 15" xfId="36796" xr:uid="{00000000-0005-0000-0000-000097880000}"/>
    <cellStyle name="Normal 37 4 8 2" xfId="19442" xr:uid="{00000000-0005-0000-0000-000098880000}"/>
    <cellStyle name="Normal 37 4 8 2 2" xfId="36802" xr:uid="{00000000-0005-0000-0000-000099880000}"/>
    <cellStyle name="Normal 37 4 8 3" xfId="19443" xr:uid="{00000000-0005-0000-0000-00009A880000}"/>
    <cellStyle name="Normal 37 4 8 3 2" xfId="36803" xr:uid="{00000000-0005-0000-0000-00009B880000}"/>
    <cellStyle name="Normal 37 4 8 4" xfId="19444" xr:uid="{00000000-0005-0000-0000-00009C880000}"/>
    <cellStyle name="Normal 37 4 8 4 2" xfId="36804" xr:uid="{00000000-0005-0000-0000-00009D880000}"/>
    <cellStyle name="Normal 37 4 8 5" xfId="19445" xr:uid="{00000000-0005-0000-0000-00009E880000}"/>
    <cellStyle name="Normal 37 4 8 5 2" xfId="36805" xr:uid="{00000000-0005-0000-0000-00009F880000}"/>
    <cellStyle name="Normal 37 4 8 6" xfId="19446" xr:uid="{00000000-0005-0000-0000-0000A0880000}"/>
    <cellStyle name="Normal 37 4 8 6 2" xfId="36806" xr:uid="{00000000-0005-0000-0000-0000A1880000}"/>
    <cellStyle name="Normal 37 4 8 7" xfId="19447" xr:uid="{00000000-0005-0000-0000-0000A2880000}"/>
    <cellStyle name="Normal 37 4 8 7 2" xfId="36807" xr:uid="{00000000-0005-0000-0000-0000A3880000}"/>
    <cellStyle name="Normal 37 4 8 8" xfId="19448" xr:uid="{00000000-0005-0000-0000-0000A4880000}"/>
    <cellStyle name="Normal 37 4 8 8 2" xfId="36808" xr:uid="{00000000-0005-0000-0000-0000A5880000}"/>
    <cellStyle name="Normal 37 4 8 9" xfId="19449" xr:uid="{00000000-0005-0000-0000-0000A6880000}"/>
    <cellStyle name="Normal 37 4 8 9 2" xfId="36809" xr:uid="{00000000-0005-0000-0000-0000A7880000}"/>
    <cellStyle name="Normal 37 4 9" xfId="19450" xr:uid="{00000000-0005-0000-0000-0000A8880000}"/>
    <cellStyle name="Normal 37 4 9 10" xfId="19451" xr:uid="{00000000-0005-0000-0000-0000A9880000}"/>
    <cellStyle name="Normal 37 4 9 10 2" xfId="36811" xr:uid="{00000000-0005-0000-0000-0000AA880000}"/>
    <cellStyle name="Normal 37 4 9 11" xfId="19452" xr:uid="{00000000-0005-0000-0000-0000AB880000}"/>
    <cellStyle name="Normal 37 4 9 11 2" xfId="36812" xr:uid="{00000000-0005-0000-0000-0000AC880000}"/>
    <cellStyle name="Normal 37 4 9 12" xfId="19453" xr:uid="{00000000-0005-0000-0000-0000AD880000}"/>
    <cellStyle name="Normal 37 4 9 12 2" xfId="36813" xr:uid="{00000000-0005-0000-0000-0000AE880000}"/>
    <cellStyle name="Normal 37 4 9 13" xfId="19454" xr:uid="{00000000-0005-0000-0000-0000AF880000}"/>
    <cellStyle name="Normal 37 4 9 13 2" xfId="36814" xr:uid="{00000000-0005-0000-0000-0000B0880000}"/>
    <cellStyle name="Normal 37 4 9 14" xfId="19455" xr:uid="{00000000-0005-0000-0000-0000B1880000}"/>
    <cellStyle name="Normal 37 4 9 14 2" xfId="36815" xr:uid="{00000000-0005-0000-0000-0000B2880000}"/>
    <cellStyle name="Normal 37 4 9 15" xfId="36810" xr:uid="{00000000-0005-0000-0000-0000B3880000}"/>
    <cellStyle name="Normal 37 4 9 2" xfId="19456" xr:uid="{00000000-0005-0000-0000-0000B4880000}"/>
    <cellStyle name="Normal 37 4 9 2 2" xfId="36816" xr:uid="{00000000-0005-0000-0000-0000B5880000}"/>
    <cellStyle name="Normal 37 4 9 3" xfId="19457" xr:uid="{00000000-0005-0000-0000-0000B6880000}"/>
    <cellStyle name="Normal 37 4 9 3 2" xfId="36817" xr:uid="{00000000-0005-0000-0000-0000B7880000}"/>
    <cellStyle name="Normal 37 4 9 4" xfId="19458" xr:uid="{00000000-0005-0000-0000-0000B8880000}"/>
    <cellStyle name="Normal 37 4 9 4 2" xfId="36818" xr:uid="{00000000-0005-0000-0000-0000B9880000}"/>
    <cellStyle name="Normal 37 4 9 5" xfId="19459" xr:uid="{00000000-0005-0000-0000-0000BA880000}"/>
    <cellStyle name="Normal 37 4 9 5 2" xfId="36819" xr:uid="{00000000-0005-0000-0000-0000BB880000}"/>
    <cellStyle name="Normal 37 4 9 6" xfId="19460" xr:uid="{00000000-0005-0000-0000-0000BC880000}"/>
    <cellStyle name="Normal 37 4 9 6 2" xfId="36820" xr:uid="{00000000-0005-0000-0000-0000BD880000}"/>
    <cellStyle name="Normal 37 4 9 7" xfId="19461" xr:uid="{00000000-0005-0000-0000-0000BE880000}"/>
    <cellStyle name="Normal 37 4 9 7 2" xfId="36821" xr:uid="{00000000-0005-0000-0000-0000BF880000}"/>
    <cellStyle name="Normal 37 4 9 8" xfId="19462" xr:uid="{00000000-0005-0000-0000-0000C0880000}"/>
    <cellStyle name="Normal 37 4 9 8 2" xfId="36822" xr:uid="{00000000-0005-0000-0000-0000C1880000}"/>
    <cellStyle name="Normal 37 4 9 9" xfId="19463" xr:uid="{00000000-0005-0000-0000-0000C2880000}"/>
    <cellStyle name="Normal 37 4 9 9 2" xfId="36823" xr:uid="{00000000-0005-0000-0000-0000C3880000}"/>
    <cellStyle name="Normal 38" xfId="66" xr:uid="{00000000-0005-0000-0000-0000C4880000}"/>
    <cellStyle name="Normal 38 10" xfId="19464" xr:uid="{00000000-0005-0000-0000-0000C5880000}"/>
    <cellStyle name="Normal 38 10 10" xfId="19465" xr:uid="{00000000-0005-0000-0000-0000C6880000}"/>
    <cellStyle name="Normal 38 10 10 2" xfId="36826" xr:uid="{00000000-0005-0000-0000-0000C7880000}"/>
    <cellStyle name="Normal 38 10 11" xfId="19466" xr:uid="{00000000-0005-0000-0000-0000C8880000}"/>
    <cellStyle name="Normal 38 10 11 2" xfId="36827" xr:uid="{00000000-0005-0000-0000-0000C9880000}"/>
    <cellStyle name="Normal 38 10 12" xfId="19467" xr:uid="{00000000-0005-0000-0000-0000CA880000}"/>
    <cellStyle name="Normal 38 10 12 2" xfId="36828" xr:uid="{00000000-0005-0000-0000-0000CB880000}"/>
    <cellStyle name="Normal 38 10 13" xfId="19468" xr:uid="{00000000-0005-0000-0000-0000CC880000}"/>
    <cellStyle name="Normal 38 10 13 2" xfId="36829" xr:uid="{00000000-0005-0000-0000-0000CD880000}"/>
    <cellStyle name="Normal 38 10 14" xfId="19469" xr:uid="{00000000-0005-0000-0000-0000CE880000}"/>
    <cellStyle name="Normal 38 10 14 2" xfId="36830" xr:uid="{00000000-0005-0000-0000-0000CF880000}"/>
    <cellStyle name="Normal 38 10 15" xfId="36825" xr:uid="{00000000-0005-0000-0000-0000D0880000}"/>
    <cellStyle name="Normal 38 10 2" xfId="19470" xr:uid="{00000000-0005-0000-0000-0000D1880000}"/>
    <cellStyle name="Normal 38 10 2 2" xfId="36831" xr:uid="{00000000-0005-0000-0000-0000D2880000}"/>
    <cellStyle name="Normal 38 10 3" xfId="19471" xr:uid="{00000000-0005-0000-0000-0000D3880000}"/>
    <cellStyle name="Normal 38 10 3 2" xfId="36832" xr:uid="{00000000-0005-0000-0000-0000D4880000}"/>
    <cellStyle name="Normal 38 10 4" xfId="19472" xr:uid="{00000000-0005-0000-0000-0000D5880000}"/>
    <cellStyle name="Normal 38 10 4 2" xfId="36833" xr:uid="{00000000-0005-0000-0000-0000D6880000}"/>
    <cellStyle name="Normal 38 10 5" xfId="19473" xr:uid="{00000000-0005-0000-0000-0000D7880000}"/>
    <cellStyle name="Normal 38 10 5 2" xfId="36834" xr:uid="{00000000-0005-0000-0000-0000D8880000}"/>
    <cellStyle name="Normal 38 10 6" xfId="19474" xr:uid="{00000000-0005-0000-0000-0000D9880000}"/>
    <cellStyle name="Normal 38 10 6 2" xfId="36835" xr:uid="{00000000-0005-0000-0000-0000DA880000}"/>
    <cellStyle name="Normal 38 10 7" xfId="19475" xr:uid="{00000000-0005-0000-0000-0000DB880000}"/>
    <cellStyle name="Normal 38 10 7 2" xfId="36836" xr:uid="{00000000-0005-0000-0000-0000DC880000}"/>
    <cellStyle name="Normal 38 10 8" xfId="19476" xr:uid="{00000000-0005-0000-0000-0000DD880000}"/>
    <cellStyle name="Normal 38 10 8 2" xfId="36837" xr:uid="{00000000-0005-0000-0000-0000DE880000}"/>
    <cellStyle name="Normal 38 10 9" xfId="19477" xr:uid="{00000000-0005-0000-0000-0000DF880000}"/>
    <cellStyle name="Normal 38 10 9 2" xfId="36838" xr:uid="{00000000-0005-0000-0000-0000E0880000}"/>
    <cellStyle name="Normal 38 11" xfId="19478" xr:uid="{00000000-0005-0000-0000-0000E1880000}"/>
    <cellStyle name="Normal 38 11 10" xfId="19479" xr:uid="{00000000-0005-0000-0000-0000E2880000}"/>
    <cellStyle name="Normal 38 11 10 2" xfId="36840" xr:uid="{00000000-0005-0000-0000-0000E3880000}"/>
    <cellStyle name="Normal 38 11 11" xfId="19480" xr:uid="{00000000-0005-0000-0000-0000E4880000}"/>
    <cellStyle name="Normal 38 11 11 2" xfId="36841" xr:uid="{00000000-0005-0000-0000-0000E5880000}"/>
    <cellStyle name="Normal 38 11 12" xfId="19481" xr:uid="{00000000-0005-0000-0000-0000E6880000}"/>
    <cellStyle name="Normal 38 11 12 2" xfId="36842" xr:uid="{00000000-0005-0000-0000-0000E7880000}"/>
    <cellStyle name="Normal 38 11 13" xfId="19482" xr:uid="{00000000-0005-0000-0000-0000E8880000}"/>
    <cellStyle name="Normal 38 11 13 2" xfId="36843" xr:uid="{00000000-0005-0000-0000-0000E9880000}"/>
    <cellStyle name="Normal 38 11 14" xfId="19483" xr:uid="{00000000-0005-0000-0000-0000EA880000}"/>
    <cellStyle name="Normal 38 11 14 2" xfId="36844" xr:uid="{00000000-0005-0000-0000-0000EB880000}"/>
    <cellStyle name="Normal 38 11 15" xfId="36839" xr:uid="{00000000-0005-0000-0000-0000EC880000}"/>
    <cellStyle name="Normal 38 11 2" xfId="19484" xr:uid="{00000000-0005-0000-0000-0000ED880000}"/>
    <cellStyle name="Normal 38 11 2 2" xfId="36845" xr:uid="{00000000-0005-0000-0000-0000EE880000}"/>
    <cellStyle name="Normal 38 11 3" xfId="19485" xr:uid="{00000000-0005-0000-0000-0000EF880000}"/>
    <cellStyle name="Normal 38 11 3 2" xfId="36846" xr:uid="{00000000-0005-0000-0000-0000F0880000}"/>
    <cellStyle name="Normal 38 11 4" xfId="19486" xr:uid="{00000000-0005-0000-0000-0000F1880000}"/>
    <cellStyle name="Normal 38 11 4 2" xfId="36847" xr:uid="{00000000-0005-0000-0000-0000F2880000}"/>
    <cellStyle name="Normal 38 11 5" xfId="19487" xr:uid="{00000000-0005-0000-0000-0000F3880000}"/>
    <cellStyle name="Normal 38 11 5 2" xfId="36848" xr:uid="{00000000-0005-0000-0000-0000F4880000}"/>
    <cellStyle name="Normal 38 11 6" xfId="19488" xr:uid="{00000000-0005-0000-0000-0000F5880000}"/>
    <cellStyle name="Normal 38 11 6 2" xfId="36849" xr:uid="{00000000-0005-0000-0000-0000F6880000}"/>
    <cellStyle name="Normal 38 11 7" xfId="19489" xr:uid="{00000000-0005-0000-0000-0000F7880000}"/>
    <cellStyle name="Normal 38 11 7 2" xfId="36850" xr:uid="{00000000-0005-0000-0000-0000F8880000}"/>
    <cellStyle name="Normal 38 11 8" xfId="19490" xr:uid="{00000000-0005-0000-0000-0000F9880000}"/>
    <cellStyle name="Normal 38 11 8 2" xfId="36851" xr:uid="{00000000-0005-0000-0000-0000FA880000}"/>
    <cellStyle name="Normal 38 11 9" xfId="19491" xr:uid="{00000000-0005-0000-0000-0000FB880000}"/>
    <cellStyle name="Normal 38 11 9 2" xfId="36852" xr:uid="{00000000-0005-0000-0000-0000FC880000}"/>
    <cellStyle name="Normal 38 12" xfId="19492" xr:uid="{00000000-0005-0000-0000-0000FD880000}"/>
    <cellStyle name="Normal 38 12 10" xfId="19493" xr:uid="{00000000-0005-0000-0000-0000FE880000}"/>
    <cellStyle name="Normal 38 12 10 2" xfId="36854" xr:uid="{00000000-0005-0000-0000-0000FF880000}"/>
    <cellStyle name="Normal 38 12 11" xfId="19494" xr:uid="{00000000-0005-0000-0000-000000890000}"/>
    <cellStyle name="Normal 38 12 11 2" xfId="36855" xr:uid="{00000000-0005-0000-0000-000001890000}"/>
    <cellStyle name="Normal 38 12 12" xfId="19495" xr:uid="{00000000-0005-0000-0000-000002890000}"/>
    <cellStyle name="Normal 38 12 12 2" xfId="36856" xr:uid="{00000000-0005-0000-0000-000003890000}"/>
    <cellStyle name="Normal 38 12 13" xfId="19496" xr:uid="{00000000-0005-0000-0000-000004890000}"/>
    <cellStyle name="Normal 38 12 13 2" xfId="36857" xr:uid="{00000000-0005-0000-0000-000005890000}"/>
    <cellStyle name="Normal 38 12 14" xfId="19497" xr:uid="{00000000-0005-0000-0000-000006890000}"/>
    <cellStyle name="Normal 38 12 14 2" xfId="36858" xr:uid="{00000000-0005-0000-0000-000007890000}"/>
    <cellStyle name="Normal 38 12 15" xfId="36853" xr:uid="{00000000-0005-0000-0000-000008890000}"/>
    <cellStyle name="Normal 38 12 2" xfId="19498" xr:uid="{00000000-0005-0000-0000-000009890000}"/>
    <cellStyle name="Normal 38 12 2 2" xfId="36859" xr:uid="{00000000-0005-0000-0000-00000A890000}"/>
    <cellStyle name="Normal 38 12 3" xfId="19499" xr:uid="{00000000-0005-0000-0000-00000B890000}"/>
    <cellStyle name="Normal 38 12 3 2" xfId="36860" xr:uid="{00000000-0005-0000-0000-00000C890000}"/>
    <cellStyle name="Normal 38 12 4" xfId="19500" xr:uid="{00000000-0005-0000-0000-00000D890000}"/>
    <cellStyle name="Normal 38 12 4 2" xfId="36861" xr:uid="{00000000-0005-0000-0000-00000E890000}"/>
    <cellStyle name="Normal 38 12 5" xfId="19501" xr:uid="{00000000-0005-0000-0000-00000F890000}"/>
    <cellStyle name="Normal 38 12 5 2" xfId="36862" xr:uid="{00000000-0005-0000-0000-000010890000}"/>
    <cellStyle name="Normal 38 12 6" xfId="19502" xr:uid="{00000000-0005-0000-0000-000011890000}"/>
    <cellStyle name="Normal 38 12 6 2" xfId="36863" xr:uid="{00000000-0005-0000-0000-000012890000}"/>
    <cellStyle name="Normal 38 12 7" xfId="19503" xr:uid="{00000000-0005-0000-0000-000013890000}"/>
    <cellStyle name="Normal 38 12 7 2" xfId="36864" xr:uid="{00000000-0005-0000-0000-000014890000}"/>
    <cellStyle name="Normal 38 12 8" xfId="19504" xr:uid="{00000000-0005-0000-0000-000015890000}"/>
    <cellStyle name="Normal 38 12 8 2" xfId="36865" xr:uid="{00000000-0005-0000-0000-000016890000}"/>
    <cellStyle name="Normal 38 12 9" xfId="19505" xr:uid="{00000000-0005-0000-0000-000017890000}"/>
    <cellStyle name="Normal 38 12 9 2" xfId="36866" xr:uid="{00000000-0005-0000-0000-000018890000}"/>
    <cellStyle name="Normal 38 13" xfId="19506" xr:uid="{00000000-0005-0000-0000-000019890000}"/>
    <cellStyle name="Normal 38 13 10" xfId="19507" xr:uid="{00000000-0005-0000-0000-00001A890000}"/>
    <cellStyle name="Normal 38 13 10 2" xfId="36868" xr:uid="{00000000-0005-0000-0000-00001B890000}"/>
    <cellStyle name="Normal 38 13 11" xfId="19508" xr:uid="{00000000-0005-0000-0000-00001C890000}"/>
    <cellStyle name="Normal 38 13 11 2" xfId="36869" xr:uid="{00000000-0005-0000-0000-00001D890000}"/>
    <cellStyle name="Normal 38 13 12" xfId="19509" xr:uid="{00000000-0005-0000-0000-00001E890000}"/>
    <cellStyle name="Normal 38 13 12 2" xfId="36870" xr:uid="{00000000-0005-0000-0000-00001F890000}"/>
    <cellStyle name="Normal 38 13 13" xfId="19510" xr:uid="{00000000-0005-0000-0000-000020890000}"/>
    <cellStyle name="Normal 38 13 13 2" xfId="36871" xr:uid="{00000000-0005-0000-0000-000021890000}"/>
    <cellStyle name="Normal 38 13 14" xfId="19511" xr:uid="{00000000-0005-0000-0000-000022890000}"/>
    <cellStyle name="Normal 38 13 14 2" xfId="36872" xr:uid="{00000000-0005-0000-0000-000023890000}"/>
    <cellStyle name="Normal 38 13 15" xfId="36867" xr:uid="{00000000-0005-0000-0000-000024890000}"/>
    <cellStyle name="Normal 38 13 2" xfId="19512" xr:uid="{00000000-0005-0000-0000-000025890000}"/>
    <cellStyle name="Normal 38 13 2 2" xfId="36873" xr:uid="{00000000-0005-0000-0000-000026890000}"/>
    <cellStyle name="Normal 38 13 3" xfId="19513" xr:uid="{00000000-0005-0000-0000-000027890000}"/>
    <cellStyle name="Normal 38 13 3 2" xfId="36874" xr:uid="{00000000-0005-0000-0000-000028890000}"/>
    <cellStyle name="Normal 38 13 4" xfId="19514" xr:uid="{00000000-0005-0000-0000-000029890000}"/>
    <cellStyle name="Normal 38 13 4 2" xfId="36875" xr:uid="{00000000-0005-0000-0000-00002A890000}"/>
    <cellStyle name="Normal 38 13 5" xfId="19515" xr:uid="{00000000-0005-0000-0000-00002B890000}"/>
    <cellStyle name="Normal 38 13 5 2" xfId="36876" xr:uid="{00000000-0005-0000-0000-00002C890000}"/>
    <cellStyle name="Normal 38 13 6" xfId="19516" xr:uid="{00000000-0005-0000-0000-00002D890000}"/>
    <cellStyle name="Normal 38 13 6 2" xfId="36877" xr:uid="{00000000-0005-0000-0000-00002E890000}"/>
    <cellStyle name="Normal 38 13 7" xfId="19517" xr:uid="{00000000-0005-0000-0000-00002F890000}"/>
    <cellStyle name="Normal 38 13 7 2" xfId="36878" xr:uid="{00000000-0005-0000-0000-000030890000}"/>
    <cellStyle name="Normal 38 13 8" xfId="19518" xr:uid="{00000000-0005-0000-0000-000031890000}"/>
    <cellStyle name="Normal 38 13 8 2" xfId="36879" xr:uid="{00000000-0005-0000-0000-000032890000}"/>
    <cellStyle name="Normal 38 13 9" xfId="19519" xr:uid="{00000000-0005-0000-0000-000033890000}"/>
    <cellStyle name="Normal 38 13 9 2" xfId="36880" xr:uid="{00000000-0005-0000-0000-000034890000}"/>
    <cellStyle name="Normal 38 14" xfId="19520" xr:uid="{00000000-0005-0000-0000-000035890000}"/>
    <cellStyle name="Normal 38 14 10" xfId="19521" xr:uid="{00000000-0005-0000-0000-000036890000}"/>
    <cellStyle name="Normal 38 14 10 2" xfId="36882" xr:uid="{00000000-0005-0000-0000-000037890000}"/>
    <cellStyle name="Normal 38 14 11" xfId="19522" xr:uid="{00000000-0005-0000-0000-000038890000}"/>
    <cellStyle name="Normal 38 14 11 2" xfId="36883" xr:uid="{00000000-0005-0000-0000-000039890000}"/>
    <cellStyle name="Normal 38 14 12" xfId="19523" xr:uid="{00000000-0005-0000-0000-00003A890000}"/>
    <cellStyle name="Normal 38 14 12 2" xfId="36884" xr:uid="{00000000-0005-0000-0000-00003B890000}"/>
    <cellStyle name="Normal 38 14 13" xfId="19524" xr:uid="{00000000-0005-0000-0000-00003C890000}"/>
    <cellStyle name="Normal 38 14 13 2" xfId="36885" xr:uid="{00000000-0005-0000-0000-00003D890000}"/>
    <cellStyle name="Normal 38 14 14" xfId="19525" xr:uid="{00000000-0005-0000-0000-00003E890000}"/>
    <cellStyle name="Normal 38 14 14 2" xfId="36886" xr:uid="{00000000-0005-0000-0000-00003F890000}"/>
    <cellStyle name="Normal 38 14 15" xfId="36881" xr:uid="{00000000-0005-0000-0000-000040890000}"/>
    <cellStyle name="Normal 38 14 2" xfId="19526" xr:uid="{00000000-0005-0000-0000-000041890000}"/>
    <cellStyle name="Normal 38 14 2 2" xfId="36887" xr:uid="{00000000-0005-0000-0000-000042890000}"/>
    <cellStyle name="Normal 38 14 3" xfId="19527" xr:uid="{00000000-0005-0000-0000-000043890000}"/>
    <cellStyle name="Normal 38 14 3 2" xfId="36888" xr:uid="{00000000-0005-0000-0000-000044890000}"/>
    <cellStyle name="Normal 38 14 4" xfId="19528" xr:uid="{00000000-0005-0000-0000-000045890000}"/>
    <cellStyle name="Normal 38 14 4 2" xfId="36889" xr:uid="{00000000-0005-0000-0000-000046890000}"/>
    <cellStyle name="Normal 38 14 5" xfId="19529" xr:uid="{00000000-0005-0000-0000-000047890000}"/>
    <cellStyle name="Normal 38 14 5 2" xfId="36890" xr:uid="{00000000-0005-0000-0000-000048890000}"/>
    <cellStyle name="Normal 38 14 6" xfId="19530" xr:uid="{00000000-0005-0000-0000-000049890000}"/>
    <cellStyle name="Normal 38 14 6 2" xfId="36891" xr:uid="{00000000-0005-0000-0000-00004A890000}"/>
    <cellStyle name="Normal 38 14 7" xfId="19531" xr:uid="{00000000-0005-0000-0000-00004B890000}"/>
    <cellStyle name="Normal 38 14 7 2" xfId="36892" xr:uid="{00000000-0005-0000-0000-00004C890000}"/>
    <cellStyle name="Normal 38 14 8" xfId="19532" xr:uid="{00000000-0005-0000-0000-00004D890000}"/>
    <cellStyle name="Normal 38 14 8 2" xfId="36893" xr:uid="{00000000-0005-0000-0000-00004E890000}"/>
    <cellStyle name="Normal 38 14 9" xfId="19533" xr:uid="{00000000-0005-0000-0000-00004F890000}"/>
    <cellStyle name="Normal 38 14 9 2" xfId="36894" xr:uid="{00000000-0005-0000-0000-000050890000}"/>
    <cellStyle name="Normal 38 15" xfId="19534" xr:uid="{00000000-0005-0000-0000-000051890000}"/>
    <cellStyle name="Normal 38 15 10" xfId="19535" xr:uid="{00000000-0005-0000-0000-000052890000}"/>
    <cellStyle name="Normal 38 15 10 2" xfId="36896" xr:uid="{00000000-0005-0000-0000-000053890000}"/>
    <cellStyle name="Normal 38 15 11" xfId="19536" xr:uid="{00000000-0005-0000-0000-000054890000}"/>
    <cellStyle name="Normal 38 15 11 2" xfId="36897" xr:uid="{00000000-0005-0000-0000-000055890000}"/>
    <cellStyle name="Normal 38 15 12" xfId="19537" xr:uid="{00000000-0005-0000-0000-000056890000}"/>
    <cellStyle name="Normal 38 15 12 2" xfId="36898" xr:uid="{00000000-0005-0000-0000-000057890000}"/>
    <cellStyle name="Normal 38 15 13" xfId="19538" xr:uid="{00000000-0005-0000-0000-000058890000}"/>
    <cellStyle name="Normal 38 15 13 2" xfId="36899" xr:uid="{00000000-0005-0000-0000-000059890000}"/>
    <cellStyle name="Normal 38 15 14" xfId="19539" xr:uid="{00000000-0005-0000-0000-00005A890000}"/>
    <cellStyle name="Normal 38 15 14 2" xfId="36900" xr:uid="{00000000-0005-0000-0000-00005B890000}"/>
    <cellStyle name="Normal 38 15 15" xfId="36895" xr:uid="{00000000-0005-0000-0000-00005C890000}"/>
    <cellStyle name="Normal 38 15 2" xfId="19540" xr:uid="{00000000-0005-0000-0000-00005D890000}"/>
    <cellStyle name="Normal 38 15 2 2" xfId="36901" xr:uid="{00000000-0005-0000-0000-00005E890000}"/>
    <cellStyle name="Normal 38 15 3" xfId="19541" xr:uid="{00000000-0005-0000-0000-00005F890000}"/>
    <cellStyle name="Normal 38 15 3 2" xfId="36902" xr:uid="{00000000-0005-0000-0000-000060890000}"/>
    <cellStyle name="Normal 38 15 4" xfId="19542" xr:uid="{00000000-0005-0000-0000-000061890000}"/>
    <cellStyle name="Normal 38 15 4 2" xfId="36903" xr:uid="{00000000-0005-0000-0000-000062890000}"/>
    <cellStyle name="Normal 38 15 5" xfId="19543" xr:uid="{00000000-0005-0000-0000-000063890000}"/>
    <cellStyle name="Normal 38 15 5 2" xfId="36904" xr:uid="{00000000-0005-0000-0000-000064890000}"/>
    <cellStyle name="Normal 38 15 6" xfId="19544" xr:uid="{00000000-0005-0000-0000-000065890000}"/>
    <cellStyle name="Normal 38 15 6 2" xfId="36905" xr:uid="{00000000-0005-0000-0000-000066890000}"/>
    <cellStyle name="Normal 38 15 7" xfId="19545" xr:uid="{00000000-0005-0000-0000-000067890000}"/>
    <cellStyle name="Normal 38 15 7 2" xfId="36906" xr:uid="{00000000-0005-0000-0000-000068890000}"/>
    <cellStyle name="Normal 38 15 8" xfId="19546" xr:uid="{00000000-0005-0000-0000-000069890000}"/>
    <cellStyle name="Normal 38 15 8 2" xfId="36907" xr:uid="{00000000-0005-0000-0000-00006A890000}"/>
    <cellStyle name="Normal 38 15 9" xfId="19547" xr:uid="{00000000-0005-0000-0000-00006B890000}"/>
    <cellStyle name="Normal 38 15 9 2" xfId="36908" xr:uid="{00000000-0005-0000-0000-00006C890000}"/>
    <cellStyle name="Normal 38 16" xfId="19548" xr:uid="{00000000-0005-0000-0000-00006D890000}"/>
    <cellStyle name="Normal 38 16 10" xfId="19549" xr:uid="{00000000-0005-0000-0000-00006E890000}"/>
    <cellStyle name="Normal 38 16 10 2" xfId="36910" xr:uid="{00000000-0005-0000-0000-00006F890000}"/>
    <cellStyle name="Normal 38 16 11" xfId="19550" xr:uid="{00000000-0005-0000-0000-000070890000}"/>
    <cellStyle name="Normal 38 16 11 2" xfId="36911" xr:uid="{00000000-0005-0000-0000-000071890000}"/>
    <cellStyle name="Normal 38 16 12" xfId="19551" xr:uid="{00000000-0005-0000-0000-000072890000}"/>
    <cellStyle name="Normal 38 16 12 2" xfId="36912" xr:uid="{00000000-0005-0000-0000-000073890000}"/>
    <cellStyle name="Normal 38 16 13" xfId="19552" xr:uid="{00000000-0005-0000-0000-000074890000}"/>
    <cellStyle name="Normal 38 16 13 2" xfId="36913" xr:uid="{00000000-0005-0000-0000-000075890000}"/>
    <cellStyle name="Normal 38 16 14" xfId="19553" xr:uid="{00000000-0005-0000-0000-000076890000}"/>
    <cellStyle name="Normal 38 16 14 2" xfId="36914" xr:uid="{00000000-0005-0000-0000-000077890000}"/>
    <cellStyle name="Normal 38 16 15" xfId="36909" xr:uid="{00000000-0005-0000-0000-000078890000}"/>
    <cellStyle name="Normal 38 16 2" xfId="19554" xr:uid="{00000000-0005-0000-0000-000079890000}"/>
    <cellStyle name="Normal 38 16 2 2" xfId="36915" xr:uid="{00000000-0005-0000-0000-00007A890000}"/>
    <cellStyle name="Normal 38 16 3" xfId="19555" xr:uid="{00000000-0005-0000-0000-00007B890000}"/>
    <cellStyle name="Normal 38 16 3 2" xfId="36916" xr:uid="{00000000-0005-0000-0000-00007C890000}"/>
    <cellStyle name="Normal 38 16 4" xfId="19556" xr:uid="{00000000-0005-0000-0000-00007D890000}"/>
    <cellStyle name="Normal 38 16 4 2" xfId="36917" xr:uid="{00000000-0005-0000-0000-00007E890000}"/>
    <cellStyle name="Normal 38 16 5" xfId="19557" xr:uid="{00000000-0005-0000-0000-00007F890000}"/>
    <cellStyle name="Normal 38 16 5 2" xfId="36918" xr:uid="{00000000-0005-0000-0000-000080890000}"/>
    <cellStyle name="Normal 38 16 6" xfId="19558" xr:uid="{00000000-0005-0000-0000-000081890000}"/>
    <cellStyle name="Normal 38 16 6 2" xfId="36919" xr:uid="{00000000-0005-0000-0000-000082890000}"/>
    <cellStyle name="Normal 38 16 7" xfId="19559" xr:uid="{00000000-0005-0000-0000-000083890000}"/>
    <cellStyle name="Normal 38 16 7 2" xfId="36920" xr:uid="{00000000-0005-0000-0000-000084890000}"/>
    <cellStyle name="Normal 38 16 8" xfId="19560" xr:uid="{00000000-0005-0000-0000-000085890000}"/>
    <cellStyle name="Normal 38 16 8 2" xfId="36921" xr:uid="{00000000-0005-0000-0000-000086890000}"/>
    <cellStyle name="Normal 38 16 9" xfId="19561" xr:uid="{00000000-0005-0000-0000-000087890000}"/>
    <cellStyle name="Normal 38 16 9 2" xfId="36922" xr:uid="{00000000-0005-0000-0000-000088890000}"/>
    <cellStyle name="Normal 38 17" xfId="19562" xr:uid="{00000000-0005-0000-0000-000089890000}"/>
    <cellStyle name="Normal 38 17 10" xfId="19563" xr:uid="{00000000-0005-0000-0000-00008A890000}"/>
    <cellStyle name="Normal 38 17 10 2" xfId="36924" xr:uid="{00000000-0005-0000-0000-00008B890000}"/>
    <cellStyle name="Normal 38 17 11" xfId="19564" xr:uid="{00000000-0005-0000-0000-00008C890000}"/>
    <cellStyle name="Normal 38 17 11 2" xfId="36925" xr:uid="{00000000-0005-0000-0000-00008D890000}"/>
    <cellStyle name="Normal 38 17 12" xfId="19565" xr:uid="{00000000-0005-0000-0000-00008E890000}"/>
    <cellStyle name="Normal 38 17 12 2" xfId="36926" xr:uid="{00000000-0005-0000-0000-00008F890000}"/>
    <cellStyle name="Normal 38 17 13" xfId="19566" xr:uid="{00000000-0005-0000-0000-000090890000}"/>
    <cellStyle name="Normal 38 17 13 2" xfId="36927" xr:uid="{00000000-0005-0000-0000-000091890000}"/>
    <cellStyle name="Normal 38 17 14" xfId="19567" xr:uid="{00000000-0005-0000-0000-000092890000}"/>
    <cellStyle name="Normal 38 17 14 2" xfId="36928" xr:uid="{00000000-0005-0000-0000-000093890000}"/>
    <cellStyle name="Normal 38 17 15" xfId="36923" xr:uid="{00000000-0005-0000-0000-000094890000}"/>
    <cellStyle name="Normal 38 17 2" xfId="19568" xr:uid="{00000000-0005-0000-0000-000095890000}"/>
    <cellStyle name="Normal 38 17 2 2" xfId="36929" xr:uid="{00000000-0005-0000-0000-000096890000}"/>
    <cellStyle name="Normal 38 17 3" xfId="19569" xr:uid="{00000000-0005-0000-0000-000097890000}"/>
    <cellStyle name="Normal 38 17 3 2" xfId="36930" xr:uid="{00000000-0005-0000-0000-000098890000}"/>
    <cellStyle name="Normal 38 17 4" xfId="19570" xr:uid="{00000000-0005-0000-0000-000099890000}"/>
    <cellStyle name="Normal 38 17 4 2" xfId="36931" xr:uid="{00000000-0005-0000-0000-00009A890000}"/>
    <cellStyle name="Normal 38 17 5" xfId="19571" xr:uid="{00000000-0005-0000-0000-00009B890000}"/>
    <cellStyle name="Normal 38 17 5 2" xfId="36932" xr:uid="{00000000-0005-0000-0000-00009C890000}"/>
    <cellStyle name="Normal 38 17 6" xfId="19572" xr:uid="{00000000-0005-0000-0000-00009D890000}"/>
    <cellStyle name="Normal 38 17 6 2" xfId="36933" xr:uid="{00000000-0005-0000-0000-00009E890000}"/>
    <cellStyle name="Normal 38 17 7" xfId="19573" xr:uid="{00000000-0005-0000-0000-00009F890000}"/>
    <cellStyle name="Normal 38 17 7 2" xfId="36934" xr:uid="{00000000-0005-0000-0000-0000A0890000}"/>
    <cellStyle name="Normal 38 17 8" xfId="19574" xr:uid="{00000000-0005-0000-0000-0000A1890000}"/>
    <cellStyle name="Normal 38 17 8 2" xfId="36935" xr:uid="{00000000-0005-0000-0000-0000A2890000}"/>
    <cellStyle name="Normal 38 17 9" xfId="19575" xr:uid="{00000000-0005-0000-0000-0000A3890000}"/>
    <cellStyle name="Normal 38 17 9 2" xfId="36936" xr:uid="{00000000-0005-0000-0000-0000A4890000}"/>
    <cellStyle name="Normal 38 18" xfId="19576" xr:uid="{00000000-0005-0000-0000-0000A5890000}"/>
    <cellStyle name="Normal 38 18 2" xfId="36937" xr:uid="{00000000-0005-0000-0000-0000A6890000}"/>
    <cellStyle name="Normal 38 19" xfId="19577" xr:uid="{00000000-0005-0000-0000-0000A7890000}"/>
    <cellStyle name="Normal 38 19 2" xfId="36938" xr:uid="{00000000-0005-0000-0000-0000A8890000}"/>
    <cellStyle name="Normal 38 2" xfId="226" xr:uid="{00000000-0005-0000-0000-0000A9890000}"/>
    <cellStyle name="Normal 38 20" xfId="19578" xr:uid="{00000000-0005-0000-0000-0000AA890000}"/>
    <cellStyle name="Normal 38 20 2" xfId="36939" xr:uid="{00000000-0005-0000-0000-0000AB890000}"/>
    <cellStyle name="Normal 38 21" xfId="19579" xr:uid="{00000000-0005-0000-0000-0000AC890000}"/>
    <cellStyle name="Normal 38 21 2" xfId="36940" xr:uid="{00000000-0005-0000-0000-0000AD890000}"/>
    <cellStyle name="Normal 38 22" xfId="19580" xr:uid="{00000000-0005-0000-0000-0000AE890000}"/>
    <cellStyle name="Normal 38 22 2" xfId="36941" xr:uid="{00000000-0005-0000-0000-0000AF890000}"/>
    <cellStyle name="Normal 38 23" xfId="19581" xr:uid="{00000000-0005-0000-0000-0000B0890000}"/>
    <cellStyle name="Normal 38 23 2" xfId="36942" xr:uid="{00000000-0005-0000-0000-0000B1890000}"/>
    <cellStyle name="Normal 38 24" xfId="19582" xr:uid="{00000000-0005-0000-0000-0000B2890000}"/>
    <cellStyle name="Normal 38 24 2" xfId="36943" xr:uid="{00000000-0005-0000-0000-0000B3890000}"/>
    <cellStyle name="Normal 38 25" xfId="19583" xr:uid="{00000000-0005-0000-0000-0000B4890000}"/>
    <cellStyle name="Normal 38 25 2" xfId="36944" xr:uid="{00000000-0005-0000-0000-0000B5890000}"/>
    <cellStyle name="Normal 38 26" xfId="19584" xr:uid="{00000000-0005-0000-0000-0000B6890000}"/>
    <cellStyle name="Normal 38 26 2" xfId="36945" xr:uid="{00000000-0005-0000-0000-0000B7890000}"/>
    <cellStyle name="Normal 38 27" xfId="19585" xr:uid="{00000000-0005-0000-0000-0000B8890000}"/>
    <cellStyle name="Normal 38 27 2" xfId="36946" xr:uid="{00000000-0005-0000-0000-0000B9890000}"/>
    <cellStyle name="Normal 38 28" xfId="19586" xr:uid="{00000000-0005-0000-0000-0000BA890000}"/>
    <cellStyle name="Normal 38 28 2" xfId="36947" xr:uid="{00000000-0005-0000-0000-0000BB890000}"/>
    <cellStyle name="Normal 38 29" xfId="19587" xr:uid="{00000000-0005-0000-0000-0000BC890000}"/>
    <cellStyle name="Normal 38 29 2" xfId="36948" xr:uid="{00000000-0005-0000-0000-0000BD890000}"/>
    <cellStyle name="Normal 38 3" xfId="19588" xr:uid="{00000000-0005-0000-0000-0000BE890000}"/>
    <cellStyle name="Normal 38 30" xfId="19589" xr:uid="{00000000-0005-0000-0000-0000BF890000}"/>
    <cellStyle name="Normal 38 30 2" xfId="36949" xr:uid="{00000000-0005-0000-0000-0000C0890000}"/>
    <cellStyle name="Normal 38 31" xfId="36824" xr:uid="{00000000-0005-0000-0000-0000C1890000}"/>
    <cellStyle name="Normal 38 4" xfId="19590" xr:uid="{00000000-0005-0000-0000-0000C2890000}"/>
    <cellStyle name="Normal 38 4 10" xfId="19591" xr:uid="{00000000-0005-0000-0000-0000C3890000}"/>
    <cellStyle name="Normal 38 4 10 2" xfId="36951" xr:uid="{00000000-0005-0000-0000-0000C4890000}"/>
    <cellStyle name="Normal 38 4 11" xfId="19592" xr:uid="{00000000-0005-0000-0000-0000C5890000}"/>
    <cellStyle name="Normal 38 4 11 2" xfId="36952" xr:uid="{00000000-0005-0000-0000-0000C6890000}"/>
    <cellStyle name="Normal 38 4 12" xfId="19593" xr:uid="{00000000-0005-0000-0000-0000C7890000}"/>
    <cellStyle name="Normal 38 4 12 2" xfId="36953" xr:uid="{00000000-0005-0000-0000-0000C8890000}"/>
    <cellStyle name="Normal 38 4 13" xfId="19594" xr:uid="{00000000-0005-0000-0000-0000C9890000}"/>
    <cellStyle name="Normal 38 4 13 2" xfId="36954" xr:uid="{00000000-0005-0000-0000-0000CA890000}"/>
    <cellStyle name="Normal 38 4 14" xfId="19595" xr:uid="{00000000-0005-0000-0000-0000CB890000}"/>
    <cellStyle name="Normal 38 4 14 2" xfId="36955" xr:uid="{00000000-0005-0000-0000-0000CC890000}"/>
    <cellStyle name="Normal 38 4 15" xfId="19596" xr:uid="{00000000-0005-0000-0000-0000CD890000}"/>
    <cellStyle name="Normal 38 4 15 2" xfId="36956" xr:uid="{00000000-0005-0000-0000-0000CE890000}"/>
    <cellStyle name="Normal 38 4 16" xfId="36950" xr:uid="{00000000-0005-0000-0000-0000CF890000}"/>
    <cellStyle name="Normal 38 4 2" xfId="19597" xr:uid="{00000000-0005-0000-0000-0000D0890000}"/>
    <cellStyle name="Normal 38 4 2 10" xfId="19598" xr:uid="{00000000-0005-0000-0000-0000D1890000}"/>
    <cellStyle name="Normal 38 4 2 10 2" xfId="36958" xr:uid="{00000000-0005-0000-0000-0000D2890000}"/>
    <cellStyle name="Normal 38 4 2 11" xfId="19599" xr:uid="{00000000-0005-0000-0000-0000D3890000}"/>
    <cellStyle name="Normal 38 4 2 11 2" xfId="36959" xr:uid="{00000000-0005-0000-0000-0000D4890000}"/>
    <cellStyle name="Normal 38 4 2 12" xfId="19600" xr:uid="{00000000-0005-0000-0000-0000D5890000}"/>
    <cellStyle name="Normal 38 4 2 12 2" xfId="36960" xr:uid="{00000000-0005-0000-0000-0000D6890000}"/>
    <cellStyle name="Normal 38 4 2 13" xfId="19601" xr:uid="{00000000-0005-0000-0000-0000D7890000}"/>
    <cellStyle name="Normal 38 4 2 13 2" xfId="36961" xr:uid="{00000000-0005-0000-0000-0000D8890000}"/>
    <cellStyle name="Normal 38 4 2 14" xfId="19602" xr:uid="{00000000-0005-0000-0000-0000D9890000}"/>
    <cellStyle name="Normal 38 4 2 14 2" xfId="36962" xr:uid="{00000000-0005-0000-0000-0000DA890000}"/>
    <cellStyle name="Normal 38 4 2 15" xfId="36957" xr:uid="{00000000-0005-0000-0000-0000DB890000}"/>
    <cellStyle name="Normal 38 4 2 2" xfId="19603" xr:uid="{00000000-0005-0000-0000-0000DC890000}"/>
    <cellStyle name="Normal 38 4 2 2 2" xfId="36963" xr:uid="{00000000-0005-0000-0000-0000DD890000}"/>
    <cellStyle name="Normal 38 4 2 3" xfId="19604" xr:uid="{00000000-0005-0000-0000-0000DE890000}"/>
    <cellStyle name="Normal 38 4 2 3 2" xfId="36964" xr:uid="{00000000-0005-0000-0000-0000DF890000}"/>
    <cellStyle name="Normal 38 4 2 4" xfId="19605" xr:uid="{00000000-0005-0000-0000-0000E0890000}"/>
    <cellStyle name="Normal 38 4 2 4 2" xfId="36965" xr:uid="{00000000-0005-0000-0000-0000E1890000}"/>
    <cellStyle name="Normal 38 4 2 5" xfId="19606" xr:uid="{00000000-0005-0000-0000-0000E2890000}"/>
    <cellStyle name="Normal 38 4 2 5 2" xfId="36966" xr:uid="{00000000-0005-0000-0000-0000E3890000}"/>
    <cellStyle name="Normal 38 4 2 6" xfId="19607" xr:uid="{00000000-0005-0000-0000-0000E4890000}"/>
    <cellStyle name="Normal 38 4 2 6 2" xfId="36967" xr:uid="{00000000-0005-0000-0000-0000E5890000}"/>
    <cellStyle name="Normal 38 4 2 7" xfId="19608" xr:uid="{00000000-0005-0000-0000-0000E6890000}"/>
    <cellStyle name="Normal 38 4 2 7 2" xfId="36968" xr:uid="{00000000-0005-0000-0000-0000E7890000}"/>
    <cellStyle name="Normal 38 4 2 8" xfId="19609" xr:uid="{00000000-0005-0000-0000-0000E8890000}"/>
    <cellStyle name="Normal 38 4 2 8 2" xfId="36969" xr:uid="{00000000-0005-0000-0000-0000E9890000}"/>
    <cellStyle name="Normal 38 4 2 9" xfId="19610" xr:uid="{00000000-0005-0000-0000-0000EA890000}"/>
    <cellStyle name="Normal 38 4 2 9 2" xfId="36970" xr:uid="{00000000-0005-0000-0000-0000EB890000}"/>
    <cellStyle name="Normal 38 4 3" xfId="19611" xr:uid="{00000000-0005-0000-0000-0000EC890000}"/>
    <cellStyle name="Normal 38 4 3 2" xfId="36971" xr:uid="{00000000-0005-0000-0000-0000ED890000}"/>
    <cellStyle name="Normal 38 4 4" xfId="19612" xr:uid="{00000000-0005-0000-0000-0000EE890000}"/>
    <cellStyle name="Normal 38 4 4 2" xfId="36972" xr:uid="{00000000-0005-0000-0000-0000EF890000}"/>
    <cellStyle name="Normal 38 4 5" xfId="19613" xr:uid="{00000000-0005-0000-0000-0000F0890000}"/>
    <cellStyle name="Normal 38 4 5 2" xfId="36973" xr:uid="{00000000-0005-0000-0000-0000F1890000}"/>
    <cellStyle name="Normal 38 4 6" xfId="19614" xr:uid="{00000000-0005-0000-0000-0000F2890000}"/>
    <cellStyle name="Normal 38 4 6 2" xfId="36974" xr:uid="{00000000-0005-0000-0000-0000F3890000}"/>
    <cellStyle name="Normal 38 4 7" xfId="19615" xr:uid="{00000000-0005-0000-0000-0000F4890000}"/>
    <cellStyle name="Normal 38 4 7 2" xfId="36975" xr:uid="{00000000-0005-0000-0000-0000F5890000}"/>
    <cellStyle name="Normal 38 4 8" xfId="19616" xr:uid="{00000000-0005-0000-0000-0000F6890000}"/>
    <cellStyle name="Normal 38 4 8 2" xfId="36976" xr:uid="{00000000-0005-0000-0000-0000F7890000}"/>
    <cellStyle name="Normal 38 4 9" xfId="19617" xr:uid="{00000000-0005-0000-0000-0000F8890000}"/>
    <cellStyle name="Normal 38 4 9 2" xfId="36977" xr:uid="{00000000-0005-0000-0000-0000F9890000}"/>
    <cellStyle name="Normal 38 5" xfId="19618" xr:uid="{00000000-0005-0000-0000-0000FA890000}"/>
    <cellStyle name="Normal 38 5 10" xfId="19619" xr:uid="{00000000-0005-0000-0000-0000FB890000}"/>
    <cellStyle name="Normal 38 5 10 2" xfId="36979" xr:uid="{00000000-0005-0000-0000-0000FC890000}"/>
    <cellStyle name="Normal 38 5 11" xfId="19620" xr:uid="{00000000-0005-0000-0000-0000FD890000}"/>
    <cellStyle name="Normal 38 5 11 2" xfId="36980" xr:uid="{00000000-0005-0000-0000-0000FE890000}"/>
    <cellStyle name="Normal 38 5 12" xfId="19621" xr:uid="{00000000-0005-0000-0000-0000FF890000}"/>
    <cellStyle name="Normal 38 5 12 2" xfId="36981" xr:uid="{00000000-0005-0000-0000-0000008A0000}"/>
    <cellStyle name="Normal 38 5 13" xfId="19622" xr:uid="{00000000-0005-0000-0000-0000018A0000}"/>
    <cellStyle name="Normal 38 5 13 2" xfId="36982" xr:uid="{00000000-0005-0000-0000-0000028A0000}"/>
    <cellStyle name="Normal 38 5 14" xfId="19623" xr:uid="{00000000-0005-0000-0000-0000038A0000}"/>
    <cellStyle name="Normal 38 5 14 2" xfId="36983" xr:uid="{00000000-0005-0000-0000-0000048A0000}"/>
    <cellStyle name="Normal 38 5 15" xfId="19624" xr:uid="{00000000-0005-0000-0000-0000058A0000}"/>
    <cellStyle name="Normal 38 5 15 2" xfId="36984" xr:uid="{00000000-0005-0000-0000-0000068A0000}"/>
    <cellStyle name="Normal 38 5 16" xfId="36978" xr:uid="{00000000-0005-0000-0000-0000078A0000}"/>
    <cellStyle name="Normal 38 5 2" xfId="19625" xr:uid="{00000000-0005-0000-0000-0000088A0000}"/>
    <cellStyle name="Normal 38 5 2 10" xfId="19626" xr:uid="{00000000-0005-0000-0000-0000098A0000}"/>
    <cellStyle name="Normal 38 5 2 10 2" xfId="36986" xr:uid="{00000000-0005-0000-0000-00000A8A0000}"/>
    <cellStyle name="Normal 38 5 2 11" xfId="19627" xr:uid="{00000000-0005-0000-0000-00000B8A0000}"/>
    <cellStyle name="Normal 38 5 2 11 2" xfId="36987" xr:uid="{00000000-0005-0000-0000-00000C8A0000}"/>
    <cellStyle name="Normal 38 5 2 12" xfId="19628" xr:uid="{00000000-0005-0000-0000-00000D8A0000}"/>
    <cellStyle name="Normal 38 5 2 12 2" xfId="36988" xr:uid="{00000000-0005-0000-0000-00000E8A0000}"/>
    <cellStyle name="Normal 38 5 2 13" xfId="19629" xr:uid="{00000000-0005-0000-0000-00000F8A0000}"/>
    <cellStyle name="Normal 38 5 2 13 2" xfId="36989" xr:uid="{00000000-0005-0000-0000-0000108A0000}"/>
    <cellStyle name="Normal 38 5 2 14" xfId="19630" xr:uid="{00000000-0005-0000-0000-0000118A0000}"/>
    <cellStyle name="Normal 38 5 2 14 2" xfId="36990" xr:uid="{00000000-0005-0000-0000-0000128A0000}"/>
    <cellStyle name="Normal 38 5 2 15" xfId="36985" xr:uid="{00000000-0005-0000-0000-0000138A0000}"/>
    <cellStyle name="Normal 38 5 2 2" xfId="19631" xr:uid="{00000000-0005-0000-0000-0000148A0000}"/>
    <cellStyle name="Normal 38 5 2 2 2" xfId="36991" xr:uid="{00000000-0005-0000-0000-0000158A0000}"/>
    <cellStyle name="Normal 38 5 2 3" xfId="19632" xr:uid="{00000000-0005-0000-0000-0000168A0000}"/>
    <cellStyle name="Normal 38 5 2 3 2" xfId="36992" xr:uid="{00000000-0005-0000-0000-0000178A0000}"/>
    <cellStyle name="Normal 38 5 2 4" xfId="19633" xr:uid="{00000000-0005-0000-0000-0000188A0000}"/>
    <cellStyle name="Normal 38 5 2 4 2" xfId="36993" xr:uid="{00000000-0005-0000-0000-0000198A0000}"/>
    <cellStyle name="Normal 38 5 2 5" xfId="19634" xr:uid="{00000000-0005-0000-0000-00001A8A0000}"/>
    <cellStyle name="Normal 38 5 2 5 2" xfId="36994" xr:uid="{00000000-0005-0000-0000-00001B8A0000}"/>
    <cellStyle name="Normal 38 5 2 6" xfId="19635" xr:uid="{00000000-0005-0000-0000-00001C8A0000}"/>
    <cellStyle name="Normal 38 5 2 6 2" xfId="36995" xr:uid="{00000000-0005-0000-0000-00001D8A0000}"/>
    <cellStyle name="Normal 38 5 2 7" xfId="19636" xr:uid="{00000000-0005-0000-0000-00001E8A0000}"/>
    <cellStyle name="Normal 38 5 2 7 2" xfId="36996" xr:uid="{00000000-0005-0000-0000-00001F8A0000}"/>
    <cellStyle name="Normal 38 5 2 8" xfId="19637" xr:uid="{00000000-0005-0000-0000-0000208A0000}"/>
    <cellStyle name="Normal 38 5 2 8 2" xfId="36997" xr:uid="{00000000-0005-0000-0000-0000218A0000}"/>
    <cellStyle name="Normal 38 5 2 9" xfId="19638" xr:uid="{00000000-0005-0000-0000-0000228A0000}"/>
    <cellStyle name="Normal 38 5 2 9 2" xfId="36998" xr:uid="{00000000-0005-0000-0000-0000238A0000}"/>
    <cellStyle name="Normal 38 5 3" xfId="19639" xr:uid="{00000000-0005-0000-0000-0000248A0000}"/>
    <cellStyle name="Normal 38 5 3 2" xfId="36999" xr:uid="{00000000-0005-0000-0000-0000258A0000}"/>
    <cellStyle name="Normal 38 5 4" xfId="19640" xr:uid="{00000000-0005-0000-0000-0000268A0000}"/>
    <cellStyle name="Normal 38 5 4 2" xfId="37000" xr:uid="{00000000-0005-0000-0000-0000278A0000}"/>
    <cellStyle name="Normal 38 5 5" xfId="19641" xr:uid="{00000000-0005-0000-0000-0000288A0000}"/>
    <cellStyle name="Normal 38 5 5 2" xfId="37001" xr:uid="{00000000-0005-0000-0000-0000298A0000}"/>
    <cellStyle name="Normal 38 5 6" xfId="19642" xr:uid="{00000000-0005-0000-0000-00002A8A0000}"/>
    <cellStyle name="Normal 38 5 6 2" xfId="37002" xr:uid="{00000000-0005-0000-0000-00002B8A0000}"/>
    <cellStyle name="Normal 38 5 7" xfId="19643" xr:uid="{00000000-0005-0000-0000-00002C8A0000}"/>
    <cellStyle name="Normal 38 5 7 2" xfId="37003" xr:uid="{00000000-0005-0000-0000-00002D8A0000}"/>
    <cellStyle name="Normal 38 5 8" xfId="19644" xr:uid="{00000000-0005-0000-0000-00002E8A0000}"/>
    <cellStyle name="Normal 38 5 8 2" xfId="37004" xr:uid="{00000000-0005-0000-0000-00002F8A0000}"/>
    <cellStyle name="Normal 38 5 9" xfId="19645" xr:uid="{00000000-0005-0000-0000-0000308A0000}"/>
    <cellStyle name="Normal 38 5 9 2" xfId="37005" xr:uid="{00000000-0005-0000-0000-0000318A0000}"/>
    <cellStyle name="Normal 38 6" xfId="19646" xr:uid="{00000000-0005-0000-0000-0000328A0000}"/>
    <cellStyle name="Normal 38 6 10" xfId="19647" xr:uid="{00000000-0005-0000-0000-0000338A0000}"/>
    <cellStyle name="Normal 38 6 10 2" xfId="37007" xr:uid="{00000000-0005-0000-0000-0000348A0000}"/>
    <cellStyle name="Normal 38 6 11" xfId="19648" xr:uid="{00000000-0005-0000-0000-0000358A0000}"/>
    <cellStyle name="Normal 38 6 11 2" xfId="37008" xr:uid="{00000000-0005-0000-0000-0000368A0000}"/>
    <cellStyle name="Normal 38 6 12" xfId="19649" xr:uid="{00000000-0005-0000-0000-0000378A0000}"/>
    <cellStyle name="Normal 38 6 12 2" xfId="37009" xr:uid="{00000000-0005-0000-0000-0000388A0000}"/>
    <cellStyle name="Normal 38 6 13" xfId="19650" xr:uid="{00000000-0005-0000-0000-0000398A0000}"/>
    <cellStyle name="Normal 38 6 13 2" xfId="37010" xr:uid="{00000000-0005-0000-0000-00003A8A0000}"/>
    <cellStyle name="Normal 38 6 14" xfId="19651" xr:uid="{00000000-0005-0000-0000-00003B8A0000}"/>
    <cellStyle name="Normal 38 6 14 2" xfId="37011" xr:uid="{00000000-0005-0000-0000-00003C8A0000}"/>
    <cellStyle name="Normal 38 6 15" xfId="19652" xr:uid="{00000000-0005-0000-0000-00003D8A0000}"/>
    <cellStyle name="Normal 38 6 15 2" xfId="37012" xr:uid="{00000000-0005-0000-0000-00003E8A0000}"/>
    <cellStyle name="Normal 38 6 16" xfId="37006" xr:uid="{00000000-0005-0000-0000-00003F8A0000}"/>
    <cellStyle name="Normal 38 6 2" xfId="19653" xr:uid="{00000000-0005-0000-0000-0000408A0000}"/>
    <cellStyle name="Normal 38 6 2 10" xfId="19654" xr:uid="{00000000-0005-0000-0000-0000418A0000}"/>
    <cellStyle name="Normal 38 6 2 10 2" xfId="37014" xr:uid="{00000000-0005-0000-0000-0000428A0000}"/>
    <cellStyle name="Normal 38 6 2 11" xfId="19655" xr:uid="{00000000-0005-0000-0000-0000438A0000}"/>
    <cellStyle name="Normal 38 6 2 11 2" xfId="37015" xr:uid="{00000000-0005-0000-0000-0000448A0000}"/>
    <cellStyle name="Normal 38 6 2 12" xfId="19656" xr:uid="{00000000-0005-0000-0000-0000458A0000}"/>
    <cellStyle name="Normal 38 6 2 12 2" xfId="37016" xr:uid="{00000000-0005-0000-0000-0000468A0000}"/>
    <cellStyle name="Normal 38 6 2 13" xfId="19657" xr:uid="{00000000-0005-0000-0000-0000478A0000}"/>
    <cellStyle name="Normal 38 6 2 13 2" xfId="37017" xr:uid="{00000000-0005-0000-0000-0000488A0000}"/>
    <cellStyle name="Normal 38 6 2 14" xfId="19658" xr:uid="{00000000-0005-0000-0000-0000498A0000}"/>
    <cellStyle name="Normal 38 6 2 14 2" xfId="37018" xr:uid="{00000000-0005-0000-0000-00004A8A0000}"/>
    <cellStyle name="Normal 38 6 2 15" xfId="37013" xr:uid="{00000000-0005-0000-0000-00004B8A0000}"/>
    <cellStyle name="Normal 38 6 2 2" xfId="19659" xr:uid="{00000000-0005-0000-0000-00004C8A0000}"/>
    <cellStyle name="Normal 38 6 2 2 2" xfId="37019" xr:uid="{00000000-0005-0000-0000-00004D8A0000}"/>
    <cellStyle name="Normal 38 6 2 3" xfId="19660" xr:uid="{00000000-0005-0000-0000-00004E8A0000}"/>
    <cellStyle name="Normal 38 6 2 3 2" xfId="37020" xr:uid="{00000000-0005-0000-0000-00004F8A0000}"/>
    <cellStyle name="Normal 38 6 2 4" xfId="19661" xr:uid="{00000000-0005-0000-0000-0000508A0000}"/>
    <cellStyle name="Normal 38 6 2 4 2" xfId="37021" xr:uid="{00000000-0005-0000-0000-0000518A0000}"/>
    <cellStyle name="Normal 38 6 2 5" xfId="19662" xr:uid="{00000000-0005-0000-0000-0000528A0000}"/>
    <cellStyle name="Normal 38 6 2 5 2" xfId="37022" xr:uid="{00000000-0005-0000-0000-0000538A0000}"/>
    <cellStyle name="Normal 38 6 2 6" xfId="19663" xr:uid="{00000000-0005-0000-0000-0000548A0000}"/>
    <cellStyle name="Normal 38 6 2 6 2" xfId="37023" xr:uid="{00000000-0005-0000-0000-0000558A0000}"/>
    <cellStyle name="Normal 38 6 2 7" xfId="19664" xr:uid="{00000000-0005-0000-0000-0000568A0000}"/>
    <cellStyle name="Normal 38 6 2 7 2" xfId="37024" xr:uid="{00000000-0005-0000-0000-0000578A0000}"/>
    <cellStyle name="Normal 38 6 2 8" xfId="19665" xr:uid="{00000000-0005-0000-0000-0000588A0000}"/>
    <cellStyle name="Normal 38 6 2 8 2" xfId="37025" xr:uid="{00000000-0005-0000-0000-0000598A0000}"/>
    <cellStyle name="Normal 38 6 2 9" xfId="19666" xr:uid="{00000000-0005-0000-0000-00005A8A0000}"/>
    <cellStyle name="Normal 38 6 2 9 2" xfId="37026" xr:uid="{00000000-0005-0000-0000-00005B8A0000}"/>
    <cellStyle name="Normal 38 6 3" xfId="19667" xr:uid="{00000000-0005-0000-0000-00005C8A0000}"/>
    <cellStyle name="Normal 38 6 3 2" xfId="37027" xr:uid="{00000000-0005-0000-0000-00005D8A0000}"/>
    <cellStyle name="Normal 38 6 4" xfId="19668" xr:uid="{00000000-0005-0000-0000-00005E8A0000}"/>
    <cellStyle name="Normal 38 6 4 2" xfId="37028" xr:uid="{00000000-0005-0000-0000-00005F8A0000}"/>
    <cellStyle name="Normal 38 6 5" xfId="19669" xr:uid="{00000000-0005-0000-0000-0000608A0000}"/>
    <cellStyle name="Normal 38 6 5 2" xfId="37029" xr:uid="{00000000-0005-0000-0000-0000618A0000}"/>
    <cellStyle name="Normal 38 6 6" xfId="19670" xr:uid="{00000000-0005-0000-0000-0000628A0000}"/>
    <cellStyle name="Normal 38 6 6 2" xfId="37030" xr:uid="{00000000-0005-0000-0000-0000638A0000}"/>
    <cellStyle name="Normal 38 6 7" xfId="19671" xr:uid="{00000000-0005-0000-0000-0000648A0000}"/>
    <cellStyle name="Normal 38 6 7 2" xfId="37031" xr:uid="{00000000-0005-0000-0000-0000658A0000}"/>
    <cellStyle name="Normal 38 6 8" xfId="19672" xr:uid="{00000000-0005-0000-0000-0000668A0000}"/>
    <cellStyle name="Normal 38 6 8 2" xfId="37032" xr:uid="{00000000-0005-0000-0000-0000678A0000}"/>
    <cellStyle name="Normal 38 6 9" xfId="19673" xr:uid="{00000000-0005-0000-0000-0000688A0000}"/>
    <cellStyle name="Normal 38 6 9 2" xfId="37033" xr:uid="{00000000-0005-0000-0000-0000698A0000}"/>
    <cellStyle name="Normal 38 7" xfId="19674" xr:uid="{00000000-0005-0000-0000-00006A8A0000}"/>
    <cellStyle name="Normal 38 7 10" xfId="19675" xr:uid="{00000000-0005-0000-0000-00006B8A0000}"/>
    <cellStyle name="Normal 38 7 10 2" xfId="37035" xr:uid="{00000000-0005-0000-0000-00006C8A0000}"/>
    <cellStyle name="Normal 38 7 11" xfId="19676" xr:uid="{00000000-0005-0000-0000-00006D8A0000}"/>
    <cellStyle name="Normal 38 7 11 2" xfId="37036" xr:uid="{00000000-0005-0000-0000-00006E8A0000}"/>
    <cellStyle name="Normal 38 7 12" xfId="19677" xr:uid="{00000000-0005-0000-0000-00006F8A0000}"/>
    <cellStyle name="Normal 38 7 12 2" xfId="37037" xr:uid="{00000000-0005-0000-0000-0000708A0000}"/>
    <cellStyle name="Normal 38 7 13" xfId="19678" xr:uid="{00000000-0005-0000-0000-0000718A0000}"/>
    <cellStyle name="Normal 38 7 13 2" xfId="37038" xr:uid="{00000000-0005-0000-0000-0000728A0000}"/>
    <cellStyle name="Normal 38 7 14" xfId="19679" xr:uid="{00000000-0005-0000-0000-0000738A0000}"/>
    <cellStyle name="Normal 38 7 14 2" xfId="37039" xr:uid="{00000000-0005-0000-0000-0000748A0000}"/>
    <cellStyle name="Normal 38 7 15" xfId="37034" xr:uid="{00000000-0005-0000-0000-0000758A0000}"/>
    <cellStyle name="Normal 38 7 2" xfId="19680" xr:uid="{00000000-0005-0000-0000-0000768A0000}"/>
    <cellStyle name="Normal 38 7 2 2" xfId="37040" xr:uid="{00000000-0005-0000-0000-0000778A0000}"/>
    <cellStyle name="Normal 38 7 3" xfId="19681" xr:uid="{00000000-0005-0000-0000-0000788A0000}"/>
    <cellStyle name="Normal 38 7 3 2" xfId="37041" xr:uid="{00000000-0005-0000-0000-0000798A0000}"/>
    <cellStyle name="Normal 38 7 4" xfId="19682" xr:uid="{00000000-0005-0000-0000-00007A8A0000}"/>
    <cellStyle name="Normal 38 7 4 2" xfId="37042" xr:uid="{00000000-0005-0000-0000-00007B8A0000}"/>
    <cellStyle name="Normal 38 7 5" xfId="19683" xr:uid="{00000000-0005-0000-0000-00007C8A0000}"/>
    <cellStyle name="Normal 38 7 5 2" xfId="37043" xr:uid="{00000000-0005-0000-0000-00007D8A0000}"/>
    <cellStyle name="Normal 38 7 6" xfId="19684" xr:uid="{00000000-0005-0000-0000-00007E8A0000}"/>
    <cellStyle name="Normal 38 7 6 2" xfId="37044" xr:uid="{00000000-0005-0000-0000-00007F8A0000}"/>
    <cellStyle name="Normal 38 7 7" xfId="19685" xr:uid="{00000000-0005-0000-0000-0000808A0000}"/>
    <cellStyle name="Normal 38 7 7 2" xfId="37045" xr:uid="{00000000-0005-0000-0000-0000818A0000}"/>
    <cellStyle name="Normal 38 7 8" xfId="19686" xr:uid="{00000000-0005-0000-0000-0000828A0000}"/>
    <cellStyle name="Normal 38 7 8 2" xfId="37046" xr:uid="{00000000-0005-0000-0000-0000838A0000}"/>
    <cellStyle name="Normal 38 7 9" xfId="19687" xr:uid="{00000000-0005-0000-0000-0000848A0000}"/>
    <cellStyle name="Normal 38 7 9 2" xfId="37047" xr:uid="{00000000-0005-0000-0000-0000858A0000}"/>
    <cellStyle name="Normal 38 8" xfId="19688" xr:uid="{00000000-0005-0000-0000-0000868A0000}"/>
    <cellStyle name="Normal 38 8 10" xfId="19689" xr:uid="{00000000-0005-0000-0000-0000878A0000}"/>
    <cellStyle name="Normal 38 8 10 2" xfId="37049" xr:uid="{00000000-0005-0000-0000-0000888A0000}"/>
    <cellStyle name="Normal 38 8 11" xfId="19690" xr:uid="{00000000-0005-0000-0000-0000898A0000}"/>
    <cellStyle name="Normal 38 8 11 2" xfId="37050" xr:uid="{00000000-0005-0000-0000-00008A8A0000}"/>
    <cellStyle name="Normal 38 8 12" xfId="19691" xr:uid="{00000000-0005-0000-0000-00008B8A0000}"/>
    <cellStyle name="Normal 38 8 12 2" xfId="37051" xr:uid="{00000000-0005-0000-0000-00008C8A0000}"/>
    <cellStyle name="Normal 38 8 13" xfId="19692" xr:uid="{00000000-0005-0000-0000-00008D8A0000}"/>
    <cellStyle name="Normal 38 8 13 2" xfId="37052" xr:uid="{00000000-0005-0000-0000-00008E8A0000}"/>
    <cellStyle name="Normal 38 8 14" xfId="19693" xr:uid="{00000000-0005-0000-0000-00008F8A0000}"/>
    <cellStyle name="Normal 38 8 14 2" xfId="37053" xr:uid="{00000000-0005-0000-0000-0000908A0000}"/>
    <cellStyle name="Normal 38 8 15" xfId="37048" xr:uid="{00000000-0005-0000-0000-0000918A0000}"/>
    <cellStyle name="Normal 38 8 2" xfId="19694" xr:uid="{00000000-0005-0000-0000-0000928A0000}"/>
    <cellStyle name="Normal 38 8 2 2" xfId="37054" xr:uid="{00000000-0005-0000-0000-0000938A0000}"/>
    <cellStyle name="Normal 38 8 3" xfId="19695" xr:uid="{00000000-0005-0000-0000-0000948A0000}"/>
    <cellStyle name="Normal 38 8 3 2" xfId="37055" xr:uid="{00000000-0005-0000-0000-0000958A0000}"/>
    <cellStyle name="Normal 38 8 4" xfId="19696" xr:uid="{00000000-0005-0000-0000-0000968A0000}"/>
    <cellStyle name="Normal 38 8 4 2" xfId="37056" xr:uid="{00000000-0005-0000-0000-0000978A0000}"/>
    <cellStyle name="Normal 38 8 5" xfId="19697" xr:uid="{00000000-0005-0000-0000-0000988A0000}"/>
    <cellStyle name="Normal 38 8 5 2" xfId="37057" xr:uid="{00000000-0005-0000-0000-0000998A0000}"/>
    <cellStyle name="Normal 38 8 6" xfId="19698" xr:uid="{00000000-0005-0000-0000-00009A8A0000}"/>
    <cellStyle name="Normal 38 8 6 2" xfId="37058" xr:uid="{00000000-0005-0000-0000-00009B8A0000}"/>
    <cellStyle name="Normal 38 8 7" xfId="19699" xr:uid="{00000000-0005-0000-0000-00009C8A0000}"/>
    <cellStyle name="Normal 38 8 7 2" xfId="37059" xr:uid="{00000000-0005-0000-0000-00009D8A0000}"/>
    <cellStyle name="Normal 38 8 8" xfId="19700" xr:uid="{00000000-0005-0000-0000-00009E8A0000}"/>
    <cellStyle name="Normal 38 8 8 2" xfId="37060" xr:uid="{00000000-0005-0000-0000-00009F8A0000}"/>
    <cellStyle name="Normal 38 8 9" xfId="19701" xr:uid="{00000000-0005-0000-0000-0000A08A0000}"/>
    <cellStyle name="Normal 38 8 9 2" xfId="37061" xr:uid="{00000000-0005-0000-0000-0000A18A0000}"/>
    <cellStyle name="Normal 38 9" xfId="19702" xr:uid="{00000000-0005-0000-0000-0000A28A0000}"/>
    <cellStyle name="Normal 38 9 10" xfId="19703" xr:uid="{00000000-0005-0000-0000-0000A38A0000}"/>
    <cellStyle name="Normal 38 9 10 2" xfId="37063" xr:uid="{00000000-0005-0000-0000-0000A48A0000}"/>
    <cellStyle name="Normal 38 9 11" xfId="19704" xr:uid="{00000000-0005-0000-0000-0000A58A0000}"/>
    <cellStyle name="Normal 38 9 11 2" xfId="37064" xr:uid="{00000000-0005-0000-0000-0000A68A0000}"/>
    <cellStyle name="Normal 38 9 12" xfId="19705" xr:uid="{00000000-0005-0000-0000-0000A78A0000}"/>
    <cellStyle name="Normal 38 9 12 2" xfId="37065" xr:uid="{00000000-0005-0000-0000-0000A88A0000}"/>
    <cellStyle name="Normal 38 9 13" xfId="19706" xr:uid="{00000000-0005-0000-0000-0000A98A0000}"/>
    <cellStyle name="Normal 38 9 13 2" xfId="37066" xr:uid="{00000000-0005-0000-0000-0000AA8A0000}"/>
    <cellStyle name="Normal 38 9 14" xfId="19707" xr:uid="{00000000-0005-0000-0000-0000AB8A0000}"/>
    <cellStyle name="Normal 38 9 14 2" xfId="37067" xr:uid="{00000000-0005-0000-0000-0000AC8A0000}"/>
    <cellStyle name="Normal 38 9 15" xfId="37062" xr:uid="{00000000-0005-0000-0000-0000AD8A0000}"/>
    <cellStyle name="Normal 38 9 2" xfId="19708" xr:uid="{00000000-0005-0000-0000-0000AE8A0000}"/>
    <cellStyle name="Normal 38 9 2 2" xfId="37068" xr:uid="{00000000-0005-0000-0000-0000AF8A0000}"/>
    <cellStyle name="Normal 38 9 3" xfId="19709" xr:uid="{00000000-0005-0000-0000-0000B08A0000}"/>
    <cellStyle name="Normal 38 9 3 2" xfId="37069" xr:uid="{00000000-0005-0000-0000-0000B18A0000}"/>
    <cellStyle name="Normal 38 9 4" xfId="19710" xr:uid="{00000000-0005-0000-0000-0000B28A0000}"/>
    <cellStyle name="Normal 38 9 4 2" xfId="37070" xr:uid="{00000000-0005-0000-0000-0000B38A0000}"/>
    <cellStyle name="Normal 38 9 5" xfId="19711" xr:uid="{00000000-0005-0000-0000-0000B48A0000}"/>
    <cellStyle name="Normal 38 9 5 2" xfId="37071" xr:uid="{00000000-0005-0000-0000-0000B58A0000}"/>
    <cellStyle name="Normal 38 9 6" xfId="19712" xr:uid="{00000000-0005-0000-0000-0000B68A0000}"/>
    <cellStyle name="Normal 38 9 6 2" xfId="37072" xr:uid="{00000000-0005-0000-0000-0000B78A0000}"/>
    <cellStyle name="Normal 38 9 7" xfId="19713" xr:uid="{00000000-0005-0000-0000-0000B88A0000}"/>
    <cellStyle name="Normal 38 9 7 2" xfId="37073" xr:uid="{00000000-0005-0000-0000-0000B98A0000}"/>
    <cellStyle name="Normal 38 9 8" xfId="19714" xr:uid="{00000000-0005-0000-0000-0000BA8A0000}"/>
    <cellStyle name="Normal 38 9 8 2" xfId="37074" xr:uid="{00000000-0005-0000-0000-0000BB8A0000}"/>
    <cellStyle name="Normal 38 9 9" xfId="19715" xr:uid="{00000000-0005-0000-0000-0000BC8A0000}"/>
    <cellStyle name="Normal 38 9 9 2" xfId="37075" xr:uid="{00000000-0005-0000-0000-0000BD8A0000}"/>
    <cellStyle name="Normal 39" xfId="67" xr:uid="{00000000-0005-0000-0000-0000BE8A0000}"/>
    <cellStyle name="Normal 39 10" xfId="19716" xr:uid="{00000000-0005-0000-0000-0000BF8A0000}"/>
    <cellStyle name="Normal 39 10 10" xfId="19717" xr:uid="{00000000-0005-0000-0000-0000C08A0000}"/>
    <cellStyle name="Normal 39 10 10 2" xfId="37078" xr:uid="{00000000-0005-0000-0000-0000C18A0000}"/>
    <cellStyle name="Normal 39 10 11" xfId="19718" xr:uid="{00000000-0005-0000-0000-0000C28A0000}"/>
    <cellStyle name="Normal 39 10 11 2" xfId="37079" xr:uid="{00000000-0005-0000-0000-0000C38A0000}"/>
    <cellStyle name="Normal 39 10 12" xfId="19719" xr:uid="{00000000-0005-0000-0000-0000C48A0000}"/>
    <cellStyle name="Normal 39 10 12 2" xfId="37080" xr:uid="{00000000-0005-0000-0000-0000C58A0000}"/>
    <cellStyle name="Normal 39 10 13" xfId="19720" xr:uid="{00000000-0005-0000-0000-0000C68A0000}"/>
    <cellStyle name="Normal 39 10 13 2" xfId="37081" xr:uid="{00000000-0005-0000-0000-0000C78A0000}"/>
    <cellStyle name="Normal 39 10 14" xfId="19721" xr:uid="{00000000-0005-0000-0000-0000C88A0000}"/>
    <cellStyle name="Normal 39 10 14 2" xfId="37082" xr:uid="{00000000-0005-0000-0000-0000C98A0000}"/>
    <cellStyle name="Normal 39 10 15" xfId="37077" xr:uid="{00000000-0005-0000-0000-0000CA8A0000}"/>
    <cellStyle name="Normal 39 10 2" xfId="19722" xr:uid="{00000000-0005-0000-0000-0000CB8A0000}"/>
    <cellStyle name="Normal 39 10 2 2" xfId="37083" xr:uid="{00000000-0005-0000-0000-0000CC8A0000}"/>
    <cellStyle name="Normal 39 10 3" xfId="19723" xr:uid="{00000000-0005-0000-0000-0000CD8A0000}"/>
    <cellStyle name="Normal 39 10 3 2" xfId="37084" xr:uid="{00000000-0005-0000-0000-0000CE8A0000}"/>
    <cellStyle name="Normal 39 10 4" xfId="19724" xr:uid="{00000000-0005-0000-0000-0000CF8A0000}"/>
    <cellStyle name="Normal 39 10 4 2" xfId="37085" xr:uid="{00000000-0005-0000-0000-0000D08A0000}"/>
    <cellStyle name="Normal 39 10 5" xfId="19725" xr:uid="{00000000-0005-0000-0000-0000D18A0000}"/>
    <cellStyle name="Normal 39 10 5 2" xfId="37086" xr:uid="{00000000-0005-0000-0000-0000D28A0000}"/>
    <cellStyle name="Normal 39 10 6" xfId="19726" xr:uid="{00000000-0005-0000-0000-0000D38A0000}"/>
    <cellStyle name="Normal 39 10 6 2" xfId="37087" xr:uid="{00000000-0005-0000-0000-0000D48A0000}"/>
    <cellStyle name="Normal 39 10 7" xfId="19727" xr:uid="{00000000-0005-0000-0000-0000D58A0000}"/>
    <cellStyle name="Normal 39 10 7 2" xfId="37088" xr:uid="{00000000-0005-0000-0000-0000D68A0000}"/>
    <cellStyle name="Normal 39 10 8" xfId="19728" xr:uid="{00000000-0005-0000-0000-0000D78A0000}"/>
    <cellStyle name="Normal 39 10 8 2" xfId="37089" xr:uid="{00000000-0005-0000-0000-0000D88A0000}"/>
    <cellStyle name="Normal 39 10 9" xfId="19729" xr:uid="{00000000-0005-0000-0000-0000D98A0000}"/>
    <cellStyle name="Normal 39 10 9 2" xfId="37090" xr:uid="{00000000-0005-0000-0000-0000DA8A0000}"/>
    <cellStyle name="Normal 39 11" xfId="19730" xr:uid="{00000000-0005-0000-0000-0000DB8A0000}"/>
    <cellStyle name="Normal 39 11 10" xfId="19731" xr:uid="{00000000-0005-0000-0000-0000DC8A0000}"/>
    <cellStyle name="Normal 39 11 10 2" xfId="37092" xr:uid="{00000000-0005-0000-0000-0000DD8A0000}"/>
    <cellStyle name="Normal 39 11 11" xfId="19732" xr:uid="{00000000-0005-0000-0000-0000DE8A0000}"/>
    <cellStyle name="Normal 39 11 11 2" xfId="37093" xr:uid="{00000000-0005-0000-0000-0000DF8A0000}"/>
    <cellStyle name="Normal 39 11 12" xfId="19733" xr:uid="{00000000-0005-0000-0000-0000E08A0000}"/>
    <cellStyle name="Normal 39 11 12 2" xfId="37094" xr:uid="{00000000-0005-0000-0000-0000E18A0000}"/>
    <cellStyle name="Normal 39 11 13" xfId="19734" xr:uid="{00000000-0005-0000-0000-0000E28A0000}"/>
    <cellStyle name="Normal 39 11 13 2" xfId="37095" xr:uid="{00000000-0005-0000-0000-0000E38A0000}"/>
    <cellStyle name="Normal 39 11 14" xfId="19735" xr:uid="{00000000-0005-0000-0000-0000E48A0000}"/>
    <cellStyle name="Normal 39 11 14 2" xfId="37096" xr:uid="{00000000-0005-0000-0000-0000E58A0000}"/>
    <cellStyle name="Normal 39 11 15" xfId="37091" xr:uid="{00000000-0005-0000-0000-0000E68A0000}"/>
    <cellStyle name="Normal 39 11 2" xfId="19736" xr:uid="{00000000-0005-0000-0000-0000E78A0000}"/>
    <cellStyle name="Normal 39 11 2 2" xfId="37097" xr:uid="{00000000-0005-0000-0000-0000E88A0000}"/>
    <cellStyle name="Normal 39 11 3" xfId="19737" xr:uid="{00000000-0005-0000-0000-0000E98A0000}"/>
    <cellStyle name="Normal 39 11 3 2" xfId="37098" xr:uid="{00000000-0005-0000-0000-0000EA8A0000}"/>
    <cellStyle name="Normal 39 11 4" xfId="19738" xr:uid="{00000000-0005-0000-0000-0000EB8A0000}"/>
    <cellStyle name="Normal 39 11 4 2" xfId="37099" xr:uid="{00000000-0005-0000-0000-0000EC8A0000}"/>
    <cellStyle name="Normal 39 11 5" xfId="19739" xr:uid="{00000000-0005-0000-0000-0000ED8A0000}"/>
    <cellStyle name="Normal 39 11 5 2" xfId="37100" xr:uid="{00000000-0005-0000-0000-0000EE8A0000}"/>
    <cellStyle name="Normal 39 11 6" xfId="19740" xr:uid="{00000000-0005-0000-0000-0000EF8A0000}"/>
    <cellStyle name="Normal 39 11 6 2" xfId="37101" xr:uid="{00000000-0005-0000-0000-0000F08A0000}"/>
    <cellStyle name="Normal 39 11 7" xfId="19741" xr:uid="{00000000-0005-0000-0000-0000F18A0000}"/>
    <cellStyle name="Normal 39 11 7 2" xfId="37102" xr:uid="{00000000-0005-0000-0000-0000F28A0000}"/>
    <cellStyle name="Normal 39 11 8" xfId="19742" xr:uid="{00000000-0005-0000-0000-0000F38A0000}"/>
    <cellStyle name="Normal 39 11 8 2" xfId="37103" xr:uid="{00000000-0005-0000-0000-0000F48A0000}"/>
    <cellStyle name="Normal 39 11 9" xfId="19743" xr:uid="{00000000-0005-0000-0000-0000F58A0000}"/>
    <cellStyle name="Normal 39 11 9 2" xfId="37104" xr:uid="{00000000-0005-0000-0000-0000F68A0000}"/>
    <cellStyle name="Normal 39 12" xfId="19744" xr:uid="{00000000-0005-0000-0000-0000F78A0000}"/>
    <cellStyle name="Normal 39 12 10" xfId="19745" xr:uid="{00000000-0005-0000-0000-0000F88A0000}"/>
    <cellStyle name="Normal 39 12 10 2" xfId="37106" xr:uid="{00000000-0005-0000-0000-0000F98A0000}"/>
    <cellStyle name="Normal 39 12 11" xfId="19746" xr:uid="{00000000-0005-0000-0000-0000FA8A0000}"/>
    <cellStyle name="Normal 39 12 11 2" xfId="37107" xr:uid="{00000000-0005-0000-0000-0000FB8A0000}"/>
    <cellStyle name="Normal 39 12 12" xfId="19747" xr:uid="{00000000-0005-0000-0000-0000FC8A0000}"/>
    <cellStyle name="Normal 39 12 12 2" xfId="37108" xr:uid="{00000000-0005-0000-0000-0000FD8A0000}"/>
    <cellStyle name="Normal 39 12 13" xfId="19748" xr:uid="{00000000-0005-0000-0000-0000FE8A0000}"/>
    <cellStyle name="Normal 39 12 13 2" xfId="37109" xr:uid="{00000000-0005-0000-0000-0000FF8A0000}"/>
    <cellStyle name="Normal 39 12 14" xfId="19749" xr:uid="{00000000-0005-0000-0000-0000008B0000}"/>
    <cellStyle name="Normal 39 12 14 2" xfId="37110" xr:uid="{00000000-0005-0000-0000-0000018B0000}"/>
    <cellStyle name="Normal 39 12 15" xfId="37105" xr:uid="{00000000-0005-0000-0000-0000028B0000}"/>
    <cellStyle name="Normal 39 12 2" xfId="19750" xr:uid="{00000000-0005-0000-0000-0000038B0000}"/>
    <cellStyle name="Normal 39 12 2 2" xfId="37111" xr:uid="{00000000-0005-0000-0000-0000048B0000}"/>
    <cellStyle name="Normal 39 12 3" xfId="19751" xr:uid="{00000000-0005-0000-0000-0000058B0000}"/>
    <cellStyle name="Normal 39 12 3 2" xfId="37112" xr:uid="{00000000-0005-0000-0000-0000068B0000}"/>
    <cellStyle name="Normal 39 12 4" xfId="19752" xr:uid="{00000000-0005-0000-0000-0000078B0000}"/>
    <cellStyle name="Normal 39 12 4 2" xfId="37113" xr:uid="{00000000-0005-0000-0000-0000088B0000}"/>
    <cellStyle name="Normal 39 12 5" xfId="19753" xr:uid="{00000000-0005-0000-0000-0000098B0000}"/>
    <cellStyle name="Normal 39 12 5 2" xfId="37114" xr:uid="{00000000-0005-0000-0000-00000A8B0000}"/>
    <cellStyle name="Normal 39 12 6" xfId="19754" xr:uid="{00000000-0005-0000-0000-00000B8B0000}"/>
    <cellStyle name="Normal 39 12 6 2" xfId="37115" xr:uid="{00000000-0005-0000-0000-00000C8B0000}"/>
    <cellStyle name="Normal 39 12 7" xfId="19755" xr:uid="{00000000-0005-0000-0000-00000D8B0000}"/>
    <cellStyle name="Normal 39 12 7 2" xfId="37116" xr:uid="{00000000-0005-0000-0000-00000E8B0000}"/>
    <cellStyle name="Normal 39 12 8" xfId="19756" xr:uid="{00000000-0005-0000-0000-00000F8B0000}"/>
    <cellStyle name="Normal 39 12 8 2" xfId="37117" xr:uid="{00000000-0005-0000-0000-0000108B0000}"/>
    <cellStyle name="Normal 39 12 9" xfId="19757" xr:uid="{00000000-0005-0000-0000-0000118B0000}"/>
    <cellStyle name="Normal 39 12 9 2" xfId="37118" xr:uid="{00000000-0005-0000-0000-0000128B0000}"/>
    <cellStyle name="Normal 39 13" xfId="19758" xr:uid="{00000000-0005-0000-0000-0000138B0000}"/>
    <cellStyle name="Normal 39 13 10" xfId="19759" xr:uid="{00000000-0005-0000-0000-0000148B0000}"/>
    <cellStyle name="Normal 39 13 10 2" xfId="37120" xr:uid="{00000000-0005-0000-0000-0000158B0000}"/>
    <cellStyle name="Normal 39 13 11" xfId="19760" xr:uid="{00000000-0005-0000-0000-0000168B0000}"/>
    <cellStyle name="Normal 39 13 11 2" xfId="37121" xr:uid="{00000000-0005-0000-0000-0000178B0000}"/>
    <cellStyle name="Normal 39 13 12" xfId="19761" xr:uid="{00000000-0005-0000-0000-0000188B0000}"/>
    <cellStyle name="Normal 39 13 12 2" xfId="37122" xr:uid="{00000000-0005-0000-0000-0000198B0000}"/>
    <cellStyle name="Normal 39 13 13" xfId="19762" xr:uid="{00000000-0005-0000-0000-00001A8B0000}"/>
    <cellStyle name="Normal 39 13 13 2" xfId="37123" xr:uid="{00000000-0005-0000-0000-00001B8B0000}"/>
    <cellStyle name="Normal 39 13 14" xfId="19763" xr:uid="{00000000-0005-0000-0000-00001C8B0000}"/>
    <cellStyle name="Normal 39 13 14 2" xfId="37124" xr:uid="{00000000-0005-0000-0000-00001D8B0000}"/>
    <cellStyle name="Normal 39 13 15" xfId="37119" xr:uid="{00000000-0005-0000-0000-00001E8B0000}"/>
    <cellStyle name="Normal 39 13 2" xfId="19764" xr:uid="{00000000-0005-0000-0000-00001F8B0000}"/>
    <cellStyle name="Normal 39 13 2 2" xfId="37125" xr:uid="{00000000-0005-0000-0000-0000208B0000}"/>
    <cellStyle name="Normal 39 13 3" xfId="19765" xr:uid="{00000000-0005-0000-0000-0000218B0000}"/>
    <cellStyle name="Normal 39 13 3 2" xfId="37126" xr:uid="{00000000-0005-0000-0000-0000228B0000}"/>
    <cellStyle name="Normal 39 13 4" xfId="19766" xr:uid="{00000000-0005-0000-0000-0000238B0000}"/>
    <cellStyle name="Normal 39 13 4 2" xfId="37127" xr:uid="{00000000-0005-0000-0000-0000248B0000}"/>
    <cellStyle name="Normal 39 13 5" xfId="19767" xr:uid="{00000000-0005-0000-0000-0000258B0000}"/>
    <cellStyle name="Normal 39 13 5 2" xfId="37128" xr:uid="{00000000-0005-0000-0000-0000268B0000}"/>
    <cellStyle name="Normal 39 13 6" xfId="19768" xr:uid="{00000000-0005-0000-0000-0000278B0000}"/>
    <cellStyle name="Normal 39 13 6 2" xfId="37129" xr:uid="{00000000-0005-0000-0000-0000288B0000}"/>
    <cellStyle name="Normal 39 13 7" xfId="19769" xr:uid="{00000000-0005-0000-0000-0000298B0000}"/>
    <cellStyle name="Normal 39 13 7 2" xfId="37130" xr:uid="{00000000-0005-0000-0000-00002A8B0000}"/>
    <cellStyle name="Normal 39 13 8" xfId="19770" xr:uid="{00000000-0005-0000-0000-00002B8B0000}"/>
    <cellStyle name="Normal 39 13 8 2" xfId="37131" xr:uid="{00000000-0005-0000-0000-00002C8B0000}"/>
    <cellStyle name="Normal 39 13 9" xfId="19771" xr:uid="{00000000-0005-0000-0000-00002D8B0000}"/>
    <cellStyle name="Normal 39 13 9 2" xfId="37132" xr:uid="{00000000-0005-0000-0000-00002E8B0000}"/>
    <cellStyle name="Normal 39 14" xfId="19772" xr:uid="{00000000-0005-0000-0000-00002F8B0000}"/>
    <cellStyle name="Normal 39 14 10" xfId="19773" xr:uid="{00000000-0005-0000-0000-0000308B0000}"/>
    <cellStyle name="Normal 39 14 10 2" xfId="37134" xr:uid="{00000000-0005-0000-0000-0000318B0000}"/>
    <cellStyle name="Normal 39 14 11" xfId="19774" xr:uid="{00000000-0005-0000-0000-0000328B0000}"/>
    <cellStyle name="Normal 39 14 11 2" xfId="37135" xr:uid="{00000000-0005-0000-0000-0000338B0000}"/>
    <cellStyle name="Normal 39 14 12" xfId="19775" xr:uid="{00000000-0005-0000-0000-0000348B0000}"/>
    <cellStyle name="Normal 39 14 12 2" xfId="37136" xr:uid="{00000000-0005-0000-0000-0000358B0000}"/>
    <cellStyle name="Normal 39 14 13" xfId="19776" xr:uid="{00000000-0005-0000-0000-0000368B0000}"/>
    <cellStyle name="Normal 39 14 13 2" xfId="37137" xr:uid="{00000000-0005-0000-0000-0000378B0000}"/>
    <cellStyle name="Normal 39 14 14" xfId="19777" xr:uid="{00000000-0005-0000-0000-0000388B0000}"/>
    <cellStyle name="Normal 39 14 14 2" xfId="37138" xr:uid="{00000000-0005-0000-0000-0000398B0000}"/>
    <cellStyle name="Normal 39 14 15" xfId="37133" xr:uid="{00000000-0005-0000-0000-00003A8B0000}"/>
    <cellStyle name="Normal 39 14 2" xfId="19778" xr:uid="{00000000-0005-0000-0000-00003B8B0000}"/>
    <cellStyle name="Normal 39 14 2 2" xfId="37139" xr:uid="{00000000-0005-0000-0000-00003C8B0000}"/>
    <cellStyle name="Normal 39 14 3" xfId="19779" xr:uid="{00000000-0005-0000-0000-00003D8B0000}"/>
    <cellStyle name="Normal 39 14 3 2" xfId="37140" xr:uid="{00000000-0005-0000-0000-00003E8B0000}"/>
    <cellStyle name="Normal 39 14 4" xfId="19780" xr:uid="{00000000-0005-0000-0000-00003F8B0000}"/>
    <cellStyle name="Normal 39 14 4 2" xfId="37141" xr:uid="{00000000-0005-0000-0000-0000408B0000}"/>
    <cellStyle name="Normal 39 14 5" xfId="19781" xr:uid="{00000000-0005-0000-0000-0000418B0000}"/>
    <cellStyle name="Normal 39 14 5 2" xfId="37142" xr:uid="{00000000-0005-0000-0000-0000428B0000}"/>
    <cellStyle name="Normal 39 14 6" xfId="19782" xr:uid="{00000000-0005-0000-0000-0000438B0000}"/>
    <cellStyle name="Normal 39 14 6 2" xfId="37143" xr:uid="{00000000-0005-0000-0000-0000448B0000}"/>
    <cellStyle name="Normal 39 14 7" xfId="19783" xr:uid="{00000000-0005-0000-0000-0000458B0000}"/>
    <cellStyle name="Normal 39 14 7 2" xfId="37144" xr:uid="{00000000-0005-0000-0000-0000468B0000}"/>
    <cellStyle name="Normal 39 14 8" xfId="19784" xr:uid="{00000000-0005-0000-0000-0000478B0000}"/>
    <cellStyle name="Normal 39 14 8 2" xfId="37145" xr:uid="{00000000-0005-0000-0000-0000488B0000}"/>
    <cellStyle name="Normal 39 14 9" xfId="19785" xr:uid="{00000000-0005-0000-0000-0000498B0000}"/>
    <cellStyle name="Normal 39 14 9 2" xfId="37146" xr:uid="{00000000-0005-0000-0000-00004A8B0000}"/>
    <cellStyle name="Normal 39 15" xfId="19786" xr:uid="{00000000-0005-0000-0000-00004B8B0000}"/>
    <cellStyle name="Normal 39 15 10" xfId="19787" xr:uid="{00000000-0005-0000-0000-00004C8B0000}"/>
    <cellStyle name="Normal 39 15 10 2" xfId="37148" xr:uid="{00000000-0005-0000-0000-00004D8B0000}"/>
    <cellStyle name="Normal 39 15 11" xfId="19788" xr:uid="{00000000-0005-0000-0000-00004E8B0000}"/>
    <cellStyle name="Normal 39 15 11 2" xfId="37149" xr:uid="{00000000-0005-0000-0000-00004F8B0000}"/>
    <cellStyle name="Normal 39 15 12" xfId="19789" xr:uid="{00000000-0005-0000-0000-0000508B0000}"/>
    <cellStyle name="Normal 39 15 12 2" xfId="37150" xr:uid="{00000000-0005-0000-0000-0000518B0000}"/>
    <cellStyle name="Normal 39 15 13" xfId="19790" xr:uid="{00000000-0005-0000-0000-0000528B0000}"/>
    <cellStyle name="Normal 39 15 13 2" xfId="37151" xr:uid="{00000000-0005-0000-0000-0000538B0000}"/>
    <cellStyle name="Normal 39 15 14" xfId="19791" xr:uid="{00000000-0005-0000-0000-0000548B0000}"/>
    <cellStyle name="Normal 39 15 14 2" xfId="37152" xr:uid="{00000000-0005-0000-0000-0000558B0000}"/>
    <cellStyle name="Normal 39 15 15" xfId="37147" xr:uid="{00000000-0005-0000-0000-0000568B0000}"/>
    <cellStyle name="Normal 39 15 2" xfId="19792" xr:uid="{00000000-0005-0000-0000-0000578B0000}"/>
    <cellStyle name="Normal 39 15 2 2" xfId="37153" xr:uid="{00000000-0005-0000-0000-0000588B0000}"/>
    <cellStyle name="Normal 39 15 3" xfId="19793" xr:uid="{00000000-0005-0000-0000-0000598B0000}"/>
    <cellStyle name="Normal 39 15 3 2" xfId="37154" xr:uid="{00000000-0005-0000-0000-00005A8B0000}"/>
    <cellStyle name="Normal 39 15 4" xfId="19794" xr:uid="{00000000-0005-0000-0000-00005B8B0000}"/>
    <cellStyle name="Normal 39 15 4 2" xfId="37155" xr:uid="{00000000-0005-0000-0000-00005C8B0000}"/>
    <cellStyle name="Normal 39 15 5" xfId="19795" xr:uid="{00000000-0005-0000-0000-00005D8B0000}"/>
    <cellStyle name="Normal 39 15 5 2" xfId="37156" xr:uid="{00000000-0005-0000-0000-00005E8B0000}"/>
    <cellStyle name="Normal 39 15 6" xfId="19796" xr:uid="{00000000-0005-0000-0000-00005F8B0000}"/>
    <cellStyle name="Normal 39 15 6 2" xfId="37157" xr:uid="{00000000-0005-0000-0000-0000608B0000}"/>
    <cellStyle name="Normal 39 15 7" xfId="19797" xr:uid="{00000000-0005-0000-0000-0000618B0000}"/>
    <cellStyle name="Normal 39 15 7 2" xfId="37158" xr:uid="{00000000-0005-0000-0000-0000628B0000}"/>
    <cellStyle name="Normal 39 15 8" xfId="19798" xr:uid="{00000000-0005-0000-0000-0000638B0000}"/>
    <cellStyle name="Normal 39 15 8 2" xfId="37159" xr:uid="{00000000-0005-0000-0000-0000648B0000}"/>
    <cellStyle name="Normal 39 15 9" xfId="19799" xr:uid="{00000000-0005-0000-0000-0000658B0000}"/>
    <cellStyle name="Normal 39 15 9 2" xfId="37160" xr:uid="{00000000-0005-0000-0000-0000668B0000}"/>
    <cellStyle name="Normal 39 16" xfId="19800" xr:uid="{00000000-0005-0000-0000-0000678B0000}"/>
    <cellStyle name="Normal 39 16 10" xfId="19801" xr:uid="{00000000-0005-0000-0000-0000688B0000}"/>
    <cellStyle name="Normal 39 16 10 2" xfId="37162" xr:uid="{00000000-0005-0000-0000-0000698B0000}"/>
    <cellStyle name="Normal 39 16 11" xfId="19802" xr:uid="{00000000-0005-0000-0000-00006A8B0000}"/>
    <cellStyle name="Normal 39 16 11 2" xfId="37163" xr:uid="{00000000-0005-0000-0000-00006B8B0000}"/>
    <cellStyle name="Normal 39 16 12" xfId="19803" xr:uid="{00000000-0005-0000-0000-00006C8B0000}"/>
    <cellStyle name="Normal 39 16 12 2" xfId="37164" xr:uid="{00000000-0005-0000-0000-00006D8B0000}"/>
    <cellStyle name="Normal 39 16 13" xfId="19804" xr:uid="{00000000-0005-0000-0000-00006E8B0000}"/>
    <cellStyle name="Normal 39 16 13 2" xfId="37165" xr:uid="{00000000-0005-0000-0000-00006F8B0000}"/>
    <cellStyle name="Normal 39 16 14" xfId="19805" xr:uid="{00000000-0005-0000-0000-0000708B0000}"/>
    <cellStyle name="Normal 39 16 14 2" xfId="37166" xr:uid="{00000000-0005-0000-0000-0000718B0000}"/>
    <cellStyle name="Normal 39 16 15" xfId="37161" xr:uid="{00000000-0005-0000-0000-0000728B0000}"/>
    <cellStyle name="Normal 39 16 2" xfId="19806" xr:uid="{00000000-0005-0000-0000-0000738B0000}"/>
    <cellStyle name="Normal 39 16 2 2" xfId="37167" xr:uid="{00000000-0005-0000-0000-0000748B0000}"/>
    <cellStyle name="Normal 39 16 3" xfId="19807" xr:uid="{00000000-0005-0000-0000-0000758B0000}"/>
    <cellStyle name="Normal 39 16 3 2" xfId="37168" xr:uid="{00000000-0005-0000-0000-0000768B0000}"/>
    <cellStyle name="Normal 39 16 4" xfId="19808" xr:uid="{00000000-0005-0000-0000-0000778B0000}"/>
    <cellStyle name="Normal 39 16 4 2" xfId="37169" xr:uid="{00000000-0005-0000-0000-0000788B0000}"/>
    <cellStyle name="Normal 39 16 5" xfId="19809" xr:uid="{00000000-0005-0000-0000-0000798B0000}"/>
    <cellStyle name="Normal 39 16 5 2" xfId="37170" xr:uid="{00000000-0005-0000-0000-00007A8B0000}"/>
    <cellStyle name="Normal 39 16 6" xfId="19810" xr:uid="{00000000-0005-0000-0000-00007B8B0000}"/>
    <cellStyle name="Normal 39 16 6 2" xfId="37171" xr:uid="{00000000-0005-0000-0000-00007C8B0000}"/>
    <cellStyle name="Normal 39 16 7" xfId="19811" xr:uid="{00000000-0005-0000-0000-00007D8B0000}"/>
    <cellStyle name="Normal 39 16 7 2" xfId="37172" xr:uid="{00000000-0005-0000-0000-00007E8B0000}"/>
    <cellStyle name="Normal 39 16 8" xfId="19812" xr:uid="{00000000-0005-0000-0000-00007F8B0000}"/>
    <cellStyle name="Normal 39 16 8 2" xfId="37173" xr:uid="{00000000-0005-0000-0000-0000808B0000}"/>
    <cellStyle name="Normal 39 16 9" xfId="19813" xr:uid="{00000000-0005-0000-0000-0000818B0000}"/>
    <cellStyle name="Normal 39 16 9 2" xfId="37174" xr:uid="{00000000-0005-0000-0000-0000828B0000}"/>
    <cellStyle name="Normal 39 17" xfId="19814" xr:uid="{00000000-0005-0000-0000-0000838B0000}"/>
    <cellStyle name="Normal 39 17 10" xfId="19815" xr:uid="{00000000-0005-0000-0000-0000848B0000}"/>
    <cellStyle name="Normal 39 17 10 2" xfId="37176" xr:uid="{00000000-0005-0000-0000-0000858B0000}"/>
    <cellStyle name="Normal 39 17 11" xfId="19816" xr:uid="{00000000-0005-0000-0000-0000868B0000}"/>
    <cellStyle name="Normal 39 17 11 2" xfId="37177" xr:uid="{00000000-0005-0000-0000-0000878B0000}"/>
    <cellStyle name="Normal 39 17 12" xfId="19817" xr:uid="{00000000-0005-0000-0000-0000888B0000}"/>
    <cellStyle name="Normal 39 17 12 2" xfId="37178" xr:uid="{00000000-0005-0000-0000-0000898B0000}"/>
    <cellStyle name="Normal 39 17 13" xfId="19818" xr:uid="{00000000-0005-0000-0000-00008A8B0000}"/>
    <cellStyle name="Normal 39 17 13 2" xfId="37179" xr:uid="{00000000-0005-0000-0000-00008B8B0000}"/>
    <cellStyle name="Normal 39 17 14" xfId="19819" xr:uid="{00000000-0005-0000-0000-00008C8B0000}"/>
    <cellStyle name="Normal 39 17 14 2" xfId="37180" xr:uid="{00000000-0005-0000-0000-00008D8B0000}"/>
    <cellStyle name="Normal 39 17 15" xfId="37175" xr:uid="{00000000-0005-0000-0000-00008E8B0000}"/>
    <cellStyle name="Normal 39 17 2" xfId="19820" xr:uid="{00000000-0005-0000-0000-00008F8B0000}"/>
    <cellStyle name="Normal 39 17 2 2" xfId="37181" xr:uid="{00000000-0005-0000-0000-0000908B0000}"/>
    <cellStyle name="Normal 39 17 3" xfId="19821" xr:uid="{00000000-0005-0000-0000-0000918B0000}"/>
    <cellStyle name="Normal 39 17 3 2" xfId="37182" xr:uid="{00000000-0005-0000-0000-0000928B0000}"/>
    <cellStyle name="Normal 39 17 4" xfId="19822" xr:uid="{00000000-0005-0000-0000-0000938B0000}"/>
    <cellStyle name="Normal 39 17 4 2" xfId="37183" xr:uid="{00000000-0005-0000-0000-0000948B0000}"/>
    <cellStyle name="Normal 39 17 5" xfId="19823" xr:uid="{00000000-0005-0000-0000-0000958B0000}"/>
    <cellStyle name="Normal 39 17 5 2" xfId="37184" xr:uid="{00000000-0005-0000-0000-0000968B0000}"/>
    <cellStyle name="Normal 39 17 6" xfId="19824" xr:uid="{00000000-0005-0000-0000-0000978B0000}"/>
    <cellStyle name="Normal 39 17 6 2" xfId="37185" xr:uid="{00000000-0005-0000-0000-0000988B0000}"/>
    <cellStyle name="Normal 39 17 7" xfId="19825" xr:uid="{00000000-0005-0000-0000-0000998B0000}"/>
    <cellStyle name="Normal 39 17 7 2" xfId="37186" xr:uid="{00000000-0005-0000-0000-00009A8B0000}"/>
    <cellStyle name="Normal 39 17 8" xfId="19826" xr:uid="{00000000-0005-0000-0000-00009B8B0000}"/>
    <cellStyle name="Normal 39 17 8 2" xfId="37187" xr:uid="{00000000-0005-0000-0000-00009C8B0000}"/>
    <cellStyle name="Normal 39 17 9" xfId="19827" xr:uid="{00000000-0005-0000-0000-00009D8B0000}"/>
    <cellStyle name="Normal 39 17 9 2" xfId="37188" xr:uid="{00000000-0005-0000-0000-00009E8B0000}"/>
    <cellStyle name="Normal 39 18" xfId="19828" xr:uid="{00000000-0005-0000-0000-00009F8B0000}"/>
    <cellStyle name="Normal 39 18 2" xfId="37189" xr:uid="{00000000-0005-0000-0000-0000A08B0000}"/>
    <cellStyle name="Normal 39 19" xfId="19829" xr:uid="{00000000-0005-0000-0000-0000A18B0000}"/>
    <cellStyle name="Normal 39 19 2" xfId="37190" xr:uid="{00000000-0005-0000-0000-0000A28B0000}"/>
    <cellStyle name="Normal 39 2" xfId="227" xr:uid="{00000000-0005-0000-0000-0000A38B0000}"/>
    <cellStyle name="Normal 39 20" xfId="19830" xr:uid="{00000000-0005-0000-0000-0000A48B0000}"/>
    <cellStyle name="Normal 39 20 2" xfId="37191" xr:uid="{00000000-0005-0000-0000-0000A58B0000}"/>
    <cellStyle name="Normal 39 21" xfId="19831" xr:uid="{00000000-0005-0000-0000-0000A68B0000}"/>
    <cellStyle name="Normal 39 21 2" xfId="37192" xr:uid="{00000000-0005-0000-0000-0000A78B0000}"/>
    <cellStyle name="Normal 39 22" xfId="19832" xr:uid="{00000000-0005-0000-0000-0000A88B0000}"/>
    <cellStyle name="Normal 39 22 2" xfId="37193" xr:uid="{00000000-0005-0000-0000-0000A98B0000}"/>
    <cellStyle name="Normal 39 23" xfId="19833" xr:uid="{00000000-0005-0000-0000-0000AA8B0000}"/>
    <cellStyle name="Normal 39 23 2" xfId="37194" xr:uid="{00000000-0005-0000-0000-0000AB8B0000}"/>
    <cellStyle name="Normal 39 24" xfId="19834" xr:uid="{00000000-0005-0000-0000-0000AC8B0000}"/>
    <cellStyle name="Normal 39 24 2" xfId="37195" xr:uid="{00000000-0005-0000-0000-0000AD8B0000}"/>
    <cellStyle name="Normal 39 25" xfId="19835" xr:uid="{00000000-0005-0000-0000-0000AE8B0000}"/>
    <cellStyle name="Normal 39 25 2" xfId="37196" xr:uid="{00000000-0005-0000-0000-0000AF8B0000}"/>
    <cellStyle name="Normal 39 26" xfId="19836" xr:uid="{00000000-0005-0000-0000-0000B08B0000}"/>
    <cellStyle name="Normal 39 26 2" xfId="37197" xr:uid="{00000000-0005-0000-0000-0000B18B0000}"/>
    <cellStyle name="Normal 39 27" xfId="19837" xr:uid="{00000000-0005-0000-0000-0000B28B0000}"/>
    <cellStyle name="Normal 39 27 2" xfId="37198" xr:uid="{00000000-0005-0000-0000-0000B38B0000}"/>
    <cellStyle name="Normal 39 28" xfId="19838" xr:uid="{00000000-0005-0000-0000-0000B48B0000}"/>
    <cellStyle name="Normal 39 28 2" xfId="37199" xr:uid="{00000000-0005-0000-0000-0000B58B0000}"/>
    <cellStyle name="Normal 39 29" xfId="19839" xr:uid="{00000000-0005-0000-0000-0000B68B0000}"/>
    <cellStyle name="Normal 39 29 2" xfId="37200" xr:uid="{00000000-0005-0000-0000-0000B78B0000}"/>
    <cellStyle name="Normal 39 3" xfId="19840" xr:uid="{00000000-0005-0000-0000-0000B88B0000}"/>
    <cellStyle name="Normal 39 30" xfId="19841" xr:uid="{00000000-0005-0000-0000-0000B98B0000}"/>
    <cellStyle name="Normal 39 30 2" xfId="37201" xr:uid="{00000000-0005-0000-0000-0000BA8B0000}"/>
    <cellStyle name="Normal 39 31" xfId="37076" xr:uid="{00000000-0005-0000-0000-0000BB8B0000}"/>
    <cellStyle name="Normal 39 4" xfId="19842" xr:uid="{00000000-0005-0000-0000-0000BC8B0000}"/>
    <cellStyle name="Normal 39 4 10" xfId="19843" xr:uid="{00000000-0005-0000-0000-0000BD8B0000}"/>
    <cellStyle name="Normal 39 4 10 2" xfId="37203" xr:uid="{00000000-0005-0000-0000-0000BE8B0000}"/>
    <cellStyle name="Normal 39 4 11" xfId="19844" xr:uid="{00000000-0005-0000-0000-0000BF8B0000}"/>
    <cellStyle name="Normal 39 4 11 2" xfId="37204" xr:uid="{00000000-0005-0000-0000-0000C08B0000}"/>
    <cellStyle name="Normal 39 4 12" xfId="19845" xr:uid="{00000000-0005-0000-0000-0000C18B0000}"/>
    <cellStyle name="Normal 39 4 12 2" xfId="37205" xr:uid="{00000000-0005-0000-0000-0000C28B0000}"/>
    <cellStyle name="Normal 39 4 13" xfId="19846" xr:uid="{00000000-0005-0000-0000-0000C38B0000}"/>
    <cellStyle name="Normal 39 4 13 2" xfId="37206" xr:uid="{00000000-0005-0000-0000-0000C48B0000}"/>
    <cellStyle name="Normal 39 4 14" xfId="19847" xr:uid="{00000000-0005-0000-0000-0000C58B0000}"/>
    <cellStyle name="Normal 39 4 14 2" xfId="37207" xr:uid="{00000000-0005-0000-0000-0000C68B0000}"/>
    <cellStyle name="Normal 39 4 15" xfId="19848" xr:uid="{00000000-0005-0000-0000-0000C78B0000}"/>
    <cellStyle name="Normal 39 4 15 2" xfId="37208" xr:uid="{00000000-0005-0000-0000-0000C88B0000}"/>
    <cellStyle name="Normal 39 4 16" xfId="37202" xr:uid="{00000000-0005-0000-0000-0000C98B0000}"/>
    <cellStyle name="Normal 39 4 2" xfId="19849" xr:uid="{00000000-0005-0000-0000-0000CA8B0000}"/>
    <cellStyle name="Normal 39 4 2 10" xfId="19850" xr:uid="{00000000-0005-0000-0000-0000CB8B0000}"/>
    <cellStyle name="Normal 39 4 2 10 2" xfId="37210" xr:uid="{00000000-0005-0000-0000-0000CC8B0000}"/>
    <cellStyle name="Normal 39 4 2 11" xfId="19851" xr:uid="{00000000-0005-0000-0000-0000CD8B0000}"/>
    <cellStyle name="Normal 39 4 2 11 2" xfId="37211" xr:uid="{00000000-0005-0000-0000-0000CE8B0000}"/>
    <cellStyle name="Normal 39 4 2 12" xfId="19852" xr:uid="{00000000-0005-0000-0000-0000CF8B0000}"/>
    <cellStyle name="Normal 39 4 2 12 2" xfId="37212" xr:uid="{00000000-0005-0000-0000-0000D08B0000}"/>
    <cellStyle name="Normal 39 4 2 13" xfId="19853" xr:uid="{00000000-0005-0000-0000-0000D18B0000}"/>
    <cellStyle name="Normal 39 4 2 13 2" xfId="37213" xr:uid="{00000000-0005-0000-0000-0000D28B0000}"/>
    <cellStyle name="Normal 39 4 2 14" xfId="19854" xr:uid="{00000000-0005-0000-0000-0000D38B0000}"/>
    <cellStyle name="Normal 39 4 2 14 2" xfId="37214" xr:uid="{00000000-0005-0000-0000-0000D48B0000}"/>
    <cellStyle name="Normal 39 4 2 15" xfId="37209" xr:uid="{00000000-0005-0000-0000-0000D58B0000}"/>
    <cellStyle name="Normal 39 4 2 2" xfId="19855" xr:uid="{00000000-0005-0000-0000-0000D68B0000}"/>
    <cellStyle name="Normal 39 4 2 2 2" xfId="37215" xr:uid="{00000000-0005-0000-0000-0000D78B0000}"/>
    <cellStyle name="Normal 39 4 2 3" xfId="19856" xr:uid="{00000000-0005-0000-0000-0000D88B0000}"/>
    <cellStyle name="Normal 39 4 2 3 2" xfId="37216" xr:uid="{00000000-0005-0000-0000-0000D98B0000}"/>
    <cellStyle name="Normal 39 4 2 4" xfId="19857" xr:uid="{00000000-0005-0000-0000-0000DA8B0000}"/>
    <cellStyle name="Normal 39 4 2 4 2" xfId="37217" xr:uid="{00000000-0005-0000-0000-0000DB8B0000}"/>
    <cellStyle name="Normal 39 4 2 5" xfId="19858" xr:uid="{00000000-0005-0000-0000-0000DC8B0000}"/>
    <cellStyle name="Normal 39 4 2 5 2" xfId="37218" xr:uid="{00000000-0005-0000-0000-0000DD8B0000}"/>
    <cellStyle name="Normal 39 4 2 6" xfId="19859" xr:uid="{00000000-0005-0000-0000-0000DE8B0000}"/>
    <cellStyle name="Normal 39 4 2 6 2" xfId="37219" xr:uid="{00000000-0005-0000-0000-0000DF8B0000}"/>
    <cellStyle name="Normal 39 4 2 7" xfId="19860" xr:uid="{00000000-0005-0000-0000-0000E08B0000}"/>
    <cellStyle name="Normal 39 4 2 7 2" xfId="37220" xr:uid="{00000000-0005-0000-0000-0000E18B0000}"/>
    <cellStyle name="Normal 39 4 2 8" xfId="19861" xr:uid="{00000000-0005-0000-0000-0000E28B0000}"/>
    <cellStyle name="Normal 39 4 2 8 2" xfId="37221" xr:uid="{00000000-0005-0000-0000-0000E38B0000}"/>
    <cellStyle name="Normal 39 4 2 9" xfId="19862" xr:uid="{00000000-0005-0000-0000-0000E48B0000}"/>
    <cellStyle name="Normal 39 4 2 9 2" xfId="37222" xr:uid="{00000000-0005-0000-0000-0000E58B0000}"/>
    <cellStyle name="Normal 39 4 3" xfId="19863" xr:uid="{00000000-0005-0000-0000-0000E68B0000}"/>
    <cellStyle name="Normal 39 4 3 2" xfId="37223" xr:uid="{00000000-0005-0000-0000-0000E78B0000}"/>
    <cellStyle name="Normal 39 4 4" xfId="19864" xr:uid="{00000000-0005-0000-0000-0000E88B0000}"/>
    <cellStyle name="Normal 39 4 4 2" xfId="37224" xr:uid="{00000000-0005-0000-0000-0000E98B0000}"/>
    <cellStyle name="Normal 39 4 5" xfId="19865" xr:uid="{00000000-0005-0000-0000-0000EA8B0000}"/>
    <cellStyle name="Normal 39 4 5 2" xfId="37225" xr:uid="{00000000-0005-0000-0000-0000EB8B0000}"/>
    <cellStyle name="Normal 39 4 6" xfId="19866" xr:uid="{00000000-0005-0000-0000-0000EC8B0000}"/>
    <cellStyle name="Normal 39 4 6 2" xfId="37226" xr:uid="{00000000-0005-0000-0000-0000ED8B0000}"/>
    <cellStyle name="Normal 39 4 7" xfId="19867" xr:uid="{00000000-0005-0000-0000-0000EE8B0000}"/>
    <cellStyle name="Normal 39 4 7 2" xfId="37227" xr:uid="{00000000-0005-0000-0000-0000EF8B0000}"/>
    <cellStyle name="Normal 39 4 8" xfId="19868" xr:uid="{00000000-0005-0000-0000-0000F08B0000}"/>
    <cellStyle name="Normal 39 4 8 2" xfId="37228" xr:uid="{00000000-0005-0000-0000-0000F18B0000}"/>
    <cellStyle name="Normal 39 4 9" xfId="19869" xr:uid="{00000000-0005-0000-0000-0000F28B0000}"/>
    <cellStyle name="Normal 39 4 9 2" xfId="37229" xr:uid="{00000000-0005-0000-0000-0000F38B0000}"/>
    <cellStyle name="Normal 39 5" xfId="19870" xr:uid="{00000000-0005-0000-0000-0000F48B0000}"/>
    <cellStyle name="Normal 39 5 10" xfId="19871" xr:uid="{00000000-0005-0000-0000-0000F58B0000}"/>
    <cellStyle name="Normal 39 5 10 2" xfId="37231" xr:uid="{00000000-0005-0000-0000-0000F68B0000}"/>
    <cellStyle name="Normal 39 5 11" xfId="19872" xr:uid="{00000000-0005-0000-0000-0000F78B0000}"/>
    <cellStyle name="Normal 39 5 11 2" xfId="37232" xr:uid="{00000000-0005-0000-0000-0000F88B0000}"/>
    <cellStyle name="Normal 39 5 12" xfId="19873" xr:uid="{00000000-0005-0000-0000-0000F98B0000}"/>
    <cellStyle name="Normal 39 5 12 2" xfId="37233" xr:uid="{00000000-0005-0000-0000-0000FA8B0000}"/>
    <cellStyle name="Normal 39 5 13" xfId="19874" xr:uid="{00000000-0005-0000-0000-0000FB8B0000}"/>
    <cellStyle name="Normal 39 5 13 2" xfId="37234" xr:uid="{00000000-0005-0000-0000-0000FC8B0000}"/>
    <cellStyle name="Normal 39 5 14" xfId="19875" xr:uid="{00000000-0005-0000-0000-0000FD8B0000}"/>
    <cellStyle name="Normal 39 5 14 2" xfId="37235" xr:uid="{00000000-0005-0000-0000-0000FE8B0000}"/>
    <cellStyle name="Normal 39 5 15" xfId="19876" xr:uid="{00000000-0005-0000-0000-0000FF8B0000}"/>
    <cellStyle name="Normal 39 5 15 2" xfId="37236" xr:uid="{00000000-0005-0000-0000-0000008C0000}"/>
    <cellStyle name="Normal 39 5 16" xfId="37230" xr:uid="{00000000-0005-0000-0000-0000018C0000}"/>
    <cellStyle name="Normal 39 5 2" xfId="19877" xr:uid="{00000000-0005-0000-0000-0000028C0000}"/>
    <cellStyle name="Normal 39 5 2 10" xfId="19878" xr:uid="{00000000-0005-0000-0000-0000038C0000}"/>
    <cellStyle name="Normal 39 5 2 10 2" xfId="37238" xr:uid="{00000000-0005-0000-0000-0000048C0000}"/>
    <cellStyle name="Normal 39 5 2 11" xfId="19879" xr:uid="{00000000-0005-0000-0000-0000058C0000}"/>
    <cellStyle name="Normal 39 5 2 11 2" xfId="37239" xr:uid="{00000000-0005-0000-0000-0000068C0000}"/>
    <cellStyle name="Normal 39 5 2 12" xfId="19880" xr:uid="{00000000-0005-0000-0000-0000078C0000}"/>
    <cellStyle name="Normal 39 5 2 12 2" xfId="37240" xr:uid="{00000000-0005-0000-0000-0000088C0000}"/>
    <cellStyle name="Normal 39 5 2 13" xfId="19881" xr:uid="{00000000-0005-0000-0000-0000098C0000}"/>
    <cellStyle name="Normal 39 5 2 13 2" xfId="37241" xr:uid="{00000000-0005-0000-0000-00000A8C0000}"/>
    <cellStyle name="Normal 39 5 2 14" xfId="19882" xr:uid="{00000000-0005-0000-0000-00000B8C0000}"/>
    <cellStyle name="Normal 39 5 2 14 2" xfId="37242" xr:uid="{00000000-0005-0000-0000-00000C8C0000}"/>
    <cellStyle name="Normal 39 5 2 15" xfId="37237" xr:uid="{00000000-0005-0000-0000-00000D8C0000}"/>
    <cellStyle name="Normal 39 5 2 2" xfId="19883" xr:uid="{00000000-0005-0000-0000-00000E8C0000}"/>
    <cellStyle name="Normal 39 5 2 2 2" xfId="37243" xr:uid="{00000000-0005-0000-0000-00000F8C0000}"/>
    <cellStyle name="Normal 39 5 2 3" xfId="19884" xr:uid="{00000000-0005-0000-0000-0000108C0000}"/>
    <cellStyle name="Normal 39 5 2 3 2" xfId="37244" xr:uid="{00000000-0005-0000-0000-0000118C0000}"/>
    <cellStyle name="Normal 39 5 2 4" xfId="19885" xr:uid="{00000000-0005-0000-0000-0000128C0000}"/>
    <cellStyle name="Normal 39 5 2 4 2" xfId="37245" xr:uid="{00000000-0005-0000-0000-0000138C0000}"/>
    <cellStyle name="Normal 39 5 2 5" xfId="19886" xr:uid="{00000000-0005-0000-0000-0000148C0000}"/>
    <cellStyle name="Normal 39 5 2 5 2" xfId="37246" xr:uid="{00000000-0005-0000-0000-0000158C0000}"/>
    <cellStyle name="Normal 39 5 2 6" xfId="19887" xr:uid="{00000000-0005-0000-0000-0000168C0000}"/>
    <cellStyle name="Normal 39 5 2 6 2" xfId="37247" xr:uid="{00000000-0005-0000-0000-0000178C0000}"/>
    <cellStyle name="Normal 39 5 2 7" xfId="19888" xr:uid="{00000000-0005-0000-0000-0000188C0000}"/>
    <cellStyle name="Normal 39 5 2 7 2" xfId="37248" xr:uid="{00000000-0005-0000-0000-0000198C0000}"/>
    <cellStyle name="Normal 39 5 2 8" xfId="19889" xr:uid="{00000000-0005-0000-0000-00001A8C0000}"/>
    <cellStyle name="Normal 39 5 2 8 2" xfId="37249" xr:uid="{00000000-0005-0000-0000-00001B8C0000}"/>
    <cellStyle name="Normal 39 5 2 9" xfId="19890" xr:uid="{00000000-0005-0000-0000-00001C8C0000}"/>
    <cellStyle name="Normal 39 5 2 9 2" xfId="37250" xr:uid="{00000000-0005-0000-0000-00001D8C0000}"/>
    <cellStyle name="Normal 39 5 3" xfId="19891" xr:uid="{00000000-0005-0000-0000-00001E8C0000}"/>
    <cellStyle name="Normal 39 5 3 2" xfId="37251" xr:uid="{00000000-0005-0000-0000-00001F8C0000}"/>
    <cellStyle name="Normal 39 5 4" xfId="19892" xr:uid="{00000000-0005-0000-0000-0000208C0000}"/>
    <cellStyle name="Normal 39 5 4 2" xfId="37252" xr:uid="{00000000-0005-0000-0000-0000218C0000}"/>
    <cellStyle name="Normal 39 5 5" xfId="19893" xr:uid="{00000000-0005-0000-0000-0000228C0000}"/>
    <cellStyle name="Normal 39 5 5 2" xfId="37253" xr:uid="{00000000-0005-0000-0000-0000238C0000}"/>
    <cellStyle name="Normal 39 5 6" xfId="19894" xr:uid="{00000000-0005-0000-0000-0000248C0000}"/>
    <cellStyle name="Normal 39 5 6 2" xfId="37254" xr:uid="{00000000-0005-0000-0000-0000258C0000}"/>
    <cellStyle name="Normal 39 5 7" xfId="19895" xr:uid="{00000000-0005-0000-0000-0000268C0000}"/>
    <cellStyle name="Normal 39 5 7 2" xfId="37255" xr:uid="{00000000-0005-0000-0000-0000278C0000}"/>
    <cellStyle name="Normal 39 5 8" xfId="19896" xr:uid="{00000000-0005-0000-0000-0000288C0000}"/>
    <cellStyle name="Normal 39 5 8 2" xfId="37256" xr:uid="{00000000-0005-0000-0000-0000298C0000}"/>
    <cellStyle name="Normal 39 5 9" xfId="19897" xr:uid="{00000000-0005-0000-0000-00002A8C0000}"/>
    <cellStyle name="Normal 39 5 9 2" xfId="37257" xr:uid="{00000000-0005-0000-0000-00002B8C0000}"/>
    <cellStyle name="Normal 39 6" xfId="19898" xr:uid="{00000000-0005-0000-0000-00002C8C0000}"/>
    <cellStyle name="Normal 39 6 10" xfId="19899" xr:uid="{00000000-0005-0000-0000-00002D8C0000}"/>
    <cellStyle name="Normal 39 6 10 2" xfId="37259" xr:uid="{00000000-0005-0000-0000-00002E8C0000}"/>
    <cellStyle name="Normal 39 6 11" xfId="19900" xr:uid="{00000000-0005-0000-0000-00002F8C0000}"/>
    <cellStyle name="Normal 39 6 11 2" xfId="37260" xr:uid="{00000000-0005-0000-0000-0000308C0000}"/>
    <cellStyle name="Normal 39 6 12" xfId="19901" xr:uid="{00000000-0005-0000-0000-0000318C0000}"/>
    <cellStyle name="Normal 39 6 12 2" xfId="37261" xr:uid="{00000000-0005-0000-0000-0000328C0000}"/>
    <cellStyle name="Normal 39 6 13" xfId="19902" xr:uid="{00000000-0005-0000-0000-0000338C0000}"/>
    <cellStyle name="Normal 39 6 13 2" xfId="37262" xr:uid="{00000000-0005-0000-0000-0000348C0000}"/>
    <cellStyle name="Normal 39 6 14" xfId="19903" xr:uid="{00000000-0005-0000-0000-0000358C0000}"/>
    <cellStyle name="Normal 39 6 14 2" xfId="37263" xr:uid="{00000000-0005-0000-0000-0000368C0000}"/>
    <cellStyle name="Normal 39 6 15" xfId="19904" xr:uid="{00000000-0005-0000-0000-0000378C0000}"/>
    <cellStyle name="Normal 39 6 15 2" xfId="37264" xr:uid="{00000000-0005-0000-0000-0000388C0000}"/>
    <cellStyle name="Normal 39 6 16" xfId="37258" xr:uid="{00000000-0005-0000-0000-0000398C0000}"/>
    <cellStyle name="Normal 39 6 2" xfId="19905" xr:uid="{00000000-0005-0000-0000-00003A8C0000}"/>
    <cellStyle name="Normal 39 6 2 10" xfId="19906" xr:uid="{00000000-0005-0000-0000-00003B8C0000}"/>
    <cellStyle name="Normal 39 6 2 10 2" xfId="37266" xr:uid="{00000000-0005-0000-0000-00003C8C0000}"/>
    <cellStyle name="Normal 39 6 2 11" xfId="19907" xr:uid="{00000000-0005-0000-0000-00003D8C0000}"/>
    <cellStyle name="Normal 39 6 2 11 2" xfId="37267" xr:uid="{00000000-0005-0000-0000-00003E8C0000}"/>
    <cellStyle name="Normal 39 6 2 12" xfId="19908" xr:uid="{00000000-0005-0000-0000-00003F8C0000}"/>
    <cellStyle name="Normal 39 6 2 12 2" xfId="37268" xr:uid="{00000000-0005-0000-0000-0000408C0000}"/>
    <cellStyle name="Normal 39 6 2 13" xfId="19909" xr:uid="{00000000-0005-0000-0000-0000418C0000}"/>
    <cellStyle name="Normal 39 6 2 13 2" xfId="37269" xr:uid="{00000000-0005-0000-0000-0000428C0000}"/>
    <cellStyle name="Normal 39 6 2 14" xfId="19910" xr:uid="{00000000-0005-0000-0000-0000438C0000}"/>
    <cellStyle name="Normal 39 6 2 14 2" xfId="37270" xr:uid="{00000000-0005-0000-0000-0000448C0000}"/>
    <cellStyle name="Normal 39 6 2 15" xfId="37265" xr:uid="{00000000-0005-0000-0000-0000458C0000}"/>
    <cellStyle name="Normal 39 6 2 2" xfId="19911" xr:uid="{00000000-0005-0000-0000-0000468C0000}"/>
    <cellStyle name="Normal 39 6 2 2 2" xfId="37271" xr:uid="{00000000-0005-0000-0000-0000478C0000}"/>
    <cellStyle name="Normal 39 6 2 3" xfId="19912" xr:uid="{00000000-0005-0000-0000-0000488C0000}"/>
    <cellStyle name="Normal 39 6 2 3 2" xfId="37272" xr:uid="{00000000-0005-0000-0000-0000498C0000}"/>
    <cellStyle name="Normal 39 6 2 4" xfId="19913" xr:uid="{00000000-0005-0000-0000-00004A8C0000}"/>
    <cellStyle name="Normal 39 6 2 4 2" xfId="37273" xr:uid="{00000000-0005-0000-0000-00004B8C0000}"/>
    <cellStyle name="Normal 39 6 2 5" xfId="19914" xr:uid="{00000000-0005-0000-0000-00004C8C0000}"/>
    <cellStyle name="Normal 39 6 2 5 2" xfId="37274" xr:uid="{00000000-0005-0000-0000-00004D8C0000}"/>
    <cellStyle name="Normal 39 6 2 6" xfId="19915" xr:uid="{00000000-0005-0000-0000-00004E8C0000}"/>
    <cellStyle name="Normal 39 6 2 6 2" xfId="37275" xr:uid="{00000000-0005-0000-0000-00004F8C0000}"/>
    <cellStyle name="Normal 39 6 2 7" xfId="19916" xr:uid="{00000000-0005-0000-0000-0000508C0000}"/>
    <cellStyle name="Normal 39 6 2 7 2" xfId="37276" xr:uid="{00000000-0005-0000-0000-0000518C0000}"/>
    <cellStyle name="Normal 39 6 2 8" xfId="19917" xr:uid="{00000000-0005-0000-0000-0000528C0000}"/>
    <cellStyle name="Normal 39 6 2 8 2" xfId="37277" xr:uid="{00000000-0005-0000-0000-0000538C0000}"/>
    <cellStyle name="Normal 39 6 2 9" xfId="19918" xr:uid="{00000000-0005-0000-0000-0000548C0000}"/>
    <cellStyle name="Normal 39 6 2 9 2" xfId="37278" xr:uid="{00000000-0005-0000-0000-0000558C0000}"/>
    <cellStyle name="Normal 39 6 3" xfId="19919" xr:uid="{00000000-0005-0000-0000-0000568C0000}"/>
    <cellStyle name="Normal 39 6 3 2" xfId="37279" xr:uid="{00000000-0005-0000-0000-0000578C0000}"/>
    <cellStyle name="Normal 39 6 4" xfId="19920" xr:uid="{00000000-0005-0000-0000-0000588C0000}"/>
    <cellStyle name="Normal 39 6 4 2" xfId="37280" xr:uid="{00000000-0005-0000-0000-0000598C0000}"/>
    <cellStyle name="Normal 39 6 5" xfId="19921" xr:uid="{00000000-0005-0000-0000-00005A8C0000}"/>
    <cellStyle name="Normal 39 6 5 2" xfId="37281" xr:uid="{00000000-0005-0000-0000-00005B8C0000}"/>
    <cellStyle name="Normal 39 6 6" xfId="19922" xr:uid="{00000000-0005-0000-0000-00005C8C0000}"/>
    <cellStyle name="Normal 39 6 6 2" xfId="37282" xr:uid="{00000000-0005-0000-0000-00005D8C0000}"/>
    <cellStyle name="Normal 39 6 7" xfId="19923" xr:uid="{00000000-0005-0000-0000-00005E8C0000}"/>
    <cellStyle name="Normal 39 6 7 2" xfId="37283" xr:uid="{00000000-0005-0000-0000-00005F8C0000}"/>
    <cellStyle name="Normal 39 6 8" xfId="19924" xr:uid="{00000000-0005-0000-0000-0000608C0000}"/>
    <cellStyle name="Normal 39 6 8 2" xfId="37284" xr:uid="{00000000-0005-0000-0000-0000618C0000}"/>
    <cellStyle name="Normal 39 6 9" xfId="19925" xr:uid="{00000000-0005-0000-0000-0000628C0000}"/>
    <cellStyle name="Normal 39 6 9 2" xfId="37285" xr:uid="{00000000-0005-0000-0000-0000638C0000}"/>
    <cellStyle name="Normal 39 7" xfId="19926" xr:uid="{00000000-0005-0000-0000-0000648C0000}"/>
    <cellStyle name="Normal 39 7 10" xfId="19927" xr:uid="{00000000-0005-0000-0000-0000658C0000}"/>
    <cellStyle name="Normal 39 7 10 2" xfId="37287" xr:uid="{00000000-0005-0000-0000-0000668C0000}"/>
    <cellStyle name="Normal 39 7 11" xfId="19928" xr:uid="{00000000-0005-0000-0000-0000678C0000}"/>
    <cellStyle name="Normal 39 7 11 2" xfId="37288" xr:uid="{00000000-0005-0000-0000-0000688C0000}"/>
    <cellStyle name="Normal 39 7 12" xfId="19929" xr:uid="{00000000-0005-0000-0000-0000698C0000}"/>
    <cellStyle name="Normal 39 7 12 2" xfId="37289" xr:uid="{00000000-0005-0000-0000-00006A8C0000}"/>
    <cellStyle name="Normal 39 7 13" xfId="19930" xr:uid="{00000000-0005-0000-0000-00006B8C0000}"/>
    <cellStyle name="Normal 39 7 13 2" xfId="37290" xr:uid="{00000000-0005-0000-0000-00006C8C0000}"/>
    <cellStyle name="Normal 39 7 14" xfId="19931" xr:uid="{00000000-0005-0000-0000-00006D8C0000}"/>
    <cellStyle name="Normal 39 7 14 2" xfId="37291" xr:uid="{00000000-0005-0000-0000-00006E8C0000}"/>
    <cellStyle name="Normal 39 7 15" xfId="37286" xr:uid="{00000000-0005-0000-0000-00006F8C0000}"/>
    <cellStyle name="Normal 39 7 2" xfId="19932" xr:uid="{00000000-0005-0000-0000-0000708C0000}"/>
    <cellStyle name="Normal 39 7 2 2" xfId="37292" xr:uid="{00000000-0005-0000-0000-0000718C0000}"/>
    <cellStyle name="Normal 39 7 3" xfId="19933" xr:uid="{00000000-0005-0000-0000-0000728C0000}"/>
    <cellStyle name="Normal 39 7 3 2" xfId="37293" xr:uid="{00000000-0005-0000-0000-0000738C0000}"/>
    <cellStyle name="Normal 39 7 4" xfId="19934" xr:uid="{00000000-0005-0000-0000-0000748C0000}"/>
    <cellStyle name="Normal 39 7 4 2" xfId="37294" xr:uid="{00000000-0005-0000-0000-0000758C0000}"/>
    <cellStyle name="Normal 39 7 5" xfId="19935" xr:uid="{00000000-0005-0000-0000-0000768C0000}"/>
    <cellStyle name="Normal 39 7 5 2" xfId="37295" xr:uid="{00000000-0005-0000-0000-0000778C0000}"/>
    <cellStyle name="Normal 39 7 6" xfId="19936" xr:uid="{00000000-0005-0000-0000-0000788C0000}"/>
    <cellStyle name="Normal 39 7 6 2" xfId="37296" xr:uid="{00000000-0005-0000-0000-0000798C0000}"/>
    <cellStyle name="Normal 39 7 7" xfId="19937" xr:uid="{00000000-0005-0000-0000-00007A8C0000}"/>
    <cellStyle name="Normal 39 7 7 2" xfId="37297" xr:uid="{00000000-0005-0000-0000-00007B8C0000}"/>
    <cellStyle name="Normal 39 7 8" xfId="19938" xr:uid="{00000000-0005-0000-0000-00007C8C0000}"/>
    <cellStyle name="Normal 39 7 8 2" xfId="37298" xr:uid="{00000000-0005-0000-0000-00007D8C0000}"/>
    <cellStyle name="Normal 39 7 9" xfId="19939" xr:uid="{00000000-0005-0000-0000-00007E8C0000}"/>
    <cellStyle name="Normal 39 7 9 2" xfId="37299" xr:uid="{00000000-0005-0000-0000-00007F8C0000}"/>
    <cellStyle name="Normal 39 8" xfId="19940" xr:uid="{00000000-0005-0000-0000-0000808C0000}"/>
    <cellStyle name="Normal 39 8 10" xfId="19941" xr:uid="{00000000-0005-0000-0000-0000818C0000}"/>
    <cellStyle name="Normal 39 8 10 2" xfId="37301" xr:uid="{00000000-0005-0000-0000-0000828C0000}"/>
    <cellStyle name="Normal 39 8 11" xfId="19942" xr:uid="{00000000-0005-0000-0000-0000838C0000}"/>
    <cellStyle name="Normal 39 8 11 2" xfId="37302" xr:uid="{00000000-0005-0000-0000-0000848C0000}"/>
    <cellStyle name="Normal 39 8 12" xfId="19943" xr:uid="{00000000-0005-0000-0000-0000858C0000}"/>
    <cellStyle name="Normal 39 8 12 2" xfId="37303" xr:uid="{00000000-0005-0000-0000-0000868C0000}"/>
    <cellStyle name="Normal 39 8 13" xfId="19944" xr:uid="{00000000-0005-0000-0000-0000878C0000}"/>
    <cellStyle name="Normal 39 8 13 2" xfId="37304" xr:uid="{00000000-0005-0000-0000-0000888C0000}"/>
    <cellStyle name="Normal 39 8 14" xfId="19945" xr:uid="{00000000-0005-0000-0000-0000898C0000}"/>
    <cellStyle name="Normal 39 8 14 2" xfId="37305" xr:uid="{00000000-0005-0000-0000-00008A8C0000}"/>
    <cellStyle name="Normal 39 8 15" xfId="37300" xr:uid="{00000000-0005-0000-0000-00008B8C0000}"/>
    <cellStyle name="Normal 39 8 2" xfId="19946" xr:uid="{00000000-0005-0000-0000-00008C8C0000}"/>
    <cellStyle name="Normal 39 8 2 2" xfId="37306" xr:uid="{00000000-0005-0000-0000-00008D8C0000}"/>
    <cellStyle name="Normal 39 8 3" xfId="19947" xr:uid="{00000000-0005-0000-0000-00008E8C0000}"/>
    <cellStyle name="Normal 39 8 3 2" xfId="37307" xr:uid="{00000000-0005-0000-0000-00008F8C0000}"/>
    <cellStyle name="Normal 39 8 4" xfId="19948" xr:uid="{00000000-0005-0000-0000-0000908C0000}"/>
    <cellStyle name="Normal 39 8 4 2" xfId="37308" xr:uid="{00000000-0005-0000-0000-0000918C0000}"/>
    <cellStyle name="Normal 39 8 5" xfId="19949" xr:uid="{00000000-0005-0000-0000-0000928C0000}"/>
    <cellStyle name="Normal 39 8 5 2" xfId="37309" xr:uid="{00000000-0005-0000-0000-0000938C0000}"/>
    <cellStyle name="Normal 39 8 6" xfId="19950" xr:uid="{00000000-0005-0000-0000-0000948C0000}"/>
    <cellStyle name="Normal 39 8 6 2" xfId="37310" xr:uid="{00000000-0005-0000-0000-0000958C0000}"/>
    <cellStyle name="Normal 39 8 7" xfId="19951" xr:uid="{00000000-0005-0000-0000-0000968C0000}"/>
    <cellStyle name="Normal 39 8 7 2" xfId="37311" xr:uid="{00000000-0005-0000-0000-0000978C0000}"/>
    <cellStyle name="Normal 39 8 8" xfId="19952" xr:uid="{00000000-0005-0000-0000-0000988C0000}"/>
    <cellStyle name="Normal 39 8 8 2" xfId="37312" xr:uid="{00000000-0005-0000-0000-0000998C0000}"/>
    <cellStyle name="Normal 39 8 9" xfId="19953" xr:uid="{00000000-0005-0000-0000-00009A8C0000}"/>
    <cellStyle name="Normal 39 8 9 2" xfId="37313" xr:uid="{00000000-0005-0000-0000-00009B8C0000}"/>
    <cellStyle name="Normal 39 9" xfId="19954" xr:uid="{00000000-0005-0000-0000-00009C8C0000}"/>
    <cellStyle name="Normal 39 9 10" xfId="19955" xr:uid="{00000000-0005-0000-0000-00009D8C0000}"/>
    <cellStyle name="Normal 39 9 10 2" xfId="37315" xr:uid="{00000000-0005-0000-0000-00009E8C0000}"/>
    <cellStyle name="Normal 39 9 11" xfId="19956" xr:uid="{00000000-0005-0000-0000-00009F8C0000}"/>
    <cellStyle name="Normal 39 9 11 2" xfId="37316" xr:uid="{00000000-0005-0000-0000-0000A08C0000}"/>
    <cellStyle name="Normal 39 9 12" xfId="19957" xr:uid="{00000000-0005-0000-0000-0000A18C0000}"/>
    <cellStyle name="Normal 39 9 12 2" xfId="37317" xr:uid="{00000000-0005-0000-0000-0000A28C0000}"/>
    <cellStyle name="Normal 39 9 13" xfId="19958" xr:uid="{00000000-0005-0000-0000-0000A38C0000}"/>
    <cellStyle name="Normal 39 9 13 2" xfId="37318" xr:uid="{00000000-0005-0000-0000-0000A48C0000}"/>
    <cellStyle name="Normal 39 9 14" xfId="19959" xr:uid="{00000000-0005-0000-0000-0000A58C0000}"/>
    <cellStyle name="Normal 39 9 14 2" xfId="37319" xr:uid="{00000000-0005-0000-0000-0000A68C0000}"/>
    <cellStyle name="Normal 39 9 15" xfId="37314" xr:uid="{00000000-0005-0000-0000-0000A78C0000}"/>
    <cellStyle name="Normal 39 9 2" xfId="19960" xr:uid="{00000000-0005-0000-0000-0000A88C0000}"/>
    <cellStyle name="Normal 39 9 2 2" xfId="37320" xr:uid="{00000000-0005-0000-0000-0000A98C0000}"/>
    <cellStyle name="Normal 39 9 3" xfId="19961" xr:uid="{00000000-0005-0000-0000-0000AA8C0000}"/>
    <cellStyle name="Normal 39 9 3 2" xfId="37321" xr:uid="{00000000-0005-0000-0000-0000AB8C0000}"/>
    <cellStyle name="Normal 39 9 4" xfId="19962" xr:uid="{00000000-0005-0000-0000-0000AC8C0000}"/>
    <cellStyle name="Normal 39 9 4 2" xfId="37322" xr:uid="{00000000-0005-0000-0000-0000AD8C0000}"/>
    <cellStyle name="Normal 39 9 5" xfId="19963" xr:uid="{00000000-0005-0000-0000-0000AE8C0000}"/>
    <cellStyle name="Normal 39 9 5 2" xfId="37323" xr:uid="{00000000-0005-0000-0000-0000AF8C0000}"/>
    <cellStyle name="Normal 39 9 6" xfId="19964" xr:uid="{00000000-0005-0000-0000-0000B08C0000}"/>
    <cellStyle name="Normal 39 9 6 2" xfId="37324" xr:uid="{00000000-0005-0000-0000-0000B18C0000}"/>
    <cellStyle name="Normal 39 9 7" xfId="19965" xr:uid="{00000000-0005-0000-0000-0000B28C0000}"/>
    <cellStyle name="Normal 39 9 7 2" xfId="37325" xr:uid="{00000000-0005-0000-0000-0000B38C0000}"/>
    <cellStyle name="Normal 39 9 8" xfId="19966" xr:uid="{00000000-0005-0000-0000-0000B48C0000}"/>
    <cellStyle name="Normal 39 9 8 2" xfId="37326" xr:uid="{00000000-0005-0000-0000-0000B58C0000}"/>
    <cellStyle name="Normal 39 9 9" xfId="19967" xr:uid="{00000000-0005-0000-0000-0000B68C0000}"/>
    <cellStyle name="Normal 39 9 9 2" xfId="37327" xr:uid="{00000000-0005-0000-0000-0000B78C0000}"/>
    <cellStyle name="Normal 4" xfId="5" xr:uid="{00000000-0005-0000-0000-0000B88C0000}"/>
    <cellStyle name="Normal 4 10" xfId="19969" xr:uid="{00000000-0005-0000-0000-0000B98C0000}"/>
    <cellStyle name="Normal 4 11" xfId="19970" xr:uid="{00000000-0005-0000-0000-0000BA8C0000}"/>
    <cellStyle name="Normal 4 12" xfId="19968" xr:uid="{00000000-0005-0000-0000-0000BB8C0000}"/>
    <cellStyle name="Normal 4 12 2" xfId="37676" xr:uid="{00000000-0005-0000-0000-0000BC8C0000}"/>
    <cellStyle name="Normal 4 2" xfId="68" xr:uid="{00000000-0005-0000-0000-0000BD8C0000}"/>
    <cellStyle name="Normal 4 2 2" xfId="19971" xr:uid="{00000000-0005-0000-0000-0000BE8C0000}"/>
    <cellStyle name="Normal 4 2 3" xfId="37677" xr:uid="{00000000-0005-0000-0000-0000BF8C0000}"/>
    <cellStyle name="Normal 4 3" xfId="69" xr:uid="{00000000-0005-0000-0000-0000C08C0000}"/>
    <cellStyle name="Normal 4 3 2" xfId="518" xr:uid="{00000000-0005-0000-0000-0000C18C0000}"/>
    <cellStyle name="Normal 4 3 3" xfId="516" xr:uid="{00000000-0005-0000-0000-0000C28C0000}"/>
    <cellStyle name="Normal 4 3 3 2" xfId="500" xr:uid="{00000000-0005-0000-0000-0000C38C0000}"/>
    <cellStyle name="Normal 4 3 4" xfId="37678" xr:uid="{00000000-0005-0000-0000-0000C48C0000}"/>
    <cellStyle name="Normal 4 4" xfId="282" xr:uid="{00000000-0005-0000-0000-0000C58C0000}"/>
    <cellStyle name="Normal 4 4 2" xfId="19972" xr:uid="{00000000-0005-0000-0000-0000C68C0000}"/>
    <cellStyle name="Normal 4 5" xfId="351" xr:uid="{00000000-0005-0000-0000-0000C78C0000}"/>
    <cellStyle name="Normal 4 5 2" xfId="541" xr:uid="{00000000-0005-0000-0000-0000C88C0000}"/>
    <cellStyle name="Normal 4 5 2 2" xfId="19974" xr:uid="{00000000-0005-0000-0000-0000C98C0000}"/>
    <cellStyle name="Normal 4 5 3" xfId="19973" xr:uid="{00000000-0005-0000-0000-0000CA8C0000}"/>
    <cellStyle name="Normal 4 6" xfId="466" xr:uid="{00000000-0005-0000-0000-0000CB8C0000}"/>
    <cellStyle name="Normal 4 6 2" xfId="19975" xr:uid="{00000000-0005-0000-0000-0000CC8C0000}"/>
    <cellStyle name="Normal 4 7" xfId="19976" xr:uid="{00000000-0005-0000-0000-0000CD8C0000}"/>
    <cellStyle name="Normal 4 8" xfId="19977" xr:uid="{00000000-0005-0000-0000-0000CE8C0000}"/>
    <cellStyle name="Normal 4 9" xfId="19978" xr:uid="{00000000-0005-0000-0000-0000CF8C0000}"/>
    <cellStyle name="Normal 40" xfId="70" xr:uid="{00000000-0005-0000-0000-0000D08C0000}"/>
    <cellStyle name="Normal 40 10" xfId="19979" xr:uid="{00000000-0005-0000-0000-0000D18C0000}"/>
    <cellStyle name="Normal 40 10 10" xfId="19980" xr:uid="{00000000-0005-0000-0000-0000D28C0000}"/>
    <cellStyle name="Normal 40 10 10 2" xfId="37330" xr:uid="{00000000-0005-0000-0000-0000D38C0000}"/>
    <cellStyle name="Normal 40 10 11" xfId="19981" xr:uid="{00000000-0005-0000-0000-0000D48C0000}"/>
    <cellStyle name="Normal 40 10 11 2" xfId="37331" xr:uid="{00000000-0005-0000-0000-0000D58C0000}"/>
    <cellStyle name="Normal 40 10 12" xfId="19982" xr:uid="{00000000-0005-0000-0000-0000D68C0000}"/>
    <cellStyle name="Normal 40 10 12 2" xfId="37332" xr:uid="{00000000-0005-0000-0000-0000D78C0000}"/>
    <cellStyle name="Normal 40 10 13" xfId="19983" xr:uid="{00000000-0005-0000-0000-0000D88C0000}"/>
    <cellStyle name="Normal 40 10 13 2" xfId="37333" xr:uid="{00000000-0005-0000-0000-0000D98C0000}"/>
    <cellStyle name="Normal 40 10 14" xfId="19984" xr:uid="{00000000-0005-0000-0000-0000DA8C0000}"/>
    <cellStyle name="Normal 40 10 14 2" xfId="37334" xr:uid="{00000000-0005-0000-0000-0000DB8C0000}"/>
    <cellStyle name="Normal 40 10 15" xfId="37329" xr:uid="{00000000-0005-0000-0000-0000DC8C0000}"/>
    <cellStyle name="Normal 40 10 2" xfId="19985" xr:uid="{00000000-0005-0000-0000-0000DD8C0000}"/>
    <cellStyle name="Normal 40 10 2 2" xfId="37335" xr:uid="{00000000-0005-0000-0000-0000DE8C0000}"/>
    <cellStyle name="Normal 40 10 3" xfId="19986" xr:uid="{00000000-0005-0000-0000-0000DF8C0000}"/>
    <cellStyle name="Normal 40 10 3 2" xfId="37336" xr:uid="{00000000-0005-0000-0000-0000E08C0000}"/>
    <cellStyle name="Normal 40 10 4" xfId="19987" xr:uid="{00000000-0005-0000-0000-0000E18C0000}"/>
    <cellStyle name="Normal 40 10 4 2" xfId="37337" xr:uid="{00000000-0005-0000-0000-0000E28C0000}"/>
    <cellStyle name="Normal 40 10 5" xfId="19988" xr:uid="{00000000-0005-0000-0000-0000E38C0000}"/>
    <cellStyle name="Normal 40 10 5 2" xfId="37338" xr:uid="{00000000-0005-0000-0000-0000E48C0000}"/>
    <cellStyle name="Normal 40 10 6" xfId="19989" xr:uid="{00000000-0005-0000-0000-0000E58C0000}"/>
    <cellStyle name="Normal 40 10 6 2" xfId="37339" xr:uid="{00000000-0005-0000-0000-0000E68C0000}"/>
    <cellStyle name="Normal 40 10 7" xfId="19990" xr:uid="{00000000-0005-0000-0000-0000E78C0000}"/>
    <cellStyle name="Normal 40 10 7 2" xfId="37340" xr:uid="{00000000-0005-0000-0000-0000E88C0000}"/>
    <cellStyle name="Normal 40 10 8" xfId="19991" xr:uid="{00000000-0005-0000-0000-0000E98C0000}"/>
    <cellStyle name="Normal 40 10 8 2" xfId="37341" xr:uid="{00000000-0005-0000-0000-0000EA8C0000}"/>
    <cellStyle name="Normal 40 10 9" xfId="19992" xr:uid="{00000000-0005-0000-0000-0000EB8C0000}"/>
    <cellStyle name="Normal 40 10 9 2" xfId="37342" xr:uid="{00000000-0005-0000-0000-0000EC8C0000}"/>
    <cellStyle name="Normal 40 11" xfId="19993" xr:uid="{00000000-0005-0000-0000-0000ED8C0000}"/>
    <cellStyle name="Normal 40 11 10" xfId="19994" xr:uid="{00000000-0005-0000-0000-0000EE8C0000}"/>
    <cellStyle name="Normal 40 11 10 2" xfId="37344" xr:uid="{00000000-0005-0000-0000-0000EF8C0000}"/>
    <cellStyle name="Normal 40 11 11" xfId="19995" xr:uid="{00000000-0005-0000-0000-0000F08C0000}"/>
    <cellStyle name="Normal 40 11 11 2" xfId="37345" xr:uid="{00000000-0005-0000-0000-0000F18C0000}"/>
    <cellStyle name="Normal 40 11 12" xfId="19996" xr:uid="{00000000-0005-0000-0000-0000F28C0000}"/>
    <cellStyle name="Normal 40 11 12 2" xfId="37346" xr:uid="{00000000-0005-0000-0000-0000F38C0000}"/>
    <cellStyle name="Normal 40 11 13" xfId="19997" xr:uid="{00000000-0005-0000-0000-0000F48C0000}"/>
    <cellStyle name="Normal 40 11 13 2" xfId="37347" xr:uid="{00000000-0005-0000-0000-0000F58C0000}"/>
    <cellStyle name="Normal 40 11 14" xfId="19998" xr:uid="{00000000-0005-0000-0000-0000F68C0000}"/>
    <cellStyle name="Normal 40 11 14 2" xfId="37348" xr:uid="{00000000-0005-0000-0000-0000F78C0000}"/>
    <cellStyle name="Normal 40 11 15" xfId="37343" xr:uid="{00000000-0005-0000-0000-0000F88C0000}"/>
    <cellStyle name="Normal 40 11 2" xfId="19999" xr:uid="{00000000-0005-0000-0000-0000F98C0000}"/>
    <cellStyle name="Normal 40 11 2 2" xfId="37349" xr:uid="{00000000-0005-0000-0000-0000FA8C0000}"/>
    <cellStyle name="Normal 40 11 3" xfId="20000" xr:uid="{00000000-0005-0000-0000-0000FB8C0000}"/>
    <cellStyle name="Normal 40 11 3 2" xfId="37350" xr:uid="{00000000-0005-0000-0000-0000FC8C0000}"/>
    <cellStyle name="Normal 40 11 4" xfId="20001" xr:uid="{00000000-0005-0000-0000-0000FD8C0000}"/>
    <cellStyle name="Normal 40 11 4 2" xfId="37351" xr:uid="{00000000-0005-0000-0000-0000FE8C0000}"/>
    <cellStyle name="Normal 40 11 5" xfId="20002" xr:uid="{00000000-0005-0000-0000-0000FF8C0000}"/>
    <cellStyle name="Normal 40 11 5 2" xfId="37352" xr:uid="{00000000-0005-0000-0000-0000008D0000}"/>
    <cellStyle name="Normal 40 11 6" xfId="20003" xr:uid="{00000000-0005-0000-0000-0000018D0000}"/>
    <cellStyle name="Normal 40 11 6 2" xfId="37353" xr:uid="{00000000-0005-0000-0000-0000028D0000}"/>
    <cellStyle name="Normal 40 11 7" xfId="20004" xr:uid="{00000000-0005-0000-0000-0000038D0000}"/>
    <cellStyle name="Normal 40 11 7 2" xfId="37354" xr:uid="{00000000-0005-0000-0000-0000048D0000}"/>
    <cellStyle name="Normal 40 11 8" xfId="20005" xr:uid="{00000000-0005-0000-0000-0000058D0000}"/>
    <cellStyle name="Normal 40 11 8 2" xfId="37355" xr:uid="{00000000-0005-0000-0000-0000068D0000}"/>
    <cellStyle name="Normal 40 11 9" xfId="20006" xr:uid="{00000000-0005-0000-0000-0000078D0000}"/>
    <cellStyle name="Normal 40 11 9 2" xfId="37356" xr:uid="{00000000-0005-0000-0000-0000088D0000}"/>
    <cellStyle name="Normal 40 12" xfId="20007" xr:uid="{00000000-0005-0000-0000-0000098D0000}"/>
    <cellStyle name="Normal 40 12 10" xfId="20008" xr:uid="{00000000-0005-0000-0000-00000A8D0000}"/>
    <cellStyle name="Normal 40 12 10 2" xfId="37358" xr:uid="{00000000-0005-0000-0000-00000B8D0000}"/>
    <cellStyle name="Normal 40 12 11" xfId="20009" xr:uid="{00000000-0005-0000-0000-00000C8D0000}"/>
    <cellStyle name="Normal 40 12 11 2" xfId="37359" xr:uid="{00000000-0005-0000-0000-00000D8D0000}"/>
    <cellStyle name="Normal 40 12 12" xfId="20010" xr:uid="{00000000-0005-0000-0000-00000E8D0000}"/>
    <cellStyle name="Normal 40 12 12 2" xfId="37360" xr:uid="{00000000-0005-0000-0000-00000F8D0000}"/>
    <cellStyle name="Normal 40 12 13" xfId="20011" xr:uid="{00000000-0005-0000-0000-0000108D0000}"/>
    <cellStyle name="Normal 40 12 13 2" xfId="37361" xr:uid="{00000000-0005-0000-0000-0000118D0000}"/>
    <cellStyle name="Normal 40 12 14" xfId="20012" xr:uid="{00000000-0005-0000-0000-0000128D0000}"/>
    <cellStyle name="Normal 40 12 14 2" xfId="37362" xr:uid="{00000000-0005-0000-0000-0000138D0000}"/>
    <cellStyle name="Normal 40 12 15" xfId="37357" xr:uid="{00000000-0005-0000-0000-0000148D0000}"/>
    <cellStyle name="Normal 40 12 2" xfId="20013" xr:uid="{00000000-0005-0000-0000-0000158D0000}"/>
    <cellStyle name="Normal 40 12 2 2" xfId="37363" xr:uid="{00000000-0005-0000-0000-0000168D0000}"/>
    <cellStyle name="Normal 40 12 3" xfId="20014" xr:uid="{00000000-0005-0000-0000-0000178D0000}"/>
    <cellStyle name="Normal 40 12 3 2" xfId="37364" xr:uid="{00000000-0005-0000-0000-0000188D0000}"/>
    <cellStyle name="Normal 40 12 4" xfId="20015" xr:uid="{00000000-0005-0000-0000-0000198D0000}"/>
    <cellStyle name="Normal 40 12 4 2" xfId="37365" xr:uid="{00000000-0005-0000-0000-00001A8D0000}"/>
    <cellStyle name="Normal 40 12 5" xfId="20016" xr:uid="{00000000-0005-0000-0000-00001B8D0000}"/>
    <cellStyle name="Normal 40 12 5 2" xfId="37366" xr:uid="{00000000-0005-0000-0000-00001C8D0000}"/>
    <cellStyle name="Normal 40 12 6" xfId="20017" xr:uid="{00000000-0005-0000-0000-00001D8D0000}"/>
    <cellStyle name="Normal 40 12 6 2" xfId="37367" xr:uid="{00000000-0005-0000-0000-00001E8D0000}"/>
    <cellStyle name="Normal 40 12 7" xfId="20018" xr:uid="{00000000-0005-0000-0000-00001F8D0000}"/>
    <cellStyle name="Normal 40 12 7 2" xfId="37368" xr:uid="{00000000-0005-0000-0000-0000208D0000}"/>
    <cellStyle name="Normal 40 12 8" xfId="20019" xr:uid="{00000000-0005-0000-0000-0000218D0000}"/>
    <cellStyle name="Normal 40 12 8 2" xfId="37369" xr:uid="{00000000-0005-0000-0000-0000228D0000}"/>
    <cellStyle name="Normal 40 12 9" xfId="20020" xr:uid="{00000000-0005-0000-0000-0000238D0000}"/>
    <cellStyle name="Normal 40 12 9 2" xfId="37370" xr:uid="{00000000-0005-0000-0000-0000248D0000}"/>
    <cellStyle name="Normal 40 13" xfId="20021" xr:uid="{00000000-0005-0000-0000-0000258D0000}"/>
    <cellStyle name="Normal 40 13 10" xfId="20022" xr:uid="{00000000-0005-0000-0000-0000268D0000}"/>
    <cellStyle name="Normal 40 13 10 2" xfId="37372" xr:uid="{00000000-0005-0000-0000-0000278D0000}"/>
    <cellStyle name="Normal 40 13 11" xfId="20023" xr:uid="{00000000-0005-0000-0000-0000288D0000}"/>
    <cellStyle name="Normal 40 13 11 2" xfId="37373" xr:uid="{00000000-0005-0000-0000-0000298D0000}"/>
    <cellStyle name="Normal 40 13 12" xfId="20024" xr:uid="{00000000-0005-0000-0000-00002A8D0000}"/>
    <cellStyle name="Normal 40 13 12 2" xfId="37374" xr:uid="{00000000-0005-0000-0000-00002B8D0000}"/>
    <cellStyle name="Normal 40 13 13" xfId="20025" xr:uid="{00000000-0005-0000-0000-00002C8D0000}"/>
    <cellStyle name="Normal 40 13 13 2" xfId="37375" xr:uid="{00000000-0005-0000-0000-00002D8D0000}"/>
    <cellStyle name="Normal 40 13 14" xfId="20026" xr:uid="{00000000-0005-0000-0000-00002E8D0000}"/>
    <cellStyle name="Normal 40 13 14 2" xfId="37376" xr:uid="{00000000-0005-0000-0000-00002F8D0000}"/>
    <cellStyle name="Normal 40 13 15" xfId="37371" xr:uid="{00000000-0005-0000-0000-0000308D0000}"/>
    <cellStyle name="Normal 40 13 2" xfId="20027" xr:uid="{00000000-0005-0000-0000-0000318D0000}"/>
    <cellStyle name="Normal 40 13 2 2" xfId="37377" xr:uid="{00000000-0005-0000-0000-0000328D0000}"/>
    <cellStyle name="Normal 40 13 3" xfId="20028" xr:uid="{00000000-0005-0000-0000-0000338D0000}"/>
    <cellStyle name="Normal 40 13 3 2" xfId="37378" xr:uid="{00000000-0005-0000-0000-0000348D0000}"/>
    <cellStyle name="Normal 40 13 4" xfId="20029" xr:uid="{00000000-0005-0000-0000-0000358D0000}"/>
    <cellStyle name="Normal 40 13 4 2" xfId="37379" xr:uid="{00000000-0005-0000-0000-0000368D0000}"/>
    <cellStyle name="Normal 40 13 5" xfId="20030" xr:uid="{00000000-0005-0000-0000-0000378D0000}"/>
    <cellStyle name="Normal 40 13 5 2" xfId="37380" xr:uid="{00000000-0005-0000-0000-0000388D0000}"/>
    <cellStyle name="Normal 40 13 6" xfId="20031" xr:uid="{00000000-0005-0000-0000-0000398D0000}"/>
    <cellStyle name="Normal 40 13 6 2" xfId="37381" xr:uid="{00000000-0005-0000-0000-00003A8D0000}"/>
    <cellStyle name="Normal 40 13 7" xfId="20032" xr:uid="{00000000-0005-0000-0000-00003B8D0000}"/>
    <cellStyle name="Normal 40 13 7 2" xfId="37382" xr:uid="{00000000-0005-0000-0000-00003C8D0000}"/>
    <cellStyle name="Normal 40 13 8" xfId="20033" xr:uid="{00000000-0005-0000-0000-00003D8D0000}"/>
    <cellStyle name="Normal 40 13 8 2" xfId="37383" xr:uid="{00000000-0005-0000-0000-00003E8D0000}"/>
    <cellStyle name="Normal 40 13 9" xfId="20034" xr:uid="{00000000-0005-0000-0000-00003F8D0000}"/>
    <cellStyle name="Normal 40 13 9 2" xfId="37384" xr:uid="{00000000-0005-0000-0000-0000408D0000}"/>
    <cellStyle name="Normal 40 14" xfId="20035" xr:uid="{00000000-0005-0000-0000-0000418D0000}"/>
    <cellStyle name="Normal 40 14 10" xfId="20036" xr:uid="{00000000-0005-0000-0000-0000428D0000}"/>
    <cellStyle name="Normal 40 14 10 2" xfId="37386" xr:uid="{00000000-0005-0000-0000-0000438D0000}"/>
    <cellStyle name="Normal 40 14 11" xfId="20037" xr:uid="{00000000-0005-0000-0000-0000448D0000}"/>
    <cellStyle name="Normal 40 14 11 2" xfId="37387" xr:uid="{00000000-0005-0000-0000-0000458D0000}"/>
    <cellStyle name="Normal 40 14 12" xfId="20038" xr:uid="{00000000-0005-0000-0000-0000468D0000}"/>
    <cellStyle name="Normal 40 14 12 2" xfId="37388" xr:uid="{00000000-0005-0000-0000-0000478D0000}"/>
    <cellStyle name="Normal 40 14 13" xfId="20039" xr:uid="{00000000-0005-0000-0000-0000488D0000}"/>
    <cellStyle name="Normal 40 14 13 2" xfId="37389" xr:uid="{00000000-0005-0000-0000-0000498D0000}"/>
    <cellStyle name="Normal 40 14 14" xfId="20040" xr:uid="{00000000-0005-0000-0000-00004A8D0000}"/>
    <cellStyle name="Normal 40 14 14 2" xfId="37390" xr:uid="{00000000-0005-0000-0000-00004B8D0000}"/>
    <cellStyle name="Normal 40 14 15" xfId="37385" xr:uid="{00000000-0005-0000-0000-00004C8D0000}"/>
    <cellStyle name="Normal 40 14 2" xfId="20041" xr:uid="{00000000-0005-0000-0000-00004D8D0000}"/>
    <cellStyle name="Normal 40 14 2 2" xfId="37391" xr:uid="{00000000-0005-0000-0000-00004E8D0000}"/>
    <cellStyle name="Normal 40 14 3" xfId="20042" xr:uid="{00000000-0005-0000-0000-00004F8D0000}"/>
    <cellStyle name="Normal 40 14 3 2" xfId="37392" xr:uid="{00000000-0005-0000-0000-0000508D0000}"/>
    <cellStyle name="Normal 40 14 4" xfId="20043" xr:uid="{00000000-0005-0000-0000-0000518D0000}"/>
    <cellStyle name="Normal 40 14 4 2" xfId="37393" xr:uid="{00000000-0005-0000-0000-0000528D0000}"/>
    <cellStyle name="Normal 40 14 5" xfId="20044" xr:uid="{00000000-0005-0000-0000-0000538D0000}"/>
    <cellStyle name="Normal 40 14 5 2" xfId="37394" xr:uid="{00000000-0005-0000-0000-0000548D0000}"/>
    <cellStyle name="Normal 40 14 6" xfId="20045" xr:uid="{00000000-0005-0000-0000-0000558D0000}"/>
    <cellStyle name="Normal 40 14 6 2" xfId="37395" xr:uid="{00000000-0005-0000-0000-0000568D0000}"/>
    <cellStyle name="Normal 40 14 7" xfId="20046" xr:uid="{00000000-0005-0000-0000-0000578D0000}"/>
    <cellStyle name="Normal 40 14 7 2" xfId="37396" xr:uid="{00000000-0005-0000-0000-0000588D0000}"/>
    <cellStyle name="Normal 40 14 8" xfId="20047" xr:uid="{00000000-0005-0000-0000-0000598D0000}"/>
    <cellStyle name="Normal 40 14 8 2" xfId="37397" xr:uid="{00000000-0005-0000-0000-00005A8D0000}"/>
    <cellStyle name="Normal 40 14 9" xfId="20048" xr:uid="{00000000-0005-0000-0000-00005B8D0000}"/>
    <cellStyle name="Normal 40 14 9 2" xfId="37398" xr:uid="{00000000-0005-0000-0000-00005C8D0000}"/>
    <cellStyle name="Normal 40 15" xfId="20049" xr:uid="{00000000-0005-0000-0000-00005D8D0000}"/>
    <cellStyle name="Normal 40 15 10" xfId="20050" xr:uid="{00000000-0005-0000-0000-00005E8D0000}"/>
    <cellStyle name="Normal 40 15 10 2" xfId="37400" xr:uid="{00000000-0005-0000-0000-00005F8D0000}"/>
    <cellStyle name="Normal 40 15 11" xfId="20051" xr:uid="{00000000-0005-0000-0000-0000608D0000}"/>
    <cellStyle name="Normal 40 15 11 2" xfId="37401" xr:uid="{00000000-0005-0000-0000-0000618D0000}"/>
    <cellStyle name="Normal 40 15 12" xfId="20052" xr:uid="{00000000-0005-0000-0000-0000628D0000}"/>
    <cellStyle name="Normal 40 15 12 2" xfId="37402" xr:uid="{00000000-0005-0000-0000-0000638D0000}"/>
    <cellStyle name="Normal 40 15 13" xfId="20053" xr:uid="{00000000-0005-0000-0000-0000648D0000}"/>
    <cellStyle name="Normal 40 15 13 2" xfId="37403" xr:uid="{00000000-0005-0000-0000-0000658D0000}"/>
    <cellStyle name="Normal 40 15 14" xfId="20054" xr:uid="{00000000-0005-0000-0000-0000668D0000}"/>
    <cellStyle name="Normal 40 15 14 2" xfId="37404" xr:uid="{00000000-0005-0000-0000-0000678D0000}"/>
    <cellStyle name="Normal 40 15 15" xfId="37399" xr:uid="{00000000-0005-0000-0000-0000688D0000}"/>
    <cellStyle name="Normal 40 15 2" xfId="20055" xr:uid="{00000000-0005-0000-0000-0000698D0000}"/>
    <cellStyle name="Normal 40 15 2 2" xfId="37405" xr:uid="{00000000-0005-0000-0000-00006A8D0000}"/>
    <cellStyle name="Normal 40 15 3" xfId="20056" xr:uid="{00000000-0005-0000-0000-00006B8D0000}"/>
    <cellStyle name="Normal 40 15 3 2" xfId="37406" xr:uid="{00000000-0005-0000-0000-00006C8D0000}"/>
    <cellStyle name="Normal 40 15 4" xfId="20057" xr:uid="{00000000-0005-0000-0000-00006D8D0000}"/>
    <cellStyle name="Normal 40 15 4 2" xfId="37407" xr:uid="{00000000-0005-0000-0000-00006E8D0000}"/>
    <cellStyle name="Normal 40 15 5" xfId="20058" xr:uid="{00000000-0005-0000-0000-00006F8D0000}"/>
    <cellStyle name="Normal 40 15 5 2" xfId="37408" xr:uid="{00000000-0005-0000-0000-0000708D0000}"/>
    <cellStyle name="Normal 40 15 6" xfId="20059" xr:uid="{00000000-0005-0000-0000-0000718D0000}"/>
    <cellStyle name="Normal 40 15 6 2" xfId="37409" xr:uid="{00000000-0005-0000-0000-0000728D0000}"/>
    <cellStyle name="Normal 40 15 7" xfId="20060" xr:uid="{00000000-0005-0000-0000-0000738D0000}"/>
    <cellStyle name="Normal 40 15 7 2" xfId="37410" xr:uid="{00000000-0005-0000-0000-0000748D0000}"/>
    <cellStyle name="Normal 40 15 8" xfId="20061" xr:uid="{00000000-0005-0000-0000-0000758D0000}"/>
    <cellStyle name="Normal 40 15 8 2" xfId="37411" xr:uid="{00000000-0005-0000-0000-0000768D0000}"/>
    <cellStyle name="Normal 40 15 9" xfId="20062" xr:uid="{00000000-0005-0000-0000-0000778D0000}"/>
    <cellStyle name="Normal 40 15 9 2" xfId="37412" xr:uid="{00000000-0005-0000-0000-0000788D0000}"/>
    <cellStyle name="Normal 40 16" xfId="20063" xr:uid="{00000000-0005-0000-0000-0000798D0000}"/>
    <cellStyle name="Normal 40 16 10" xfId="20064" xr:uid="{00000000-0005-0000-0000-00007A8D0000}"/>
    <cellStyle name="Normal 40 16 10 2" xfId="37414" xr:uid="{00000000-0005-0000-0000-00007B8D0000}"/>
    <cellStyle name="Normal 40 16 11" xfId="20065" xr:uid="{00000000-0005-0000-0000-00007C8D0000}"/>
    <cellStyle name="Normal 40 16 11 2" xfId="37415" xr:uid="{00000000-0005-0000-0000-00007D8D0000}"/>
    <cellStyle name="Normal 40 16 12" xfId="20066" xr:uid="{00000000-0005-0000-0000-00007E8D0000}"/>
    <cellStyle name="Normal 40 16 12 2" xfId="37416" xr:uid="{00000000-0005-0000-0000-00007F8D0000}"/>
    <cellStyle name="Normal 40 16 13" xfId="20067" xr:uid="{00000000-0005-0000-0000-0000808D0000}"/>
    <cellStyle name="Normal 40 16 13 2" xfId="37417" xr:uid="{00000000-0005-0000-0000-0000818D0000}"/>
    <cellStyle name="Normal 40 16 14" xfId="20068" xr:uid="{00000000-0005-0000-0000-0000828D0000}"/>
    <cellStyle name="Normal 40 16 14 2" xfId="37418" xr:uid="{00000000-0005-0000-0000-0000838D0000}"/>
    <cellStyle name="Normal 40 16 15" xfId="37413" xr:uid="{00000000-0005-0000-0000-0000848D0000}"/>
    <cellStyle name="Normal 40 16 2" xfId="20069" xr:uid="{00000000-0005-0000-0000-0000858D0000}"/>
    <cellStyle name="Normal 40 16 2 2" xfId="37419" xr:uid="{00000000-0005-0000-0000-0000868D0000}"/>
    <cellStyle name="Normal 40 16 3" xfId="20070" xr:uid="{00000000-0005-0000-0000-0000878D0000}"/>
    <cellStyle name="Normal 40 16 3 2" xfId="37420" xr:uid="{00000000-0005-0000-0000-0000888D0000}"/>
    <cellStyle name="Normal 40 16 4" xfId="20071" xr:uid="{00000000-0005-0000-0000-0000898D0000}"/>
    <cellStyle name="Normal 40 16 4 2" xfId="37421" xr:uid="{00000000-0005-0000-0000-00008A8D0000}"/>
    <cellStyle name="Normal 40 16 5" xfId="20072" xr:uid="{00000000-0005-0000-0000-00008B8D0000}"/>
    <cellStyle name="Normal 40 16 5 2" xfId="37422" xr:uid="{00000000-0005-0000-0000-00008C8D0000}"/>
    <cellStyle name="Normal 40 16 6" xfId="20073" xr:uid="{00000000-0005-0000-0000-00008D8D0000}"/>
    <cellStyle name="Normal 40 16 6 2" xfId="37423" xr:uid="{00000000-0005-0000-0000-00008E8D0000}"/>
    <cellStyle name="Normal 40 16 7" xfId="20074" xr:uid="{00000000-0005-0000-0000-00008F8D0000}"/>
    <cellStyle name="Normal 40 16 7 2" xfId="37424" xr:uid="{00000000-0005-0000-0000-0000908D0000}"/>
    <cellStyle name="Normal 40 16 8" xfId="20075" xr:uid="{00000000-0005-0000-0000-0000918D0000}"/>
    <cellStyle name="Normal 40 16 8 2" xfId="37425" xr:uid="{00000000-0005-0000-0000-0000928D0000}"/>
    <cellStyle name="Normal 40 16 9" xfId="20076" xr:uid="{00000000-0005-0000-0000-0000938D0000}"/>
    <cellStyle name="Normal 40 16 9 2" xfId="37426" xr:uid="{00000000-0005-0000-0000-0000948D0000}"/>
    <cellStyle name="Normal 40 17" xfId="20077" xr:uid="{00000000-0005-0000-0000-0000958D0000}"/>
    <cellStyle name="Normal 40 17 10" xfId="20078" xr:uid="{00000000-0005-0000-0000-0000968D0000}"/>
    <cellStyle name="Normal 40 17 10 2" xfId="37428" xr:uid="{00000000-0005-0000-0000-0000978D0000}"/>
    <cellStyle name="Normal 40 17 11" xfId="20079" xr:uid="{00000000-0005-0000-0000-0000988D0000}"/>
    <cellStyle name="Normal 40 17 11 2" xfId="37429" xr:uid="{00000000-0005-0000-0000-0000998D0000}"/>
    <cellStyle name="Normal 40 17 12" xfId="20080" xr:uid="{00000000-0005-0000-0000-00009A8D0000}"/>
    <cellStyle name="Normal 40 17 12 2" xfId="37430" xr:uid="{00000000-0005-0000-0000-00009B8D0000}"/>
    <cellStyle name="Normal 40 17 13" xfId="20081" xr:uid="{00000000-0005-0000-0000-00009C8D0000}"/>
    <cellStyle name="Normal 40 17 13 2" xfId="37431" xr:uid="{00000000-0005-0000-0000-00009D8D0000}"/>
    <cellStyle name="Normal 40 17 14" xfId="20082" xr:uid="{00000000-0005-0000-0000-00009E8D0000}"/>
    <cellStyle name="Normal 40 17 14 2" xfId="37432" xr:uid="{00000000-0005-0000-0000-00009F8D0000}"/>
    <cellStyle name="Normal 40 17 15" xfId="37427" xr:uid="{00000000-0005-0000-0000-0000A08D0000}"/>
    <cellStyle name="Normal 40 17 2" xfId="20083" xr:uid="{00000000-0005-0000-0000-0000A18D0000}"/>
    <cellStyle name="Normal 40 17 2 2" xfId="37433" xr:uid="{00000000-0005-0000-0000-0000A28D0000}"/>
    <cellStyle name="Normal 40 17 3" xfId="20084" xr:uid="{00000000-0005-0000-0000-0000A38D0000}"/>
    <cellStyle name="Normal 40 17 3 2" xfId="37434" xr:uid="{00000000-0005-0000-0000-0000A48D0000}"/>
    <cellStyle name="Normal 40 17 4" xfId="20085" xr:uid="{00000000-0005-0000-0000-0000A58D0000}"/>
    <cellStyle name="Normal 40 17 4 2" xfId="37435" xr:uid="{00000000-0005-0000-0000-0000A68D0000}"/>
    <cellStyle name="Normal 40 17 5" xfId="20086" xr:uid="{00000000-0005-0000-0000-0000A78D0000}"/>
    <cellStyle name="Normal 40 17 5 2" xfId="37436" xr:uid="{00000000-0005-0000-0000-0000A88D0000}"/>
    <cellStyle name="Normal 40 17 6" xfId="20087" xr:uid="{00000000-0005-0000-0000-0000A98D0000}"/>
    <cellStyle name="Normal 40 17 6 2" xfId="37437" xr:uid="{00000000-0005-0000-0000-0000AA8D0000}"/>
    <cellStyle name="Normal 40 17 7" xfId="20088" xr:uid="{00000000-0005-0000-0000-0000AB8D0000}"/>
    <cellStyle name="Normal 40 17 7 2" xfId="37438" xr:uid="{00000000-0005-0000-0000-0000AC8D0000}"/>
    <cellStyle name="Normal 40 17 8" xfId="20089" xr:uid="{00000000-0005-0000-0000-0000AD8D0000}"/>
    <cellStyle name="Normal 40 17 8 2" xfId="37439" xr:uid="{00000000-0005-0000-0000-0000AE8D0000}"/>
    <cellStyle name="Normal 40 17 9" xfId="20090" xr:uid="{00000000-0005-0000-0000-0000AF8D0000}"/>
    <cellStyle name="Normal 40 17 9 2" xfId="37440" xr:uid="{00000000-0005-0000-0000-0000B08D0000}"/>
    <cellStyle name="Normal 40 18" xfId="20091" xr:uid="{00000000-0005-0000-0000-0000B18D0000}"/>
    <cellStyle name="Normal 40 18 2" xfId="37441" xr:uid="{00000000-0005-0000-0000-0000B28D0000}"/>
    <cellStyle name="Normal 40 19" xfId="20092" xr:uid="{00000000-0005-0000-0000-0000B38D0000}"/>
    <cellStyle name="Normal 40 19 2" xfId="37442" xr:uid="{00000000-0005-0000-0000-0000B48D0000}"/>
    <cellStyle name="Normal 40 2" xfId="228" xr:uid="{00000000-0005-0000-0000-0000B58D0000}"/>
    <cellStyle name="Normal 40 20" xfId="20093" xr:uid="{00000000-0005-0000-0000-0000B68D0000}"/>
    <cellStyle name="Normal 40 20 2" xfId="37443" xr:uid="{00000000-0005-0000-0000-0000B78D0000}"/>
    <cellStyle name="Normal 40 21" xfId="20094" xr:uid="{00000000-0005-0000-0000-0000B88D0000}"/>
    <cellStyle name="Normal 40 21 2" xfId="37444" xr:uid="{00000000-0005-0000-0000-0000B98D0000}"/>
    <cellStyle name="Normal 40 22" xfId="20095" xr:uid="{00000000-0005-0000-0000-0000BA8D0000}"/>
    <cellStyle name="Normal 40 22 2" xfId="37445" xr:uid="{00000000-0005-0000-0000-0000BB8D0000}"/>
    <cellStyle name="Normal 40 23" xfId="20096" xr:uid="{00000000-0005-0000-0000-0000BC8D0000}"/>
    <cellStyle name="Normal 40 23 2" xfId="37446" xr:uid="{00000000-0005-0000-0000-0000BD8D0000}"/>
    <cellStyle name="Normal 40 24" xfId="20097" xr:uid="{00000000-0005-0000-0000-0000BE8D0000}"/>
    <cellStyle name="Normal 40 24 2" xfId="37447" xr:uid="{00000000-0005-0000-0000-0000BF8D0000}"/>
    <cellStyle name="Normal 40 25" xfId="20098" xr:uid="{00000000-0005-0000-0000-0000C08D0000}"/>
    <cellStyle name="Normal 40 25 2" xfId="37448" xr:uid="{00000000-0005-0000-0000-0000C18D0000}"/>
    <cellStyle name="Normal 40 26" xfId="20099" xr:uid="{00000000-0005-0000-0000-0000C28D0000}"/>
    <cellStyle name="Normal 40 26 2" xfId="37449" xr:uid="{00000000-0005-0000-0000-0000C38D0000}"/>
    <cellStyle name="Normal 40 27" xfId="20100" xr:uid="{00000000-0005-0000-0000-0000C48D0000}"/>
    <cellStyle name="Normal 40 27 2" xfId="37450" xr:uid="{00000000-0005-0000-0000-0000C58D0000}"/>
    <cellStyle name="Normal 40 28" xfId="20101" xr:uid="{00000000-0005-0000-0000-0000C68D0000}"/>
    <cellStyle name="Normal 40 28 2" xfId="37451" xr:uid="{00000000-0005-0000-0000-0000C78D0000}"/>
    <cellStyle name="Normal 40 29" xfId="20102" xr:uid="{00000000-0005-0000-0000-0000C88D0000}"/>
    <cellStyle name="Normal 40 29 2" xfId="37452" xr:uid="{00000000-0005-0000-0000-0000C98D0000}"/>
    <cellStyle name="Normal 40 3" xfId="20103" xr:uid="{00000000-0005-0000-0000-0000CA8D0000}"/>
    <cellStyle name="Normal 40 30" xfId="20104" xr:uid="{00000000-0005-0000-0000-0000CB8D0000}"/>
    <cellStyle name="Normal 40 30 2" xfId="37453" xr:uid="{00000000-0005-0000-0000-0000CC8D0000}"/>
    <cellStyle name="Normal 40 31" xfId="37328" xr:uid="{00000000-0005-0000-0000-0000CD8D0000}"/>
    <cellStyle name="Normal 40 4" xfId="20105" xr:uid="{00000000-0005-0000-0000-0000CE8D0000}"/>
    <cellStyle name="Normal 40 4 10" xfId="20106" xr:uid="{00000000-0005-0000-0000-0000CF8D0000}"/>
    <cellStyle name="Normal 40 4 10 2" xfId="37455" xr:uid="{00000000-0005-0000-0000-0000D08D0000}"/>
    <cellStyle name="Normal 40 4 11" xfId="20107" xr:uid="{00000000-0005-0000-0000-0000D18D0000}"/>
    <cellStyle name="Normal 40 4 11 2" xfId="37456" xr:uid="{00000000-0005-0000-0000-0000D28D0000}"/>
    <cellStyle name="Normal 40 4 12" xfId="20108" xr:uid="{00000000-0005-0000-0000-0000D38D0000}"/>
    <cellStyle name="Normal 40 4 12 2" xfId="37457" xr:uid="{00000000-0005-0000-0000-0000D48D0000}"/>
    <cellStyle name="Normal 40 4 13" xfId="20109" xr:uid="{00000000-0005-0000-0000-0000D58D0000}"/>
    <cellStyle name="Normal 40 4 13 2" xfId="37458" xr:uid="{00000000-0005-0000-0000-0000D68D0000}"/>
    <cellStyle name="Normal 40 4 14" xfId="20110" xr:uid="{00000000-0005-0000-0000-0000D78D0000}"/>
    <cellStyle name="Normal 40 4 14 2" xfId="37459" xr:uid="{00000000-0005-0000-0000-0000D88D0000}"/>
    <cellStyle name="Normal 40 4 15" xfId="20111" xr:uid="{00000000-0005-0000-0000-0000D98D0000}"/>
    <cellStyle name="Normal 40 4 15 2" xfId="37460" xr:uid="{00000000-0005-0000-0000-0000DA8D0000}"/>
    <cellStyle name="Normal 40 4 16" xfId="37454" xr:uid="{00000000-0005-0000-0000-0000DB8D0000}"/>
    <cellStyle name="Normal 40 4 2" xfId="20112" xr:uid="{00000000-0005-0000-0000-0000DC8D0000}"/>
    <cellStyle name="Normal 40 4 2 10" xfId="20113" xr:uid="{00000000-0005-0000-0000-0000DD8D0000}"/>
    <cellStyle name="Normal 40 4 2 10 2" xfId="37462" xr:uid="{00000000-0005-0000-0000-0000DE8D0000}"/>
    <cellStyle name="Normal 40 4 2 11" xfId="20114" xr:uid="{00000000-0005-0000-0000-0000DF8D0000}"/>
    <cellStyle name="Normal 40 4 2 11 2" xfId="37463" xr:uid="{00000000-0005-0000-0000-0000E08D0000}"/>
    <cellStyle name="Normal 40 4 2 12" xfId="20115" xr:uid="{00000000-0005-0000-0000-0000E18D0000}"/>
    <cellStyle name="Normal 40 4 2 12 2" xfId="37464" xr:uid="{00000000-0005-0000-0000-0000E28D0000}"/>
    <cellStyle name="Normal 40 4 2 13" xfId="20116" xr:uid="{00000000-0005-0000-0000-0000E38D0000}"/>
    <cellStyle name="Normal 40 4 2 13 2" xfId="37465" xr:uid="{00000000-0005-0000-0000-0000E48D0000}"/>
    <cellStyle name="Normal 40 4 2 14" xfId="20117" xr:uid="{00000000-0005-0000-0000-0000E58D0000}"/>
    <cellStyle name="Normal 40 4 2 14 2" xfId="37466" xr:uid="{00000000-0005-0000-0000-0000E68D0000}"/>
    <cellStyle name="Normal 40 4 2 15" xfId="37461" xr:uid="{00000000-0005-0000-0000-0000E78D0000}"/>
    <cellStyle name="Normal 40 4 2 2" xfId="20118" xr:uid="{00000000-0005-0000-0000-0000E88D0000}"/>
    <cellStyle name="Normal 40 4 2 2 2" xfId="37467" xr:uid="{00000000-0005-0000-0000-0000E98D0000}"/>
    <cellStyle name="Normal 40 4 2 3" xfId="20119" xr:uid="{00000000-0005-0000-0000-0000EA8D0000}"/>
    <cellStyle name="Normal 40 4 2 3 2" xfId="37468" xr:uid="{00000000-0005-0000-0000-0000EB8D0000}"/>
    <cellStyle name="Normal 40 4 2 4" xfId="20120" xr:uid="{00000000-0005-0000-0000-0000EC8D0000}"/>
    <cellStyle name="Normal 40 4 2 4 2" xfId="37469" xr:uid="{00000000-0005-0000-0000-0000ED8D0000}"/>
    <cellStyle name="Normal 40 4 2 5" xfId="20121" xr:uid="{00000000-0005-0000-0000-0000EE8D0000}"/>
    <cellStyle name="Normal 40 4 2 5 2" xfId="37470" xr:uid="{00000000-0005-0000-0000-0000EF8D0000}"/>
    <cellStyle name="Normal 40 4 2 6" xfId="20122" xr:uid="{00000000-0005-0000-0000-0000F08D0000}"/>
    <cellStyle name="Normal 40 4 2 6 2" xfId="37471" xr:uid="{00000000-0005-0000-0000-0000F18D0000}"/>
    <cellStyle name="Normal 40 4 2 7" xfId="20123" xr:uid="{00000000-0005-0000-0000-0000F28D0000}"/>
    <cellStyle name="Normal 40 4 2 7 2" xfId="37472" xr:uid="{00000000-0005-0000-0000-0000F38D0000}"/>
    <cellStyle name="Normal 40 4 2 8" xfId="20124" xr:uid="{00000000-0005-0000-0000-0000F48D0000}"/>
    <cellStyle name="Normal 40 4 2 8 2" xfId="37473" xr:uid="{00000000-0005-0000-0000-0000F58D0000}"/>
    <cellStyle name="Normal 40 4 2 9" xfId="20125" xr:uid="{00000000-0005-0000-0000-0000F68D0000}"/>
    <cellStyle name="Normal 40 4 2 9 2" xfId="37474" xr:uid="{00000000-0005-0000-0000-0000F78D0000}"/>
    <cellStyle name="Normal 40 4 3" xfId="20126" xr:uid="{00000000-0005-0000-0000-0000F88D0000}"/>
    <cellStyle name="Normal 40 4 3 2" xfId="37475" xr:uid="{00000000-0005-0000-0000-0000F98D0000}"/>
    <cellStyle name="Normal 40 4 4" xfId="20127" xr:uid="{00000000-0005-0000-0000-0000FA8D0000}"/>
    <cellStyle name="Normal 40 4 4 2" xfId="37476" xr:uid="{00000000-0005-0000-0000-0000FB8D0000}"/>
    <cellStyle name="Normal 40 4 5" xfId="20128" xr:uid="{00000000-0005-0000-0000-0000FC8D0000}"/>
    <cellStyle name="Normal 40 4 5 2" xfId="37477" xr:uid="{00000000-0005-0000-0000-0000FD8D0000}"/>
    <cellStyle name="Normal 40 4 6" xfId="20129" xr:uid="{00000000-0005-0000-0000-0000FE8D0000}"/>
    <cellStyle name="Normal 40 4 6 2" xfId="37478" xr:uid="{00000000-0005-0000-0000-0000FF8D0000}"/>
    <cellStyle name="Normal 40 4 7" xfId="20130" xr:uid="{00000000-0005-0000-0000-0000008E0000}"/>
    <cellStyle name="Normal 40 4 7 2" xfId="37479" xr:uid="{00000000-0005-0000-0000-0000018E0000}"/>
    <cellStyle name="Normal 40 4 8" xfId="20131" xr:uid="{00000000-0005-0000-0000-0000028E0000}"/>
    <cellStyle name="Normal 40 4 8 2" xfId="37480" xr:uid="{00000000-0005-0000-0000-0000038E0000}"/>
    <cellStyle name="Normal 40 4 9" xfId="20132" xr:uid="{00000000-0005-0000-0000-0000048E0000}"/>
    <cellStyle name="Normal 40 4 9 2" xfId="37481" xr:uid="{00000000-0005-0000-0000-0000058E0000}"/>
    <cellStyle name="Normal 40 5" xfId="20133" xr:uid="{00000000-0005-0000-0000-0000068E0000}"/>
    <cellStyle name="Normal 40 5 10" xfId="20134" xr:uid="{00000000-0005-0000-0000-0000078E0000}"/>
    <cellStyle name="Normal 40 5 10 2" xfId="37483" xr:uid="{00000000-0005-0000-0000-0000088E0000}"/>
    <cellStyle name="Normal 40 5 11" xfId="20135" xr:uid="{00000000-0005-0000-0000-0000098E0000}"/>
    <cellStyle name="Normal 40 5 11 2" xfId="37484" xr:uid="{00000000-0005-0000-0000-00000A8E0000}"/>
    <cellStyle name="Normal 40 5 12" xfId="20136" xr:uid="{00000000-0005-0000-0000-00000B8E0000}"/>
    <cellStyle name="Normal 40 5 12 2" xfId="37485" xr:uid="{00000000-0005-0000-0000-00000C8E0000}"/>
    <cellStyle name="Normal 40 5 13" xfId="20137" xr:uid="{00000000-0005-0000-0000-00000D8E0000}"/>
    <cellStyle name="Normal 40 5 13 2" xfId="37486" xr:uid="{00000000-0005-0000-0000-00000E8E0000}"/>
    <cellStyle name="Normal 40 5 14" xfId="20138" xr:uid="{00000000-0005-0000-0000-00000F8E0000}"/>
    <cellStyle name="Normal 40 5 14 2" xfId="37487" xr:uid="{00000000-0005-0000-0000-0000108E0000}"/>
    <cellStyle name="Normal 40 5 15" xfId="20139" xr:uid="{00000000-0005-0000-0000-0000118E0000}"/>
    <cellStyle name="Normal 40 5 15 2" xfId="37488" xr:uid="{00000000-0005-0000-0000-0000128E0000}"/>
    <cellStyle name="Normal 40 5 16" xfId="37482" xr:uid="{00000000-0005-0000-0000-0000138E0000}"/>
    <cellStyle name="Normal 40 5 2" xfId="20140" xr:uid="{00000000-0005-0000-0000-0000148E0000}"/>
    <cellStyle name="Normal 40 5 2 10" xfId="20141" xr:uid="{00000000-0005-0000-0000-0000158E0000}"/>
    <cellStyle name="Normal 40 5 2 10 2" xfId="37490" xr:uid="{00000000-0005-0000-0000-0000168E0000}"/>
    <cellStyle name="Normal 40 5 2 11" xfId="20142" xr:uid="{00000000-0005-0000-0000-0000178E0000}"/>
    <cellStyle name="Normal 40 5 2 11 2" xfId="37491" xr:uid="{00000000-0005-0000-0000-0000188E0000}"/>
    <cellStyle name="Normal 40 5 2 12" xfId="20143" xr:uid="{00000000-0005-0000-0000-0000198E0000}"/>
    <cellStyle name="Normal 40 5 2 12 2" xfId="37492" xr:uid="{00000000-0005-0000-0000-00001A8E0000}"/>
    <cellStyle name="Normal 40 5 2 13" xfId="20144" xr:uid="{00000000-0005-0000-0000-00001B8E0000}"/>
    <cellStyle name="Normal 40 5 2 13 2" xfId="37493" xr:uid="{00000000-0005-0000-0000-00001C8E0000}"/>
    <cellStyle name="Normal 40 5 2 14" xfId="20145" xr:uid="{00000000-0005-0000-0000-00001D8E0000}"/>
    <cellStyle name="Normal 40 5 2 14 2" xfId="37494" xr:uid="{00000000-0005-0000-0000-00001E8E0000}"/>
    <cellStyle name="Normal 40 5 2 15" xfId="37489" xr:uid="{00000000-0005-0000-0000-00001F8E0000}"/>
    <cellStyle name="Normal 40 5 2 2" xfId="20146" xr:uid="{00000000-0005-0000-0000-0000208E0000}"/>
    <cellStyle name="Normal 40 5 2 2 2" xfId="37495" xr:uid="{00000000-0005-0000-0000-0000218E0000}"/>
    <cellStyle name="Normal 40 5 2 3" xfId="20147" xr:uid="{00000000-0005-0000-0000-0000228E0000}"/>
    <cellStyle name="Normal 40 5 2 3 2" xfId="37496" xr:uid="{00000000-0005-0000-0000-0000238E0000}"/>
    <cellStyle name="Normal 40 5 2 4" xfId="20148" xr:uid="{00000000-0005-0000-0000-0000248E0000}"/>
    <cellStyle name="Normal 40 5 2 4 2" xfId="37497" xr:uid="{00000000-0005-0000-0000-0000258E0000}"/>
    <cellStyle name="Normal 40 5 2 5" xfId="20149" xr:uid="{00000000-0005-0000-0000-0000268E0000}"/>
    <cellStyle name="Normal 40 5 2 5 2" xfId="37498" xr:uid="{00000000-0005-0000-0000-0000278E0000}"/>
    <cellStyle name="Normal 40 5 2 6" xfId="20150" xr:uid="{00000000-0005-0000-0000-0000288E0000}"/>
    <cellStyle name="Normal 40 5 2 6 2" xfId="37499" xr:uid="{00000000-0005-0000-0000-0000298E0000}"/>
    <cellStyle name="Normal 40 5 2 7" xfId="20151" xr:uid="{00000000-0005-0000-0000-00002A8E0000}"/>
    <cellStyle name="Normal 40 5 2 7 2" xfId="37500" xr:uid="{00000000-0005-0000-0000-00002B8E0000}"/>
    <cellStyle name="Normal 40 5 2 8" xfId="20152" xr:uid="{00000000-0005-0000-0000-00002C8E0000}"/>
    <cellStyle name="Normal 40 5 2 8 2" xfId="37501" xr:uid="{00000000-0005-0000-0000-00002D8E0000}"/>
    <cellStyle name="Normal 40 5 2 9" xfId="20153" xr:uid="{00000000-0005-0000-0000-00002E8E0000}"/>
    <cellStyle name="Normal 40 5 2 9 2" xfId="37502" xr:uid="{00000000-0005-0000-0000-00002F8E0000}"/>
    <cellStyle name="Normal 40 5 3" xfId="20154" xr:uid="{00000000-0005-0000-0000-0000308E0000}"/>
    <cellStyle name="Normal 40 5 3 2" xfId="37503" xr:uid="{00000000-0005-0000-0000-0000318E0000}"/>
    <cellStyle name="Normal 40 5 4" xfId="20155" xr:uid="{00000000-0005-0000-0000-0000328E0000}"/>
    <cellStyle name="Normal 40 5 4 2" xfId="37504" xr:uid="{00000000-0005-0000-0000-0000338E0000}"/>
    <cellStyle name="Normal 40 5 5" xfId="20156" xr:uid="{00000000-0005-0000-0000-0000348E0000}"/>
    <cellStyle name="Normal 40 5 5 2" xfId="37505" xr:uid="{00000000-0005-0000-0000-0000358E0000}"/>
    <cellStyle name="Normal 40 5 6" xfId="20157" xr:uid="{00000000-0005-0000-0000-0000368E0000}"/>
    <cellStyle name="Normal 40 5 6 2" xfId="37506" xr:uid="{00000000-0005-0000-0000-0000378E0000}"/>
    <cellStyle name="Normal 40 5 7" xfId="20158" xr:uid="{00000000-0005-0000-0000-0000388E0000}"/>
    <cellStyle name="Normal 40 5 7 2" xfId="37507" xr:uid="{00000000-0005-0000-0000-0000398E0000}"/>
    <cellStyle name="Normal 40 5 8" xfId="20159" xr:uid="{00000000-0005-0000-0000-00003A8E0000}"/>
    <cellStyle name="Normal 40 5 8 2" xfId="37508" xr:uid="{00000000-0005-0000-0000-00003B8E0000}"/>
    <cellStyle name="Normal 40 5 9" xfId="20160" xr:uid="{00000000-0005-0000-0000-00003C8E0000}"/>
    <cellStyle name="Normal 40 5 9 2" xfId="37509" xr:uid="{00000000-0005-0000-0000-00003D8E0000}"/>
    <cellStyle name="Normal 40 6" xfId="20161" xr:uid="{00000000-0005-0000-0000-00003E8E0000}"/>
    <cellStyle name="Normal 40 6 10" xfId="20162" xr:uid="{00000000-0005-0000-0000-00003F8E0000}"/>
    <cellStyle name="Normal 40 6 10 2" xfId="37511" xr:uid="{00000000-0005-0000-0000-0000408E0000}"/>
    <cellStyle name="Normal 40 6 11" xfId="20163" xr:uid="{00000000-0005-0000-0000-0000418E0000}"/>
    <cellStyle name="Normal 40 6 11 2" xfId="37512" xr:uid="{00000000-0005-0000-0000-0000428E0000}"/>
    <cellStyle name="Normal 40 6 12" xfId="20164" xr:uid="{00000000-0005-0000-0000-0000438E0000}"/>
    <cellStyle name="Normal 40 6 12 2" xfId="37513" xr:uid="{00000000-0005-0000-0000-0000448E0000}"/>
    <cellStyle name="Normal 40 6 13" xfId="20165" xr:uid="{00000000-0005-0000-0000-0000458E0000}"/>
    <cellStyle name="Normal 40 6 13 2" xfId="37514" xr:uid="{00000000-0005-0000-0000-0000468E0000}"/>
    <cellStyle name="Normal 40 6 14" xfId="20166" xr:uid="{00000000-0005-0000-0000-0000478E0000}"/>
    <cellStyle name="Normal 40 6 14 2" xfId="37515" xr:uid="{00000000-0005-0000-0000-0000488E0000}"/>
    <cellStyle name="Normal 40 6 15" xfId="20167" xr:uid="{00000000-0005-0000-0000-0000498E0000}"/>
    <cellStyle name="Normal 40 6 15 2" xfId="37516" xr:uid="{00000000-0005-0000-0000-00004A8E0000}"/>
    <cellStyle name="Normal 40 6 16" xfId="37510" xr:uid="{00000000-0005-0000-0000-00004B8E0000}"/>
    <cellStyle name="Normal 40 6 2" xfId="20168" xr:uid="{00000000-0005-0000-0000-00004C8E0000}"/>
    <cellStyle name="Normal 40 6 2 10" xfId="20169" xr:uid="{00000000-0005-0000-0000-00004D8E0000}"/>
    <cellStyle name="Normal 40 6 2 10 2" xfId="37518" xr:uid="{00000000-0005-0000-0000-00004E8E0000}"/>
    <cellStyle name="Normal 40 6 2 11" xfId="20170" xr:uid="{00000000-0005-0000-0000-00004F8E0000}"/>
    <cellStyle name="Normal 40 6 2 11 2" xfId="37519" xr:uid="{00000000-0005-0000-0000-0000508E0000}"/>
    <cellStyle name="Normal 40 6 2 12" xfId="20171" xr:uid="{00000000-0005-0000-0000-0000518E0000}"/>
    <cellStyle name="Normal 40 6 2 12 2" xfId="37520" xr:uid="{00000000-0005-0000-0000-0000528E0000}"/>
    <cellStyle name="Normal 40 6 2 13" xfId="20172" xr:uid="{00000000-0005-0000-0000-0000538E0000}"/>
    <cellStyle name="Normal 40 6 2 13 2" xfId="37521" xr:uid="{00000000-0005-0000-0000-0000548E0000}"/>
    <cellStyle name="Normal 40 6 2 14" xfId="20173" xr:uid="{00000000-0005-0000-0000-0000558E0000}"/>
    <cellStyle name="Normal 40 6 2 14 2" xfId="37522" xr:uid="{00000000-0005-0000-0000-0000568E0000}"/>
    <cellStyle name="Normal 40 6 2 15" xfId="37517" xr:uid="{00000000-0005-0000-0000-0000578E0000}"/>
    <cellStyle name="Normal 40 6 2 2" xfId="20174" xr:uid="{00000000-0005-0000-0000-0000588E0000}"/>
    <cellStyle name="Normal 40 6 2 2 2" xfId="37523" xr:uid="{00000000-0005-0000-0000-0000598E0000}"/>
    <cellStyle name="Normal 40 6 2 3" xfId="20175" xr:uid="{00000000-0005-0000-0000-00005A8E0000}"/>
    <cellStyle name="Normal 40 6 2 3 2" xfId="37524" xr:uid="{00000000-0005-0000-0000-00005B8E0000}"/>
    <cellStyle name="Normal 40 6 2 4" xfId="20176" xr:uid="{00000000-0005-0000-0000-00005C8E0000}"/>
    <cellStyle name="Normal 40 6 2 4 2" xfId="37525" xr:uid="{00000000-0005-0000-0000-00005D8E0000}"/>
    <cellStyle name="Normal 40 6 2 5" xfId="20177" xr:uid="{00000000-0005-0000-0000-00005E8E0000}"/>
    <cellStyle name="Normal 40 6 2 5 2" xfId="37526" xr:uid="{00000000-0005-0000-0000-00005F8E0000}"/>
    <cellStyle name="Normal 40 6 2 6" xfId="20178" xr:uid="{00000000-0005-0000-0000-0000608E0000}"/>
    <cellStyle name="Normal 40 6 2 6 2" xfId="37527" xr:uid="{00000000-0005-0000-0000-0000618E0000}"/>
    <cellStyle name="Normal 40 6 2 7" xfId="20179" xr:uid="{00000000-0005-0000-0000-0000628E0000}"/>
    <cellStyle name="Normal 40 6 2 7 2" xfId="37528" xr:uid="{00000000-0005-0000-0000-0000638E0000}"/>
    <cellStyle name="Normal 40 6 2 8" xfId="20180" xr:uid="{00000000-0005-0000-0000-0000648E0000}"/>
    <cellStyle name="Normal 40 6 2 8 2" xfId="37529" xr:uid="{00000000-0005-0000-0000-0000658E0000}"/>
    <cellStyle name="Normal 40 6 2 9" xfId="20181" xr:uid="{00000000-0005-0000-0000-0000668E0000}"/>
    <cellStyle name="Normal 40 6 2 9 2" xfId="37530" xr:uid="{00000000-0005-0000-0000-0000678E0000}"/>
    <cellStyle name="Normal 40 6 3" xfId="20182" xr:uid="{00000000-0005-0000-0000-0000688E0000}"/>
    <cellStyle name="Normal 40 6 3 2" xfId="37531" xr:uid="{00000000-0005-0000-0000-0000698E0000}"/>
    <cellStyle name="Normal 40 6 4" xfId="20183" xr:uid="{00000000-0005-0000-0000-00006A8E0000}"/>
    <cellStyle name="Normal 40 6 4 2" xfId="37532" xr:uid="{00000000-0005-0000-0000-00006B8E0000}"/>
    <cellStyle name="Normal 40 6 5" xfId="20184" xr:uid="{00000000-0005-0000-0000-00006C8E0000}"/>
    <cellStyle name="Normal 40 6 5 2" xfId="37533" xr:uid="{00000000-0005-0000-0000-00006D8E0000}"/>
    <cellStyle name="Normal 40 6 6" xfId="20185" xr:uid="{00000000-0005-0000-0000-00006E8E0000}"/>
    <cellStyle name="Normal 40 6 6 2" xfId="37534" xr:uid="{00000000-0005-0000-0000-00006F8E0000}"/>
    <cellStyle name="Normal 40 6 7" xfId="20186" xr:uid="{00000000-0005-0000-0000-0000708E0000}"/>
    <cellStyle name="Normal 40 6 7 2" xfId="37535" xr:uid="{00000000-0005-0000-0000-0000718E0000}"/>
    <cellStyle name="Normal 40 6 8" xfId="20187" xr:uid="{00000000-0005-0000-0000-0000728E0000}"/>
    <cellStyle name="Normal 40 6 8 2" xfId="37536" xr:uid="{00000000-0005-0000-0000-0000738E0000}"/>
    <cellStyle name="Normal 40 6 9" xfId="20188" xr:uid="{00000000-0005-0000-0000-0000748E0000}"/>
    <cellStyle name="Normal 40 6 9 2" xfId="37537" xr:uid="{00000000-0005-0000-0000-0000758E0000}"/>
    <cellStyle name="Normal 40 7" xfId="20189" xr:uid="{00000000-0005-0000-0000-0000768E0000}"/>
    <cellStyle name="Normal 40 7 10" xfId="20190" xr:uid="{00000000-0005-0000-0000-0000778E0000}"/>
    <cellStyle name="Normal 40 7 10 2" xfId="37539" xr:uid="{00000000-0005-0000-0000-0000788E0000}"/>
    <cellStyle name="Normal 40 7 11" xfId="20191" xr:uid="{00000000-0005-0000-0000-0000798E0000}"/>
    <cellStyle name="Normal 40 7 11 2" xfId="37540" xr:uid="{00000000-0005-0000-0000-00007A8E0000}"/>
    <cellStyle name="Normal 40 7 12" xfId="20192" xr:uid="{00000000-0005-0000-0000-00007B8E0000}"/>
    <cellStyle name="Normal 40 7 12 2" xfId="37541" xr:uid="{00000000-0005-0000-0000-00007C8E0000}"/>
    <cellStyle name="Normal 40 7 13" xfId="20193" xr:uid="{00000000-0005-0000-0000-00007D8E0000}"/>
    <cellStyle name="Normal 40 7 13 2" xfId="37542" xr:uid="{00000000-0005-0000-0000-00007E8E0000}"/>
    <cellStyle name="Normal 40 7 14" xfId="20194" xr:uid="{00000000-0005-0000-0000-00007F8E0000}"/>
    <cellStyle name="Normal 40 7 14 2" xfId="37543" xr:uid="{00000000-0005-0000-0000-0000808E0000}"/>
    <cellStyle name="Normal 40 7 15" xfId="37538" xr:uid="{00000000-0005-0000-0000-0000818E0000}"/>
    <cellStyle name="Normal 40 7 2" xfId="20195" xr:uid="{00000000-0005-0000-0000-0000828E0000}"/>
    <cellStyle name="Normal 40 7 2 2" xfId="37544" xr:uid="{00000000-0005-0000-0000-0000838E0000}"/>
    <cellStyle name="Normal 40 7 3" xfId="20196" xr:uid="{00000000-0005-0000-0000-0000848E0000}"/>
    <cellStyle name="Normal 40 7 3 2" xfId="37545" xr:uid="{00000000-0005-0000-0000-0000858E0000}"/>
    <cellStyle name="Normal 40 7 4" xfId="20197" xr:uid="{00000000-0005-0000-0000-0000868E0000}"/>
    <cellStyle name="Normal 40 7 4 2" xfId="37546" xr:uid="{00000000-0005-0000-0000-0000878E0000}"/>
    <cellStyle name="Normal 40 7 5" xfId="20198" xr:uid="{00000000-0005-0000-0000-0000888E0000}"/>
    <cellStyle name="Normal 40 7 5 2" xfId="37547" xr:uid="{00000000-0005-0000-0000-0000898E0000}"/>
    <cellStyle name="Normal 40 7 6" xfId="20199" xr:uid="{00000000-0005-0000-0000-00008A8E0000}"/>
    <cellStyle name="Normal 40 7 6 2" xfId="37548" xr:uid="{00000000-0005-0000-0000-00008B8E0000}"/>
    <cellStyle name="Normal 40 7 7" xfId="20200" xr:uid="{00000000-0005-0000-0000-00008C8E0000}"/>
    <cellStyle name="Normal 40 7 7 2" xfId="37549" xr:uid="{00000000-0005-0000-0000-00008D8E0000}"/>
    <cellStyle name="Normal 40 7 8" xfId="20201" xr:uid="{00000000-0005-0000-0000-00008E8E0000}"/>
    <cellStyle name="Normal 40 7 8 2" xfId="37550" xr:uid="{00000000-0005-0000-0000-00008F8E0000}"/>
    <cellStyle name="Normal 40 7 9" xfId="20202" xr:uid="{00000000-0005-0000-0000-0000908E0000}"/>
    <cellStyle name="Normal 40 7 9 2" xfId="37551" xr:uid="{00000000-0005-0000-0000-0000918E0000}"/>
    <cellStyle name="Normal 40 8" xfId="20203" xr:uid="{00000000-0005-0000-0000-0000928E0000}"/>
    <cellStyle name="Normal 40 8 10" xfId="20204" xr:uid="{00000000-0005-0000-0000-0000938E0000}"/>
    <cellStyle name="Normal 40 8 10 2" xfId="37553" xr:uid="{00000000-0005-0000-0000-0000948E0000}"/>
    <cellStyle name="Normal 40 8 11" xfId="20205" xr:uid="{00000000-0005-0000-0000-0000958E0000}"/>
    <cellStyle name="Normal 40 8 11 2" xfId="37554" xr:uid="{00000000-0005-0000-0000-0000968E0000}"/>
    <cellStyle name="Normal 40 8 12" xfId="20206" xr:uid="{00000000-0005-0000-0000-0000978E0000}"/>
    <cellStyle name="Normal 40 8 12 2" xfId="37555" xr:uid="{00000000-0005-0000-0000-0000988E0000}"/>
    <cellStyle name="Normal 40 8 13" xfId="20207" xr:uid="{00000000-0005-0000-0000-0000998E0000}"/>
    <cellStyle name="Normal 40 8 13 2" xfId="37556" xr:uid="{00000000-0005-0000-0000-00009A8E0000}"/>
    <cellStyle name="Normal 40 8 14" xfId="20208" xr:uid="{00000000-0005-0000-0000-00009B8E0000}"/>
    <cellStyle name="Normal 40 8 14 2" xfId="37557" xr:uid="{00000000-0005-0000-0000-00009C8E0000}"/>
    <cellStyle name="Normal 40 8 15" xfId="37552" xr:uid="{00000000-0005-0000-0000-00009D8E0000}"/>
    <cellStyle name="Normal 40 8 2" xfId="20209" xr:uid="{00000000-0005-0000-0000-00009E8E0000}"/>
    <cellStyle name="Normal 40 8 2 2" xfId="37558" xr:uid="{00000000-0005-0000-0000-00009F8E0000}"/>
    <cellStyle name="Normal 40 8 3" xfId="20210" xr:uid="{00000000-0005-0000-0000-0000A08E0000}"/>
    <cellStyle name="Normal 40 8 3 2" xfId="37559" xr:uid="{00000000-0005-0000-0000-0000A18E0000}"/>
    <cellStyle name="Normal 40 8 4" xfId="20211" xr:uid="{00000000-0005-0000-0000-0000A28E0000}"/>
    <cellStyle name="Normal 40 8 4 2" xfId="37560" xr:uid="{00000000-0005-0000-0000-0000A38E0000}"/>
    <cellStyle name="Normal 40 8 5" xfId="20212" xr:uid="{00000000-0005-0000-0000-0000A48E0000}"/>
    <cellStyle name="Normal 40 8 5 2" xfId="37561" xr:uid="{00000000-0005-0000-0000-0000A58E0000}"/>
    <cellStyle name="Normal 40 8 6" xfId="20213" xr:uid="{00000000-0005-0000-0000-0000A68E0000}"/>
    <cellStyle name="Normal 40 8 6 2" xfId="37562" xr:uid="{00000000-0005-0000-0000-0000A78E0000}"/>
    <cellStyle name="Normal 40 8 7" xfId="20214" xr:uid="{00000000-0005-0000-0000-0000A88E0000}"/>
    <cellStyle name="Normal 40 8 7 2" xfId="37563" xr:uid="{00000000-0005-0000-0000-0000A98E0000}"/>
    <cellStyle name="Normal 40 8 8" xfId="20215" xr:uid="{00000000-0005-0000-0000-0000AA8E0000}"/>
    <cellStyle name="Normal 40 8 8 2" xfId="37564" xr:uid="{00000000-0005-0000-0000-0000AB8E0000}"/>
    <cellStyle name="Normal 40 8 9" xfId="20216" xr:uid="{00000000-0005-0000-0000-0000AC8E0000}"/>
    <cellStyle name="Normal 40 8 9 2" xfId="37565" xr:uid="{00000000-0005-0000-0000-0000AD8E0000}"/>
    <cellStyle name="Normal 40 9" xfId="20217" xr:uid="{00000000-0005-0000-0000-0000AE8E0000}"/>
    <cellStyle name="Normal 40 9 10" xfId="20218" xr:uid="{00000000-0005-0000-0000-0000AF8E0000}"/>
    <cellStyle name="Normal 40 9 10 2" xfId="37567" xr:uid="{00000000-0005-0000-0000-0000B08E0000}"/>
    <cellStyle name="Normal 40 9 11" xfId="20219" xr:uid="{00000000-0005-0000-0000-0000B18E0000}"/>
    <cellStyle name="Normal 40 9 11 2" xfId="37568" xr:uid="{00000000-0005-0000-0000-0000B28E0000}"/>
    <cellStyle name="Normal 40 9 12" xfId="20220" xr:uid="{00000000-0005-0000-0000-0000B38E0000}"/>
    <cellStyle name="Normal 40 9 12 2" xfId="37569" xr:uid="{00000000-0005-0000-0000-0000B48E0000}"/>
    <cellStyle name="Normal 40 9 13" xfId="20221" xr:uid="{00000000-0005-0000-0000-0000B58E0000}"/>
    <cellStyle name="Normal 40 9 13 2" xfId="37570" xr:uid="{00000000-0005-0000-0000-0000B68E0000}"/>
    <cellStyle name="Normal 40 9 14" xfId="20222" xr:uid="{00000000-0005-0000-0000-0000B78E0000}"/>
    <cellStyle name="Normal 40 9 14 2" xfId="37571" xr:uid="{00000000-0005-0000-0000-0000B88E0000}"/>
    <cellStyle name="Normal 40 9 15" xfId="37566" xr:uid="{00000000-0005-0000-0000-0000B98E0000}"/>
    <cellStyle name="Normal 40 9 2" xfId="20223" xr:uid="{00000000-0005-0000-0000-0000BA8E0000}"/>
    <cellStyle name="Normal 40 9 2 2" xfId="37572" xr:uid="{00000000-0005-0000-0000-0000BB8E0000}"/>
    <cellStyle name="Normal 40 9 3" xfId="20224" xr:uid="{00000000-0005-0000-0000-0000BC8E0000}"/>
    <cellStyle name="Normal 40 9 3 2" xfId="37573" xr:uid="{00000000-0005-0000-0000-0000BD8E0000}"/>
    <cellStyle name="Normal 40 9 4" xfId="20225" xr:uid="{00000000-0005-0000-0000-0000BE8E0000}"/>
    <cellStyle name="Normal 40 9 4 2" xfId="37574" xr:uid="{00000000-0005-0000-0000-0000BF8E0000}"/>
    <cellStyle name="Normal 40 9 5" xfId="20226" xr:uid="{00000000-0005-0000-0000-0000C08E0000}"/>
    <cellStyle name="Normal 40 9 5 2" xfId="37575" xr:uid="{00000000-0005-0000-0000-0000C18E0000}"/>
    <cellStyle name="Normal 40 9 6" xfId="20227" xr:uid="{00000000-0005-0000-0000-0000C28E0000}"/>
    <cellStyle name="Normal 40 9 6 2" xfId="37576" xr:uid="{00000000-0005-0000-0000-0000C38E0000}"/>
    <cellStyle name="Normal 40 9 7" xfId="20228" xr:uid="{00000000-0005-0000-0000-0000C48E0000}"/>
    <cellStyle name="Normal 40 9 7 2" xfId="37577" xr:uid="{00000000-0005-0000-0000-0000C58E0000}"/>
    <cellStyle name="Normal 40 9 8" xfId="20229" xr:uid="{00000000-0005-0000-0000-0000C68E0000}"/>
    <cellStyle name="Normal 40 9 8 2" xfId="37578" xr:uid="{00000000-0005-0000-0000-0000C78E0000}"/>
    <cellStyle name="Normal 40 9 9" xfId="20230" xr:uid="{00000000-0005-0000-0000-0000C88E0000}"/>
    <cellStyle name="Normal 40 9 9 2" xfId="37579" xr:uid="{00000000-0005-0000-0000-0000C98E0000}"/>
    <cellStyle name="Normal 41" xfId="71" xr:uid="{00000000-0005-0000-0000-0000CA8E0000}"/>
    <cellStyle name="Normal 41 2" xfId="229" xr:uid="{00000000-0005-0000-0000-0000CB8E0000}"/>
    <cellStyle name="Normal 41 3" xfId="20231" xr:uid="{00000000-0005-0000-0000-0000CC8E0000}"/>
    <cellStyle name="Normal 42" xfId="72" xr:uid="{00000000-0005-0000-0000-0000CD8E0000}"/>
    <cellStyle name="Normal 42 2" xfId="230" xr:uid="{00000000-0005-0000-0000-0000CE8E0000}"/>
    <cellStyle name="Normal 43" xfId="73" xr:uid="{00000000-0005-0000-0000-0000CF8E0000}"/>
    <cellStyle name="Normal 43 2" xfId="231" xr:uid="{00000000-0005-0000-0000-0000D08E0000}"/>
    <cellStyle name="Normal 44" xfId="74" xr:uid="{00000000-0005-0000-0000-0000D18E0000}"/>
    <cellStyle name="Normal 44 2" xfId="232" xr:uid="{00000000-0005-0000-0000-0000D28E0000}"/>
    <cellStyle name="Normal 45" xfId="75" xr:uid="{00000000-0005-0000-0000-0000D38E0000}"/>
    <cellStyle name="Normal 45 2" xfId="233" xr:uid="{00000000-0005-0000-0000-0000D48E0000}"/>
    <cellStyle name="Normal 46" xfId="76" xr:uid="{00000000-0005-0000-0000-0000D58E0000}"/>
    <cellStyle name="Normal 46 2" xfId="234" xr:uid="{00000000-0005-0000-0000-0000D68E0000}"/>
    <cellStyle name="Normal 47" xfId="77" xr:uid="{00000000-0005-0000-0000-0000D78E0000}"/>
    <cellStyle name="Normal 47 2" xfId="235" xr:uid="{00000000-0005-0000-0000-0000D88E0000}"/>
    <cellStyle name="Normal 48" xfId="78" xr:uid="{00000000-0005-0000-0000-0000D98E0000}"/>
    <cellStyle name="Normal 48 2" xfId="236" xr:uid="{00000000-0005-0000-0000-0000DA8E0000}"/>
    <cellStyle name="Normal 49" xfId="79" xr:uid="{00000000-0005-0000-0000-0000DB8E0000}"/>
    <cellStyle name="Normal 49 2" xfId="237" xr:uid="{00000000-0005-0000-0000-0000DC8E0000}"/>
    <cellStyle name="Normal 5" xfId="80" xr:uid="{00000000-0005-0000-0000-0000DD8E0000}"/>
    <cellStyle name="Normal 5 10" xfId="20232" xr:uid="{00000000-0005-0000-0000-0000DE8E0000}"/>
    <cellStyle name="Normal 5 11" xfId="20233" xr:uid="{00000000-0005-0000-0000-0000DF8E0000}"/>
    <cellStyle name="Normal 5 12" xfId="20234" xr:uid="{00000000-0005-0000-0000-0000E08E0000}"/>
    <cellStyle name="Normal 5 13" xfId="20235" xr:uid="{00000000-0005-0000-0000-0000E18E0000}"/>
    <cellStyle name="Normal 5 14" xfId="20236" xr:uid="{00000000-0005-0000-0000-0000E28E0000}"/>
    <cellStyle name="Normal 5 15" xfId="20237" xr:uid="{00000000-0005-0000-0000-0000E38E0000}"/>
    <cellStyle name="Normal 5 16" xfId="20238" xr:uid="{00000000-0005-0000-0000-0000E48E0000}"/>
    <cellStyle name="Normal 5 17" xfId="20239" xr:uid="{00000000-0005-0000-0000-0000E58E0000}"/>
    <cellStyle name="Normal 5 18" xfId="20240" xr:uid="{00000000-0005-0000-0000-0000E68E0000}"/>
    <cellStyle name="Normal 5 19" xfId="20241" xr:uid="{00000000-0005-0000-0000-0000E78E0000}"/>
    <cellStyle name="Normal 5 2" xfId="81" xr:uid="{00000000-0005-0000-0000-0000E88E0000}"/>
    <cellStyle name="Normal 5 2 10" xfId="20242" xr:uid="{00000000-0005-0000-0000-0000E98E0000}"/>
    <cellStyle name="Normal 5 2 11" xfId="20243" xr:uid="{00000000-0005-0000-0000-0000EA8E0000}"/>
    <cellStyle name="Normal 5 2 12" xfId="20244" xr:uid="{00000000-0005-0000-0000-0000EB8E0000}"/>
    <cellStyle name="Normal 5 2 13" xfId="20245" xr:uid="{00000000-0005-0000-0000-0000EC8E0000}"/>
    <cellStyle name="Normal 5 2 14" xfId="37680" xr:uid="{00000000-0005-0000-0000-0000ED8E0000}"/>
    <cellStyle name="Normal 5 2 2" xfId="20246" xr:uid="{00000000-0005-0000-0000-0000EE8E0000}"/>
    <cellStyle name="Normal 5 2 2 10" xfId="20247" xr:uid="{00000000-0005-0000-0000-0000EF8E0000}"/>
    <cellStyle name="Normal 5 2 2 2" xfId="20248" xr:uid="{00000000-0005-0000-0000-0000F08E0000}"/>
    <cellStyle name="Normal 5 2 2 2 2" xfId="20249" xr:uid="{00000000-0005-0000-0000-0000F18E0000}"/>
    <cellStyle name="Normal 5 2 2 2 3" xfId="20250" xr:uid="{00000000-0005-0000-0000-0000F28E0000}"/>
    <cellStyle name="Normal 5 2 2 2 4" xfId="20251" xr:uid="{00000000-0005-0000-0000-0000F38E0000}"/>
    <cellStyle name="Normal 5 2 2 3" xfId="20252" xr:uid="{00000000-0005-0000-0000-0000F48E0000}"/>
    <cellStyle name="Normal 5 2 2 4" xfId="20253" xr:uid="{00000000-0005-0000-0000-0000F58E0000}"/>
    <cellStyle name="Normal 5 2 2 5" xfId="20254" xr:uid="{00000000-0005-0000-0000-0000F68E0000}"/>
    <cellStyle name="Normal 5 2 2 6" xfId="20255" xr:uid="{00000000-0005-0000-0000-0000F78E0000}"/>
    <cellStyle name="Normal 5 2 2 7" xfId="20256" xr:uid="{00000000-0005-0000-0000-0000F88E0000}"/>
    <cellStyle name="Normal 5 2 2 8" xfId="20257" xr:uid="{00000000-0005-0000-0000-0000F98E0000}"/>
    <cellStyle name="Normal 5 2 2 9" xfId="20258" xr:uid="{00000000-0005-0000-0000-0000FA8E0000}"/>
    <cellStyle name="Normal 5 2 3" xfId="20259" xr:uid="{00000000-0005-0000-0000-0000FB8E0000}"/>
    <cellStyle name="Normal 5 2 4" xfId="20260" xr:uid="{00000000-0005-0000-0000-0000FC8E0000}"/>
    <cellStyle name="Normal 5 2 5" xfId="20261" xr:uid="{00000000-0005-0000-0000-0000FD8E0000}"/>
    <cellStyle name="Normal 5 2 6" xfId="20262" xr:uid="{00000000-0005-0000-0000-0000FE8E0000}"/>
    <cellStyle name="Normal 5 2 6 2" xfId="20263" xr:uid="{00000000-0005-0000-0000-0000FF8E0000}"/>
    <cellStyle name="Normal 5 2 6 3" xfId="20264" xr:uid="{00000000-0005-0000-0000-0000008F0000}"/>
    <cellStyle name="Normal 5 2 6 4" xfId="20265" xr:uid="{00000000-0005-0000-0000-0000018F0000}"/>
    <cellStyle name="Normal 5 2 7" xfId="20266" xr:uid="{00000000-0005-0000-0000-0000028F0000}"/>
    <cellStyle name="Normal 5 2 8" xfId="20267" xr:uid="{00000000-0005-0000-0000-0000038F0000}"/>
    <cellStyle name="Normal 5 2 9" xfId="20268" xr:uid="{00000000-0005-0000-0000-0000048F0000}"/>
    <cellStyle name="Normal 5 20" xfId="20269" xr:uid="{00000000-0005-0000-0000-0000058F0000}"/>
    <cellStyle name="Normal 5 20 2" xfId="37581" xr:uid="{00000000-0005-0000-0000-0000068F0000}"/>
    <cellStyle name="Normal 5 21" xfId="20270" xr:uid="{00000000-0005-0000-0000-0000078F0000}"/>
    <cellStyle name="Normal 5 21 2" xfId="37582" xr:uid="{00000000-0005-0000-0000-0000088F0000}"/>
    <cellStyle name="Normal 5 22" xfId="20271" xr:uid="{00000000-0005-0000-0000-0000098F0000}"/>
    <cellStyle name="Normal 5 22 2" xfId="37583" xr:uid="{00000000-0005-0000-0000-00000A8F0000}"/>
    <cellStyle name="Normal 5 23" xfId="20272" xr:uid="{00000000-0005-0000-0000-00000B8F0000}"/>
    <cellStyle name="Normal 5 23 2" xfId="37584" xr:uid="{00000000-0005-0000-0000-00000C8F0000}"/>
    <cellStyle name="Normal 5 24" xfId="20273" xr:uid="{00000000-0005-0000-0000-00000D8F0000}"/>
    <cellStyle name="Normal 5 24 2" xfId="37585" xr:uid="{00000000-0005-0000-0000-00000E8F0000}"/>
    <cellStyle name="Normal 5 25" xfId="20274" xr:uid="{00000000-0005-0000-0000-00000F8F0000}"/>
    <cellStyle name="Normal 5 25 2" xfId="37586" xr:uid="{00000000-0005-0000-0000-0000108F0000}"/>
    <cellStyle name="Normal 5 26" xfId="20275" xr:uid="{00000000-0005-0000-0000-0000118F0000}"/>
    <cellStyle name="Normal 5 26 2" xfId="37587" xr:uid="{00000000-0005-0000-0000-0000128F0000}"/>
    <cellStyle name="Normal 5 27" xfId="20276" xr:uid="{00000000-0005-0000-0000-0000138F0000}"/>
    <cellStyle name="Normal 5 27 2" xfId="37588" xr:uid="{00000000-0005-0000-0000-0000148F0000}"/>
    <cellStyle name="Normal 5 28" xfId="20277" xr:uid="{00000000-0005-0000-0000-0000158F0000}"/>
    <cellStyle name="Normal 5 28 2" xfId="37589" xr:uid="{00000000-0005-0000-0000-0000168F0000}"/>
    <cellStyle name="Normal 5 29" xfId="20278" xr:uid="{00000000-0005-0000-0000-0000178F0000}"/>
    <cellStyle name="Normal 5 29 2" xfId="37590" xr:uid="{00000000-0005-0000-0000-0000188F0000}"/>
    <cellStyle name="Normal 5 3" xfId="82" xr:uid="{00000000-0005-0000-0000-0000198F0000}"/>
    <cellStyle name="Normal 5 3 2" xfId="585" xr:uid="{00000000-0005-0000-0000-00001A8F0000}"/>
    <cellStyle name="Normal 5 3 3" xfId="498" xr:uid="{00000000-0005-0000-0000-00001B8F0000}"/>
    <cellStyle name="Normal 5 3 3 2" xfId="608" xr:uid="{00000000-0005-0000-0000-00001C8F0000}"/>
    <cellStyle name="Normal 5 3 4" xfId="37681" xr:uid="{00000000-0005-0000-0000-00001D8F0000}"/>
    <cellStyle name="Normal 5 30" xfId="20279" xr:uid="{00000000-0005-0000-0000-00001E8F0000}"/>
    <cellStyle name="Normal 5 30 2" xfId="37591" xr:uid="{00000000-0005-0000-0000-00001F8F0000}"/>
    <cellStyle name="Normal 5 31" xfId="20280" xr:uid="{00000000-0005-0000-0000-0000208F0000}"/>
    <cellStyle name="Normal 5 31 2" xfId="37592" xr:uid="{00000000-0005-0000-0000-0000218F0000}"/>
    <cellStyle name="Normal 5 32" xfId="20281" xr:uid="{00000000-0005-0000-0000-0000228F0000}"/>
    <cellStyle name="Normal 5 32 2" xfId="37593" xr:uid="{00000000-0005-0000-0000-0000238F0000}"/>
    <cellStyle name="Normal 5 33" xfId="37679" xr:uid="{00000000-0005-0000-0000-0000248F0000}"/>
    <cellStyle name="Normal 5 34" xfId="37580" xr:uid="{00000000-0005-0000-0000-0000258F0000}"/>
    <cellStyle name="Normal 5 4" xfId="83" xr:uid="{00000000-0005-0000-0000-0000268F0000}"/>
    <cellStyle name="Normal 5 4 2" xfId="20282" xr:uid="{00000000-0005-0000-0000-0000278F0000}"/>
    <cellStyle name="Normal 5 4 3" xfId="37682" xr:uid="{00000000-0005-0000-0000-0000288F0000}"/>
    <cellStyle name="Normal 5 5" xfId="320" xr:uid="{00000000-0005-0000-0000-0000298F0000}"/>
    <cellStyle name="Normal 5 5 2" xfId="20284" xr:uid="{00000000-0005-0000-0000-00002A8F0000}"/>
    <cellStyle name="Normal 5 5 3" xfId="20283" xr:uid="{00000000-0005-0000-0000-00002B8F0000}"/>
    <cellStyle name="Normal 5 5 4" xfId="514" xr:uid="{00000000-0005-0000-0000-00002C8F0000}"/>
    <cellStyle name="Normal 5 6" xfId="20285" xr:uid="{00000000-0005-0000-0000-00002D8F0000}"/>
    <cellStyle name="Normal 5 7" xfId="20286" xr:uid="{00000000-0005-0000-0000-00002E8F0000}"/>
    <cellStyle name="Normal 5 8" xfId="20287" xr:uid="{00000000-0005-0000-0000-00002F8F0000}"/>
    <cellStyle name="Normal 5 9" xfId="20288" xr:uid="{00000000-0005-0000-0000-0000308F0000}"/>
    <cellStyle name="Normal 50" xfId="84" xr:uid="{00000000-0005-0000-0000-0000318F0000}"/>
    <cellStyle name="Normal 50 2" xfId="238" xr:uid="{00000000-0005-0000-0000-0000328F0000}"/>
    <cellStyle name="Normal 51" xfId="85" xr:uid="{00000000-0005-0000-0000-0000338F0000}"/>
    <cellStyle name="Normal 51 2" xfId="239" xr:uid="{00000000-0005-0000-0000-0000348F0000}"/>
    <cellStyle name="Normal 52" xfId="86" xr:uid="{00000000-0005-0000-0000-0000358F0000}"/>
    <cellStyle name="Normal 52 2" xfId="240" xr:uid="{00000000-0005-0000-0000-0000368F0000}"/>
    <cellStyle name="Normal 53" xfId="87" xr:uid="{00000000-0005-0000-0000-0000378F0000}"/>
    <cellStyle name="Normal 53 2" xfId="241" xr:uid="{00000000-0005-0000-0000-0000388F0000}"/>
    <cellStyle name="Normal 54" xfId="88" xr:uid="{00000000-0005-0000-0000-0000398F0000}"/>
    <cellStyle name="Normal 54 2" xfId="242" xr:uid="{00000000-0005-0000-0000-00003A8F0000}"/>
    <cellStyle name="Normal 55" xfId="89" xr:uid="{00000000-0005-0000-0000-00003B8F0000}"/>
    <cellStyle name="Normal 55 2" xfId="243" xr:uid="{00000000-0005-0000-0000-00003C8F0000}"/>
    <cellStyle name="Normal 56" xfId="90" xr:uid="{00000000-0005-0000-0000-00003D8F0000}"/>
    <cellStyle name="Normal 56 2" xfId="244" xr:uid="{00000000-0005-0000-0000-00003E8F0000}"/>
    <cellStyle name="Normal 57" xfId="91" xr:uid="{00000000-0005-0000-0000-00003F8F0000}"/>
    <cellStyle name="Normal 57 2" xfId="245" xr:uid="{00000000-0005-0000-0000-0000408F0000}"/>
    <cellStyle name="Normal 58" xfId="92" xr:uid="{00000000-0005-0000-0000-0000418F0000}"/>
    <cellStyle name="Normal 58 2" xfId="246" xr:uid="{00000000-0005-0000-0000-0000428F0000}"/>
    <cellStyle name="Normal 59" xfId="93" xr:uid="{00000000-0005-0000-0000-0000438F0000}"/>
    <cellStyle name="Normal 59 2" xfId="247" xr:uid="{00000000-0005-0000-0000-0000448F0000}"/>
    <cellStyle name="Normal 6" xfId="94" xr:uid="{00000000-0005-0000-0000-0000458F0000}"/>
    <cellStyle name="Normal 6 10" xfId="20289" xr:uid="{00000000-0005-0000-0000-0000468F0000}"/>
    <cellStyle name="Normal 6 11" xfId="20290" xr:uid="{00000000-0005-0000-0000-0000478F0000}"/>
    <cellStyle name="Normal 6 12" xfId="20291" xr:uid="{00000000-0005-0000-0000-0000488F0000}"/>
    <cellStyle name="Normal 6 13" xfId="20292" xr:uid="{00000000-0005-0000-0000-0000498F0000}"/>
    <cellStyle name="Normal 6 14" xfId="20293" xr:uid="{00000000-0005-0000-0000-00004A8F0000}"/>
    <cellStyle name="Normal 6 15" xfId="20294" xr:uid="{00000000-0005-0000-0000-00004B8F0000}"/>
    <cellStyle name="Normal 6 16" xfId="20295" xr:uid="{00000000-0005-0000-0000-00004C8F0000}"/>
    <cellStyle name="Normal 6 2" xfId="95" xr:uid="{00000000-0005-0000-0000-00004D8F0000}"/>
    <cellStyle name="Normal 6 2 10" xfId="20296" xr:uid="{00000000-0005-0000-0000-00004E8F0000}"/>
    <cellStyle name="Normal 6 2 11" xfId="20297" xr:uid="{00000000-0005-0000-0000-00004F8F0000}"/>
    <cellStyle name="Normal 6 2 12" xfId="20298" xr:uid="{00000000-0005-0000-0000-0000508F0000}"/>
    <cellStyle name="Normal 6 2 13" xfId="20299" xr:uid="{00000000-0005-0000-0000-0000518F0000}"/>
    <cellStyle name="Normal 6 2 14" xfId="37683" xr:uid="{00000000-0005-0000-0000-0000528F0000}"/>
    <cellStyle name="Normal 6 2 2" xfId="20300" xr:uid="{00000000-0005-0000-0000-0000538F0000}"/>
    <cellStyle name="Normal 6 2 2 10" xfId="20301" xr:uid="{00000000-0005-0000-0000-0000548F0000}"/>
    <cellStyle name="Normal 6 2 2 2" xfId="20302" xr:uid="{00000000-0005-0000-0000-0000558F0000}"/>
    <cellStyle name="Normal 6 2 2 2 2" xfId="20303" xr:uid="{00000000-0005-0000-0000-0000568F0000}"/>
    <cellStyle name="Normal 6 2 2 2 3" xfId="20304" xr:uid="{00000000-0005-0000-0000-0000578F0000}"/>
    <cellStyle name="Normal 6 2 2 2 4" xfId="20305" xr:uid="{00000000-0005-0000-0000-0000588F0000}"/>
    <cellStyle name="Normal 6 2 2 3" xfId="20306" xr:uid="{00000000-0005-0000-0000-0000598F0000}"/>
    <cellStyle name="Normal 6 2 2 4" xfId="20307" xr:uid="{00000000-0005-0000-0000-00005A8F0000}"/>
    <cellStyle name="Normal 6 2 2 5" xfId="20308" xr:uid="{00000000-0005-0000-0000-00005B8F0000}"/>
    <cellStyle name="Normal 6 2 2 6" xfId="20309" xr:uid="{00000000-0005-0000-0000-00005C8F0000}"/>
    <cellStyle name="Normal 6 2 2 7" xfId="20310" xr:uid="{00000000-0005-0000-0000-00005D8F0000}"/>
    <cellStyle name="Normal 6 2 2 8" xfId="20311" xr:uid="{00000000-0005-0000-0000-00005E8F0000}"/>
    <cellStyle name="Normal 6 2 2 9" xfId="20312" xr:uid="{00000000-0005-0000-0000-00005F8F0000}"/>
    <cellStyle name="Normal 6 2 3" xfId="20313" xr:uid="{00000000-0005-0000-0000-0000608F0000}"/>
    <cellStyle name="Normal 6 2 4" xfId="20314" xr:uid="{00000000-0005-0000-0000-0000618F0000}"/>
    <cellStyle name="Normal 6 2 5" xfId="20315" xr:uid="{00000000-0005-0000-0000-0000628F0000}"/>
    <cellStyle name="Normal 6 2 6" xfId="20316" xr:uid="{00000000-0005-0000-0000-0000638F0000}"/>
    <cellStyle name="Normal 6 2 6 2" xfId="20317" xr:uid="{00000000-0005-0000-0000-0000648F0000}"/>
    <cellStyle name="Normal 6 2 6 3" xfId="20318" xr:uid="{00000000-0005-0000-0000-0000658F0000}"/>
    <cellStyle name="Normal 6 2 6 4" xfId="20319" xr:uid="{00000000-0005-0000-0000-0000668F0000}"/>
    <cellStyle name="Normal 6 2 7" xfId="20320" xr:uid="{00000000-0005-0000-0000-0000678F0000}"/>
    <cellStyle name="Normal 6 2 8" xfId="20321" xr:uid="{00000000-0005-0000-0000-0000688F0000}"/>
    <cellStyle name="Normal 6 2 9" xfId="20322" xr:uid="{00000000-0005-0000-0000-0000698F0000}"/>
    <cellStyle name="Normal 6 3" xfId="96" xr:uid="{00000000-0005-0000-0000-00006A8F0000}"/>
    <cellStyle name="Normal 6 3 2" xfId="510" xr:uid="{00000000-0005-0000-0000-00006B8F0000}"/>
    <cellStyle name="Normal 6 3 3" xfId="444" xr:uid="{00000000-0005-0000-0000-00006C8F0000}"/>
    <cellStyle name="Normal 6 3 3 2" xfId="596" xr:uid="{00000000-0005-0000-0000-00006D8F0000}"/>
    <cellStyle name="Normal 6 3 4" xfId="37684" xr:uid="{00000000-0005-0000-0000-00006E8F0000}"/>
    <cellStyle name="Normal 6 4" xfId="311" xr:uid="{00000000-0005-0000-0000-00006F8F0000}"/>
    <cellStyle name="Normal 6 4 2" xfId="20324" xr:uid="{00000000-0005-0000-0000-0000708F0000}"/>
    <cellStyle name="Normal 6 4 3" xfId="20323" xr:uid="{00000000-0005-0000-0000-0000718F0000}"/>
    <cellStyle name="Normal 6 5" xfId="20325" xr:uid="{00000000-0005-0000-0000-0000728F0000}"/>
    <cellStyle name="Normal 6 5 2" xfId="20326" xr:uid="{00000000-0005-0000-0000-0000738F0000}"/>
    <cellStyle name="Normal 6 6" xfId="20327" xr:uid="{00000000-0005-0000-0000-0000748F0000}"/>
    <cellStyle name="Normal 6 7" xfId="20328" xr:uid="{00000000-0005-0000-0000-0000758F0000}"/>
    <cellStyle name="Normal 6 8" xfId="20329" xr:uid="{00000000-0005-0000-0000-0000768F0000}"/>
    <cellStyle name="Normal 6 9" xfId="20330" xr:uid="{00000000-0005-0000-0000-0000778F0000}"/>
    <cellStyle name="Normal 60" xfId="97" xr:uid="{00000000-0005-0000-0000-0000788F0000}"/>
    <cellStyle name="Normal 60 2" xfId="248" xr:uid="{00000000-0005-0000-0000-0000798F0000}"/>
    <cellStyle name="Normal 61" xfId="98" xr:uid="{00000000-0005-0000-0000-00007A8F0000}"/>
    <cellStyle name="Normal 61 2" xfId="249" xr:uid="{00000000-0005-0000-0000-00007B8F0000}"/>
    <cellStyle name="Normal 62" xfId="99" xr:uid="{00000000-0005-0000-0000-00007C8F0000}"/>
    <cellStyle name="Normal 62 2" xfId="250" xr:uid="{00000000-0005-0000-0000-00007D8F0000}"/>
    <cellStyle name="Normal 63" xfId="100" xr:uid="{00000000-0005-0000-0000-00007E8F0000}"/>
    <cellStyle name="Normal 63 2" xfId="251" xr:uid="{00000000-0005-0000-0000-00007F8F0000}"/>
    <cellStyle name="Normal 64" xfId="101" xr:uid="{00000000-0005-0000-0000-0000808F0000}"/>
    <cellStyle name="Normal 64 2" xfId="252" xr:uid="{00000000-0005-0000-0000-0000818F0000}"/>
    <cellStyle name="Normal 65" xfId="102" xr:uid="{00000000-0005-0000-0000-0000828F0000}"/>
    <cellStyle name="Normal 65 2" xfId="253" xr:uid="{00000000-0005-0000-0000-0000838F0000}"/>
    <cellStyle name="Normal 66" xfId="103" xr:uid="{00000000-0005-0000-0000-0000848F0000}"/>
    <cellStyle name="Normal 66 2" xfId="254" xr:uid="{00000000-0005-0000-0000-0000858F0000}"/>
    <cellStyle name="Normal 67" xfId="104" xr:uid="{00000000-0005-0000-0000-0000868F0000}"/>
    <cellStyle name="Normal 67 2" xfId="255" xr:uid="{00000000-0005-0000-0000-0000878F0000}"/>
    <cellStyle name="Normal 68" xfId="610" xr:uid="{00000000-0005-0000-0000-0000888F0000}"/>
    <cellStyle name="Normal 69" xfId="105" xr:uid="{00000000-0005-0000-0000-0000898F0000}"/>
    <cellStyle name="Normal 69 2" xfId="256" xr:uid="{00000000-0005-0000-0000-00008A8F0000}"/>
    <cellStyle name="Normal 7" xfId="106" xr:uid="{00000000-0005-0000-0000-00008B8F0000}"/>
    <cellStyle name="Normal 7 10" xfId="20331" xr:uid="{00000000-0005-0000-0000-00008C8F0000}"/>
    <cellStyle name="Normal 7 11" xfId="37685" xr:uid="{00000000-0005-0000-0000-00008D8F0000}"/>
    <cellStyle name="Normal 7 2" xfId="310" xr:uid="{00000000-0005-0000-0000-00008E8F0000}"/>
    <cellStyle name="Normal 7 2 2" xfId="20332" xr:uid="{00000000-0005-0000-0000-00008F8F0000}"/>
    <cellStyle name="Normal 7 2 3" xfId="598" xr:uid="{00000000-0005-0000-0000-0000908F0000}"/>
    <cellStyle name="Normal 7 3" xfId="607" xr:uid="{00000000-0005-0000-0000-0000918F0000}"/>
    <cellStyle name="Normal 7 3 2" xfId="487" xr:uid="{00000000-0005-0000-0000-0000928F0000}"/>
    <cellStyle name="Normal 7 3 3" xfId="606" xr:uid="{00000000-0005-0000-0000-0000938F0000}"/>
    <cellStyle name="Normal 7 3 3 2" xfId="443" xr:uid="{00000000-0005-0000-0000-0000948F0000}"/>
    <cellStyle name="Normal 7 3 4" xfId="20333" xr:uid="{00000000-0005-0000-0000-0000958F0000}"/>
    <cellStyle name="Normal 7 4" xfId="20334" xr:uid="{00000000-0005-0000-0000-0000968F0000}"/>
    <cellStyle name="Normal 7 5" xfId="20335" xr:uid="{00000000-0005-0000-0000-0000978F0000}"/>
    <cellStyle name="Normal 7 6" xfId="20336" xr:uid="{00000000-0005-0000-0000-0000988F0000}"/>
    <cellStyle name="Normal 7 7" xfId="20337" xr:uid="{00000000-0005-0000-0000-0000998F0000}"/>
    <cellStyle name="Normal 7 8" xfId="20338" xr:uid="{00000000-0005-0000-0000-00009A8F0000}"/>
    <cellStyle name="Normal 7 9" xfId="20339" xr:uid="{00000000-0005-0000-0000-00009B8F0000}"/>
    <cellStyle name="Normal 70" xfId="107" xr:uid="{00000000-0005-0000-0000-00009C8F0000}"/>
    <cellStyle name="Normal 70 2" xfId="257" xr:uid="{00000000-0005-0000-0000-00009D8F0000}"/>
    <cellStyle name="Normal 71" xfId="108" xr:uid="{00000000-0005-0000-0000-00009E8F0000}"/>
    <cellStyle name="Normal 71 2" xfId="258" xr:uid="{00000000-0005-0000-0000-00009F8F0000}"/>
    <cellStyle name="Normal 72" xfId="109" xr:uid="{00000000-0005-0000-0000-0000A08F0000}"/>
    <cellStyle name="Normal 72 2" xfId="259" xr:uid="{00000000-0005-0000-0000-0000A18F0000}"/>
    <cellStyle name="Normal 73" xfId="110" xr:uid="{00000000-0005-0000-0000-0000A28F0000}"/>
    <cellStyle name="Normal 73 2" xfId="260" xr:uid="{00000000-0005-0000-0000-0000A38F0000}"/>
    <cellStyle name="Normal 74" xfId="111" xr:uid="{00000000-0005-0000-0000-0000A48F0000}"/>
    <cellStyle name="Normal 74 2" xfId="261" xr:uid="{00000000-0005-0000-0000-0000A58F0000}"/>
    <cellStyle name="Normal 75" xfId="112" xr:uid="{00000000-0005-0000-0000-0000A68F0000}"/>
    <cellStyle name="Normal 75 2" xfId="262" xr:uid="{00000000-0005-0000-0000-0000A78F0000}"/>
    <cellStyle name="Normal 76" xfId="113" xr:uid="{00000000-0005-0000-0000-0000A88F0000}"/>
    <cellStyle name="Normal 76 2" xfId="263" xr:uid="{00000000-0005-0000-0000-0000A98F0000}"/>
    <cellStyle name="Normal 77" xfId="114" xr:uid="{00000000-0005-0000-0000-0000AA8F0000}"/>
    <cellStyle name="Normal 77 2" xfId="264" xr:uid="{00000000-0005-0000-0000-0000AB8F0000}"/>
    <cellStyle name="Normal 78" xfId="115" xr:uid="{00000000-0005-0000-0000-0000AC8F0000}"/>
    <cellStyle name="Normal 78 2" xfId="265" xr:uid="{00000000-0005-0000-0000-0000AD8F0000}"/>
    <cellStyle name="Normal 79" xfId="116" xr:uid="{00000000-0005-0000-0000-0000AE8F0000}"/>
    <cellStyle name="Normal 79 2" xfId="266" xr:uid="{00000000-0005-0000-0000-0000AF8F0000}"/>
    <cellStyle name="Normal 8" xfId="117" xr:uid="{00000000-0005-0000-0000-0000B08F0000}"/>
    <cellStyle name="Normal 8 10" xfId="20340" xr:uid="{00000000-0005-0000-0000-0000B18F0000}"/>
    <cellStyle name="Normal 8 11" xfId="20341" xr:uid="{00000000-0005-0000-0000-0000B28F0000}"/>
    <cellStyle name="Normal 8 12" xfId="20342" xr:uid="{00000000-0005-0000-0000-0000B38F0000}"/>
    <cellStyle name="Normal 8 13" xfId="20343" xr:uid="{00000000-0005-0000-0000-0000B48F0000}"/>
    <cellStyle name="Normal 8 14" xfId="20344" xr:uid="{00000000-0005-0000-0000-0000B58F0000}"/>
    <cellStyle name="Normal 8 15" xfId="20345" xr:uid="{00000000-0005-0000-0000-0000B68F0000}"/>
    <cellStyle name="Normal 8 16" xfId="20346" xr:uid="{00000000-0005-0000-0000-0000B78F0000}"/>
    <cellStyle name="Normal 8 17" xfId="37686" xr:uid="{00000000-0005-0000-0000-0000B88F0000}"/>
    <cellStyle name="Normal 8 2" xfId="442" xr:uid="{00000000-0005-0000-0000-0000B98F0000}"/>
    <cellStyle name="Normal 8 2 2" xfId="20348" xr:uid="{00000000-0005-0000-0000-0000BA8F0000}"/>
    <cellStyle name="Normal 8 2 3" xfId="20349" xr:uid="{00000000-0005-0000-0000-0000BB8F0000}"/>
    <cellStyle name="Normal 8 2 4" xfId="20350" xr:uid="{00000000-0005-0000-0000-0000BC8F0000}"/>
    <cellStyle name="Normal 8 2 5" xfId="20351" xr:uid="{00000000-0005-0000-0000-0000BD8F0000}"/>
    <cellStyle name="Normal 8 2 6" xfId="20347" xr:uid="{00000000-0005-0000-0000-0000BE8F0000}"/>
    <cellStyle name="Normal 8 3" xfId="508" xr:uid="{00000000-0005-0000-0000-0000BF8F0000}"/>
    <cellStyle name="Normal 8 3 2" xfId="511" xr:uid="{00000000-0005-0000-0000-0000C08F0000}"/>
    <cellStyle name="Normal 8 3 3" xfId="583" xr:uid="{00000000-0005-0000-0000-0000C18F0000}"/>
    <cellStyle name="Normal 8 3 3 2" xfId="586" xr:uid="{00000000-0005-0000-0000-0000C28F0000}"/>
    <cellStyle name="Normal 8 4" xfId="20352" xr:uid="{00000000-0005-0000-0000-0000C38F0000}"/>
    <cellStyle name="Normal 8 4 2" xfId="20353" xr:uid="{00000000-0005-0000-0000-0000C48F0000}"/>
    <cellStyle name="Normal 8 5" xfId="20354" xr:uid="{00000000-0005-0000-0000-0000C58F0000}"/>
    <cellStyle name="Normal 8 5 2" xfId="20355" xr:uid="{00000000-0005-0000-0000-0000C68F0000}"/>
    <cellStyle name="Normal 8 6" xfId="20356" xr:uid="{00000000-0005-0000-0000-0000C78F0000}"/>
    <cellStyle name="Normal 8 7" xfId="20357" xr:uid="{00000000-0005-0000-0000-0000C88F0000}"/>
    <cellStyle name="Normal 8 8" xfId="20358" xr:uid="{00000000-0005-0000-0000-0000C98F0000}"/>
    <cellStyle name="Normal 8 9" xfId="20359" xr:uid="{00000000-0005-0000-0000-0000CA8F0000}"/>
    <cellStyle name="Normal 80" xfId="118" xr:uid="{00000000-0005-0000-0000-0000CB8F0000}"/>
    <cellStyle name="Normal 80 2" xfId="267" xr:uid="{00000000-0005-0000-0000-0000CC8F0000}"/>
    <cellStyle name="Normal 81" xfId="119" xr:uid="{00000000-0005-0000-0000-0000CD8F0000}"/>
    <cellStyle name="Normal 81 2" xfId="268" xr:uid="{00000000-0005-0000-0000-0000CE8F0000}"/>
    <cellStyle name="Normal 82" xfId="120" xr:uid="{00000000-0005-0000-0000-0000CF8F0000}"/>
    <cellStyle name="Normal 82 2" xfId="269" xr:uid="{00000000-0005-0000-0000-0000D08F0000}"/>
    <cellStyle name="Normal 83" xfId="121" xr:uid="{00000000-0005-0000-0000-0000D18F0000}"/>
    <cellStyle name="Normal 83 2" xfId="270" xr:uid="{00000000-0005-0000-0000-0000D28F0000}"/>
    <cellStyle name="Normal 84" xfId="122" xr:uid="{00000000-0005-0000-0000-0000D38F0000}"/>
    <cellStyle name="Normal 84 2" xfId="271" xr:uid="{00000000-0005-0000-0000-0000D48F0000}"/>
    <cellStyle name="Normal 85" xfId="123" xr:uid="{00000000-0005-0000-0000-0000D58F0000}"/>
    <cellStyle name="Normal 85 2" xfId="272" xr:uid="{00000000-0005-0000-0000-0000D68F0000}"/>
    <cellStyle name="Normal 86" xfId="124" xr:uid="{00000000-0005-0000-0000-0000D78F0000}"/>
    <cellStyle name="Normal 86 2" xfId="273" xr:uid="{00000000-0005-0000-0000-0000D88F0000}"/>
    <cellStyle name="Normal 87" xfId="125" xr:uid="{00000000-0005-0000-0000-0000D98F0000}"/>
    <cellStyle name="Normal 87 2" xfId="274" xr:uid="{00000000-0005-0000-0000-0000DA8F0000}"/>
    <cellStyle name="Normal 88" xfId="611" xr:uid="{00000000-0005-0000-0000-0000DB8F0000}"/>
    <cellStyle name="Normal 88 2" xfId="20360" xr:uid="{00000000-0005-0000-0000-0000DC8F0000}"/>
    <cellStyle name="Normal 89" xfId="612" xr:uid="{00000000-0005-0000-0000-0000DD8F0000}"/>
    <cellStyle name="Normal 9" xfId="126" xr:uid="{00000000-0005-0000-0000-0000DE8F0000}"/>
    <cellStyle name="Normal 9 10" xfId="20361" xr:uid="{00000000-0005-0000-0000-0000DF8F0000}"/>
    <cellStyle name="Normal 9 11" xfId="20362" xr:uid="{00000000-0005-0000-0000-0000E08F0000}"/>
    <cellStyle name="Normal 9 12" xfId="20363" xr:uid="{00000000-0005-0000-0000-0000E18F0000}"/>
    <cellStyle name="Normal 9 13" xfId="20364" xr:uid="{00000000-0005-0000-0000-0000E28F0000}"/>
    <cellStyle name="Normal 9 14" xfId="20365" xr:uid="{00000000-0005-0000-0000-0000E38F0000}"/>
    <cellStyle name="Normal 9 15" xfId="20366" xr:uid="{00000000-0005-0000-0000-0000E48F0000}"/>
    <cellStyle name="Normal 9 16" xfId="20367" xr:uid="{00000000-0005-0000-0000-0000E58F0000}"/>
    <cellStyle name="Normal 9 17" xfId="20368" xr:uid="{00000000-0005-0000-0000-0000E68F0000}"/>
    <cellStyle name="Normal 9 18" xfId="20369" xr:uid="{00000000-0005-0000-0000-0000E78F0000}"/>
    <cellStyle name="Normal 9 19" xfId="37687" xr:uid="{00000000-0005-0000-0000-0000E88F0000}"/>
    <cellStyle name="Normal 9 2" xfId="127" xr:uid="{00000000-0005-0000-0000-0000E98F0000}"/>
    <cellStyle name="Normal 9 2 2" xfId="202" xr:uid="{00000000-0005-0000-0000-0000EA8F0000}"/>
    <cellStyle name="Normal 9 2 3" xfId="20370" xr:uid="{00000000-0005-0000-0000-0000EB8F0000}"/>
    <cellStyle name="Normal 9 2 4" xfId="20371" xr:uid="{00000000-0005-0000-0000-0000EC8F0000}"/>
    <cellStyle name="Normal 9 2 5" xfId="20372" xr:uid="{00000000-0005-0000-0000-0000ED8F0000}"/>
    <cellStyle name="Normal 9 2 6" xfId="37594" xr:uid="{00000000-0005-0000-0000-0000EE8F0000}"/>
    <cellStyle name="Normal 9 3" xfId="20373" xr:uid="{00000000-0005-0000-0000-0000EF8F0000}"/>
    <cellStyle name="Normal 9 3 2" xfId="20374" xr:uid="{00000000-0005-0000-0000-0000F08F0000}"/>
    <cellStyle name="Normal 9 4" xfId="20375" xr:uid="{00000000-0005-0000-0000-0000F18F0000}"/>
    <cellStyle name="Normal 9 4 2" xfId="20376" xr:uid="{00000000-0005-0000-0000-0000F28F0000}"/>
    <cellStyle name="Normal 9 5" xfId="20377" xr:uid="{00000000-0005-0000-0000-0000F38F0000}"/>
    <cellStyle name="Normal 9 5 2" xfId="20378" xr:uid="{00000000-0005-0000-0000-0000F48F0000}"/>
    <cellStyle name="Normal 9 6" xfId="20379" xr:uid="{00000000-0005-0000-0000-0000F58F0000}"/>
    <cellStyle name="Normal 9 7" xfId="20380" xr:uid="{00000000-0005-0000-0000-0000F68F0000}"/>
    <cellStyle name="Normal 9 8" xfId="20381" xr:uid="{00000000-0005-0000-0000-0000F78F0000}"/>
    <cellStyle name="Normal 9 9" xfId="20382" xr:uid="{00000000-0005-0000-0000-0000F88F0000}"/>
    <cellStyle name="Normal 90" xfId="613" xr:uid="{00000000-0005-0000-0000-0000F98F0000}"/>
    <cellStyle name="Normal 91" xfId="614" xr:uid="{00000000-0005-0000-0000-0000FA8F0000}"/>
    <cellStyle name="Normal 92" xfId="615" xr:uid="{00000000-0005-0000-0000-0000FB8F0000}"/>
    <cellStyle name="Normal 93" xfId="616" xr:uid="{00000000-0005-0000-0000-0000FC8F0000}"/>
    <cellStyle name="Normal 94" xfId="660" xr:uid="{00000000-0005-0000-0000-0000FD8F0000}"/>
    <cellStyle name="Normal 95" xfId="664" xr:uid="{00000000-0005-0000-0000-0000FE8F0000}"/>
    <cellStyle name="Normal 96" xfId="665" xr:uid="{00000000-0005-0000-0000-0000FF8F0000}"/>
    <cellStyle name="Normal 97" xfId="666" xr:uid="{00000000-0005-0000-0000-000000900000}"/>
    <cellStyle name="Normal 98" xfId="670" xr:uid="{00000000-0005-0000-0000-000001900000}"/>
    <cellStyle name="Normal 99" xfId="21150" xr:uid="{00000000-0005-0000-0000-000002900000}"/>
    <cellStyle name="Note" xfId="3" builtinId="10" customBuiltin="1"/>
    <cellStyle name="Note 10 2" xfId="20383" xr:uid="{00000000-0005-0000-0000-000004900000}"/>
    <cellStyle name="Note 10 3" xfId="20384" xr:uid="{00000000-0005-0000-0000-000005900000}"/>
    <cellStyle name="Note 11 2" xfId="20385" xr:uid="{00000000-0005-0000-0000-000006900000}"/>
    <cellStyle name="Note 11 3" xfId="20386" xr:uid="{00000000-0005-0000-0000-000007900000}"/>
    <cellStyle name="Note 12 2" xfId="20387" xr:uid="{00000000-0005-0000-0000-000008900000}"/>
    <cellStyle name="Note 12 3" xfId="20388" xr:uid="{00000000-0005-0000-0000-000009900000}"/>
    <cellStyle name="Note 13 2" xfId="20389" xr:uid="{00000000-0005-0000-0000-00000A900000}"/>
    <cellStyle name="Note 13 3" xfId="20390" xr:uid="{00000000-0005-0000-0000-00000B900000}"/>
    <cellStyle name="Note 14 2" xfId="20391" xr:uid="{00000000-0005-0000-0000-00000C900000}"/>
    <cellStyle name="Note 14 3" xfId="20392" xr:uid="{00000000-0005-0000-0000-00000D900000}"/>
    <cellStyle name="Note 15 2" xfId="20393" xr:uid="{00000000-0005-0000-0000-00000E900000}"/>
    <cellStyle name="Note 15 3" xfId="20394" xr:uid="{00000000-0005-0000-0000-00000F900000}"/>
    <cellStyle name="Note 16" xfId="20395" xr:uid="{00000000-0005-0000-0000-000010900000}"/>
    <cellStyle name="Note 16 2" xfId="20396" xr:uid="{00000000-0005-0000-0000-000011900000}"/>
    <cellStyle name="Note 16 3" xfId="20397" xr:uid="{00000000-0005-0000-0000-000012900000}"/>
    <cellStyle name="Note 16 4" xfId="20398" xr:uid="{00000000-0005-0000-0000-000013900000}"/>
    <cellStyle name="Note 16 5" xfId="20399" xr:uid="{00000000-0005-0000-0000-000014900000}"/>
    <cellStyle name="Note 16 6" xfId="20400" xr:uid="{00000000-0005-0000-0000-000015900000}"/>
    <cellStyle name="Note 16 7" xfId="20401" xr:uid="{00000000-0005-0000-0000-000016900000}"/>
    <cellStyle name="Note 17" xfId="20402" xr:uid="{00000000-0005-0000-0000-000017900000}"/>
    <cellStyle name="Note 18" xfId="20403" xr:uid="{00000000-0005-0000-0000-000018900000}"/>
    <cellStyle name="Note 19" xfId="20404" xr:uid="{00000000-0005-0000-0000-000019900000}"/>
    <cellStyle name="Note 2" xfId="185" xr:uid="{00000000-0005-0000-0000-00001A900000}"/>
    <cellStyle name="Note 2 10" xfId="20406" xr:uid="{00000000-0005-0000-0000-00001B900000}"/>
    <cellStyle name="Note 2 11" xfId="20407" xr:uid="{00000000-0005-0000-0000-00001C900000}"/>
    <cellStyle name="Note 2 11 2" xfId="20408" xr:uid="{00000000-0005-0000-0000-00001D900000}"/>
    <cellStyle name="Note 2 11 2 2" xfId="20409" xr:uid="{00000000-0005-0000-0000-00001E900000}"/>
    <cellStyle name="Note 2 11 2 3" xfId="20410" xr:uid="{00000000-0005-0000-0000-00001F900000}"/>
    <cellStyle name="Note 2 11 2 4" xfId="20411" xr:uid="{00000000-0005-0000-0000-000020900000}"/>
    <cellStyle name="Note 2 11 2 5" xfId="20412" xr:uid="{00000000-0005-0000-0000-000021900000}"/>
    <cellStyle name="Note 2 11 2 6" xfId="20413" xr:uid="{00000000-0005-0000-0000-000022900000}"/>
    <cellStyle name="Note 2 11 2 7" xfId="20414" xr:uid="{00000000-0005-0000-0000-000023900000}"/>
    <cellStyle name="Note 2 11 3" xfId="20415" xr:uid="{00000000-0005-0000-0000-000024900000}"/>
    <cellStyle name="Note 2 11 4" xfId="20416" xr:uid="{00000000-0005-0000-0000-000025900000}"/>
    <cellStyle name="Note 2 11 5" xfId="20417" xr:uid="{00000000-0005-0000-0000-000026900000}"/>
    <cellStyle name="Note 2 11 6" xfId="20418" xr:uid="{00000000-0005-0000-0000-000027900000}"/>
    <cellStyle name="Note 2 11 7" xfId="20419" xr:uid="{00000000-0005-0000-0000-000028900000}"/>
    <cellStyle name="Note 2 12" xfId="20420" xr:uid="{00000000-0005-0000-0000-000029900000}"/>
    <cellStyle name="Note 2 13" xfId="20421" xr:uid="{00000000-0005-0000-0000-00002A900000}"/>
    <cellStyle name="Note 2 14" xfId="20422" xr:uid="{00000000-0005-0000-0000-00002B900000}"/>
    <cellStyle name="Note 2 15" xfId="20423" xr:uid="{00000000-0005-0000-0000-00002C900000}"/>
    <cellStyle name="Note 2 16" xfId="20424" xr:uid="{00000000-0005-0000-0000-00002D900000}"/>
    <cellStyle name="Note 2 17" xfId="20425" xr:uid="{00000000-0005-0000-0000-00002E900000}"/>
    <cellStyle name="Note 2 18" xfId="20426" xr:uid="{00000000-0005-0000-0000-00002F900000}"/>
    <cellStyle name="Note 2 19" xfId="20427" xr:uid="{00000000-0005-0000-0000-000030900000}"/>
    <cellStyle name="Note 2 2" xfId="367" xr:uid="{00000000-0005-0000-0000-000031900000}"/>
    <cellStyle name="Note 2 2 2" xfId="559" xr:uid="{00000000-0005-0000-0000-000032900000}"/>
    <cellStyle name="Note 2 2 3" xfId="20428" xr:uid="{00000000-0005-0000-0000-000033900000}"/>
    <cellStyle name="Note 2 20" xfId="20429" xr:uid="{00000000-0005-0000-0000-000034900000}"/>
    <cellStyle name="Note 2 20 2" xfId="20430" xr:uid="{00000000-0005-0000-0000-000035900000}"/>
    <cellStyle name="Note 2 20 2 2" xfId="20431" xr:uid="{00000000-0005-0000-0000-000036900000}"/>
    <cellStyle name="Note 2 20 2 3" xfId="20432" xr:uid="{00000000-0005-0000-0000-000037900000}"/>
    <cellStyle name="Note 2 20 3" xfId="20433" xr:uid="{00000000-0005-0000-0000-000038900000}"/>
    <cellStyle name="Note 2 20 4" xfId="20434" xr:uid="{00000000-0005-0000-0000-000039900000}"/>
    <cellStyle name="Note 2 21" xfId="20435" xr:uid="{00000000-0005-0000-0000-00003A900000}"/>
    <cellStyle name="Note 2 22" xfId="20436" xr:uid="{00000000-0005-0000-0000-00003B900000}"/>
    <cellStyle name="Note 2 23" xfId="20437" xr:uid="{00000000-0005-0000-0000-00003C900000}"/>
    <cellStyle name="Note 2 23 2" xfId="20438" xr:uid="{00000000-0005-0000-0000-00003D900000}"/>
    <cellStyle name="Note 2 23 3" xfId="20439" xr:uid="{00000000-0005-0000-0000-00003E900000}"/>
    <cellStyle name="Note 2 24" xfId="20440" xr:uid="{00000000-0005-0000-0000-00003F900000}"/>
    <cellStyle name="Note 2 24 2" xfId="20441" xr:uid="{00000000-0005-0000-0000-000040900000}"/>
    <cellStyle name="Note 2 24 3" xfId="20442" xr:uid="{00000000-0005-0000-0000-000041900000}"/>
    <cellStyle name="Note 2 25" xfId="20443" xr:uid="{00000000-0005-0000-0000-000042900000}"/>
    <cellStyle name="Note 2 25 2" xfId="20444" xr:uid="{00000000-0005-0000-0000-000043900000}"/>
    <cellStyle name="Note 2 25 3" xfId="20445" xr:uid="{00000000-0005-0000-0000-000044900000}"/>
    <cellStyle name="Note 2 26" xfId="20446" xr:uid="{00000000-0005-0000-0000-000045900000}"/>
    <cellStyle name="Note 2 26 2" xfId="20447" xr:uid="{00000000-0005-0000-0000-000046900000}"/>
    <cellStyle name="Note 2 26 3" xfId="20448" xr:uid="{00000000-0005-0000-0000-000047900000}"/>
    <cellStyle name="Note 2 27" xfId="20449" xr:uid="{00000000-0005-0000-0000-000048900000}"/>
    <cellStyle name="Note 2 28" xfId="20450" xr:uid="{00000000-0005-0000-0000-000049900000}"/>
    <cellStyle name="Note 2 29" xfId="20451" xr:uid="{00000000-0005-0000-0000-00004A900000}"/>
    <cellStyle name="Note 2 3" xfId="470" xr:uid="{00000000-0005-0000-0000-00004B900000}"/>
    <cellStyle name="Note 2 3 2" xfId="20452" xr:uid="{00000000-0005-0000-0000-00004C900000}"/>
    <cellStyle name="Note 2 30" xfId="20453" xr:uid="{00000000-0005-0000-0000-00004D900000}"/>
    <cellStyle name="Note 2 31" xfId="20405" xr:uid="{00000000-0005-0000-0000-00004E900000}"/>
    <cellStyle name="Note 2 32" xfId="37688" xr:uid="{00000000-0005-0000-0000-00004F900000}"/>
    <cellStyle name="Note 2 4" xfId="20454" xr:uid="{00000000-0005-0000-0000-000050900000}"/>
    <cellStyle name="Note 2 5" xfId="20455" xr:uid="{00000000-0005-0000-0000-000051900000}"/>
    <cellStyle name="Note 2 6" xfId="20456" xr:uid="{00000000-0005-0000-0000-000052900000}"/>
    <cellStyle name="Note 2 7" xfId="20457" xr:uid="{00000000-0005-0000-0000-000053900000}"/>
    <cellStyle name="Note 2 8" xfId="20458" xr:uid="{00000000-0005-0000-0000-000054900000}"/>
    <cellStyle name="Note 2 8 10" xfId="20459" xr:uid="{00000000-0005-0000-0000-000055900000}"/>
    <cellStyle name="Note 2 8 11" xfId="20460" xr:uid="{00000000-0005-0000-0000-000056900000}"/>
    <cellStyle name="Note 2 8 2" xfId="20461" xr:uid="{00000000-0005-0000-0000-000057900000}"/>
    <cellStyle name="Note 2 8 2 2" xfId="20462" xr:uid="{00000000-0005-0000-0000-000058900000}"/>
    <cellStyle name="Note 2 8 2 3" xfId="20463" xr:uid="{00000000-0005-0000-0000-000059900000}"/>
    <cellStyle name="Note 2 8 2 4" xfId="20464" xr:uid="{00000000-0005-0000-0000-00005A900000}"/>
    <cellStyle name="Note 2 8 2 5" xfId="20465" xr:uid="{00000000-0005-0000-0000-00005B900000}"/>
    <cellStyle name="Note 2 8 2 6" xfId="20466" xr:uid="{00000000-0005-0000-0000-00005C900000}"/>
    <cellStyle name="Note 2 8 2 7" xfId="20467" xr:uid="{00000000-0005-0000-0000-00005D900000}"/>
    <cellStyle name="Note 2 8 2 8" xfId="20468" xr:uid="{00000000-0005-0000-0000-00005E900000}"/>
    <cellStyle name="Note 2 8 2 9" xfId="20469" xr:uid="{00000000-0005-0000-0000-00005F900000}"/>
    <cellStyle name="Note 2 8 3" xfId="20470" xr:uid="{00000000-0005-0000-0000-000060900000}"/>
    <cellStyle name="Note 2 8 4" xfId="20471" xr:uid="{00000000-0005-0000-0000-000061900000}"/>
    <cellStyle name="Note 2 8 5" xfId="20472" xr:uid="{00000000-0005-0000-0000-000062900000}"/>
    <cellStyle name="Note 2 8 5 2" xfId="20473" xr:uid="{00000000-0005-0000-0000-000063900000}"/>
    <cellStyle name="Note 2 8 5 3" xfId="20474" xr:uid="{00000000-0005-0000-0000-000064900000}"/>
    <cellStyle name="Note 2 8 6" xfId="20475" xr:uid="{00000000-0005-0000-0000-000065900000}"/>
    <cellStyle name="Note 2 8 6 2" xfId="20476" xr:uid="{00000000-0005-0000-0000-000066900000}"/>
    <cellStyle name="Note 2 8 6 3" xfId="20477" xr:uid="{00000000-0005-0000-0000-000067900000}"/>
    <cellStyle name="Note 2 8 7" xfId="20478" xr:uid="{00000000-0005-0000-0000-000068900000}"/>
    <cellStyle name="Note 2 8 7 2" xfId="20479" xr:uid="{00000000-0005-0000-0000-000069900000}"/>
    <cellStyle name="Note 2 8 7 3" xfId="20480" xr:uid="{00000000-0005-0000-0000-00006A900000}"/>
    <cellStyle name="Note 2 8 8" xfId="20481" xr:uid="{00000000-0005-0000-0000-00006B900000}"/>
    <cellStyle name="Note 2 8 8 2" xfId="20482" xr:uid="{00000000-0005-0000-0000-00006C900000}"/>
    <cellStyle name="Note 2 8 8 3" xfId="20483" xr:uid="{00000000-0005-0000-0000-00006D900000}"/>
    <cellStyle name="Note 2 8 9" xfId="20484" xr:uid="{00000000-0005-0000-0000-00006E900000}"/>
    <cellStyle name="Note 2 8 9 2" xfId="20485" xr:uid="{00000000-0005-0000-0000-00006F900000}"/>
    <cellStyle name="Note 2 8 9 3" xfId="20486" xr:uid="{00000000-0005-0000-0000-000070900000}"/>
    <cellStyle name="Note 2 9" xfId="20487" xr:uid="{00000000-0005-0000-0000-000071900000}"/>
    <cellStyle name="Note 20" xfId="20488" xr:uid="{00000000-0005-0000-0000-000072900000}"/>
    <cellStyle name="Note 21" xfId="20489" xr:uid="{00000000-0005-0000-0000-000073900000}"/>
    <cellStyle name="Note 22" xfId="20490" xr:uid="{00000000-0005-0000-0000-000074900000}"/>
    <cellStyle name="Note 23" xfId="20491" xr:uid="{00000000-0005-0000-0000-000075900000}"/>
    <cellStyle name="Note 24" xfId="20492" xr:uid="{00000000-0005-0000-0000-000076900000}"/>
    <cellStyle name="Note 25" xfId="20493" xr:uid="{00000000-0005-0000-0000-000077900000}"/>
    <cellStyle name="Note 3" xfId="331" xr:uid="{00000000-0005-0000-0000-000078900000}"/>
    <cellStyle name="Note 3 2" xfId="465" xr:uid="{00000000-0005-0000-0000-000079900000}"/>
    <cellStyle name="Note 3 2 2" xfId="20495" xr:uid="{00000000-0005-0000-0000-00007A900000}"/>
    <cellStyle name="Note 3 3" xfId="20496" xr:uid="{00000000-0005-0000-0000-00007B900000}"/>
    <cellStyle name="Note 3 4" xfId="20497" xr:uid="{00000000-0005-0000-0000-00007C900000}"/>
    <cellStyle name="Note 3 5" xfId="20498" xr:uid="{00000000-0005-0000-0000-00007D900000}"/>
    <cellStyle name="Note 3 6" xfId="20499" xr:uid="{00000000-0005-0000-0000-00007E900000}"/>
    <cellStyle name="Note 3 7" xfId="20500" xr:uid="{00000000-0005-0000-0000-00007F900000}"/>
    <cellStyle name="Note 3 8" xfId="20494" xr:uid="{00000000-0005-0000-0000-000080900000}"/>
    <cellStyle name="Note 4" xfId="333" xr:uid="{00000000-0005-0000-0000-000081900000}"/>
    <cellStyle name="Note 4 2" xfId="523" xr:uid="{00000000-0005-0000-0000-000082900000}"/>
    <cellStyle name="Note 4 2 2" xfId="20502" xr:uid="{00000000-0005-0000-0000-000083900000}"/>
    <cellStyle name="Note 4 3" xfId="20503" xr:uid="{00000000-0005-0000-0000-000084900000}"/>
    <cellStyle name="Note 4 4" xfId="20501" xr:uid="{00000000-0005-0000-0000-000085900000}"/>
    <cellStyle name="Note 4 5" xfId="37689" xr:uid="{00000000-0005-0000-0000-000086900000}"/>
    <cellStyle name="Note 5" xfId="353" xr:uid="{00000000-0005-0000-0000-000087900000}"/>
    <cellStyle name="Note 5 2" xfId="543" xr:uid="{00000000-0005-0000-0000-000088900000}"/>
    <cellStyle name="Note 5 2 2" xfId="20504" xr:uid="{00000000-0005-0000-0000-000089900000}"/>
    <cellStyle name="Note 5 3" xfId="20505" xr:uid="{00000000-0005-0000-0000-00008A900000}"/>
    <cellStyle name="Note 6" xfId="403" xr:uid="{00000000-0005-0000-0000-00008B900000}"/>
    <cellStyle name="Note 6 2" xfId="20506" xr:uid="{00000000-0005-0000-0000-00008C900000}"/>
    <cellStyle name="Note 6 3" xfId="20507" xr:uid="{00000000-0005-0000-0000-00008D900000}"/>
    <cellStyle name="Note 7 2" xfId="20508" xr:uid="{00000000-0005-0000-0000-00008E900000}"/>
    <cellStyle name="Note 7 3" xfId="20509" xr:uid="{00000000-0005-0000-0000-00008F900000}"/>
    <cellStyle name="Note 8 2" xfId="20510" xr:uid="{00000000-0005-0000-0000-000090900000}"/>
    <cellStyle name="Note 8 3" xfId="20511" xr:uid="{00000000-0005-0000-0000-000091900000}"/>
    <cellStyle name="Note 9 2" xfId="20512" xr:uid="{00000000-0005-0000-0000-000092900000}"/>
    <cellStyle name="Note 9 3" xfId="20513" xr:uid="{00000000-0005-0000-0000-000093900000}"/>
    <cellStyle name="Output" xfId="145" builtinId="21" customBuiltin="1"/>
    <cellStyle name="Output 10 2" xfId="20514" xr:uid="{00000000-0005-0000-0000-000095900000}"/>
    <cellStyle name="Output 10 3" xfId="20515" xr:uid="{00000000-0005-0000-0000-000096900000}"/>
    <cellStyle name="Output 11 2" xfId="20516" xr:uid="{00000000-0005-0000-0000-000097900000}"/>
    <cellStyle name="Output 11 3" xfId="20517" xr:uid="{00000000-0005-0000-0000-000098900000}"/>
    <cellStyle name="Output 12 2" xfId="20518" xr:uid="{00000000-0005-0000-0000-000099900000}"/>
    <cellStyle name="Output 12 3" xfId="20519" xr:uid="{00000000-0005-0000-0000-00009A900000}"/>
    <cellStyle name="Output 13 2" xfId="20520" xr:uid="{00000000-0005-0000-0000-00009B900000}"/>
    <cellStyle name="Output 13 3" xfId="20521" xr:uid="{00000000-0005-0000-0000-00009C900000}"/>
    <cellStyle name="Output 14 2" xfId="20522" xr:uid="{00000000-0005-0000-0000-00009D900000}"/>
    <cellStyle name="Output 14 3" xfId="20523" xr:uid="{00000000-0005-0000-0000-00009E900000}"/>
    <cellStyle name="Output 15" xfId="20524" xr:uid="{00000000-0005-0000-0000-00009F900000}"/>
    <cellStyle name="Output 15 2" xfId="20525" xr:uid="{00000000-0005-0000-0000-0000A0900000}"/>
    <cellStyle name="Output 15 3" xfId="20526" xr:uid="{00000000-0005-0000-0000-0000A1900000}"/>
    <cellStyle name="Output 15 4" xfId="20527" xr:uid="{00000000-0005-0000-0000-0000A2900000}"/>
    <cellStyle name="Output 15 5" xfId="20528" xr:uid="{00000000-0005-0000-0000-0000A3900000}"/>
    <cellStyle name="Output 15 6" xfId="20529" xr:uid="{00000000-0005-0000-0000-0000A4900000}"/>
    <cellStyle name="Output 15 7" xfId="20530" xr:uid="{00000000-0005-0000-0000-0000A5900000}"/>
    <cellStyle name="Output 16" xfId="20531" xr:uid="{00000000-0005-0000-0000-0000A6900000}"/>
    <cellStyle name="Output 17" xfId="20532" xr:uid="{00000000-0005-0000-0000-0000A7900000}"/>
    <cellStyle name="Output 18" xfId="20533" xr:uid="{00000000-0005-0000-0000-0000A8900000}"/>
    <cellStyle name="Output 19" xfId="20534" xr:uid="{00000000-0005-0000-0000-0000A9900000}"/>
    <cellStyle name="Output 2" xfId="398" xr:uid="{00000000-0005-0000-0000-0000AA900000}"/>
    <cellStyle name="Output 2 2" xfId="488" xr:uid="{00000000-0005-0000-0000-0000AB900000}"/>
    <cellStyle name="Output 2 2 2" xfId="20535" xr:uid="{00000000-0005-0000-0000-0000AC900000}"/>
    <cellStyle name="Output 2 3" xfId="20536" xr:uid="{00000000-0005-0000-0000-0000AD900000}"/>
    <cellStyle name="Output 20" xfId="20537" xr:uid="{00000000-0005-0000-0000-0000AE900000}"/>
    <cellStyle name="Output 21" xfId="20538" xr:uid="{00000000-0005-0000-0000-0000AF900000}"/>
    <cellStyle name="Output 22" xfId="20539" xr:uid="{00000000-0005-0000-0000-0000B0900000}"/>
    <cellStyle name="Output 3" xfId="656" xr:uid="{00000000-0005-0000-0000-0000B1900000}"/>
    <cellStyle name="Output 3 2" xfId="20540" xr:uid="{00000000-0005-0000-0000-0000B2900000}"/>
    <cellStyle name="Output 3 3" xfId="20541" xr:uid="{00000000-0005-0000-0000-0000B3900000}"/>
    <cellStyle name="Output 4 2" xfId="20542" xr:uid="{00000000-0005-0000-0000-0000B4900000}"/>
    <cellStyle name="Output 4 3" xfId="20543" xr:uid="{00000000-0005-0000-0000-0000B5900000}"/>
    <cellStyle name="Output 5 2" xfId="20544" xr:uid="{00000000-0005-0000-0000-0000B6900000}"/>
    <cellStyle name="Output 5 3" xfId="20545" xr:uid="{00000000-0005-0000-0000-0000B7900000}"/>
    <cellStyle name="Output 6 2" xfId="20546" xr:uid="{00000000-0005-0000-0000-0000B8900000}"/>
    <cellStyle name="Output 6 3" xfId="20547" xr:uid="{00000000-0005-0000-0000-0000B9900000}"/>
    <cellStyle name="Output 7 2" xfId="20548" xr:uid="{00000000-0005-0000-0000-0000BA900000}"/>
    <cellStyle name="Output 7 3" xfId="20549" xr:uid="{00000000-0005-0000-0000-0000BB900000}"/>
    <cellStyle name="Output 8 2" xfId="20550" xr:uid="{00000000-0005-0000-0000-0000BC900000}"/>
    <cellStyle name="Output 8 3" xfId="20551" xr:uid="{00000000-0005-0000-0000-0000BD900000}"/>
    <cellStyle name="Output 9 2" xfId="20552" xr:uid="{00000000-0005-0000-0000-0000BE900000}"/>
    <cellStyle name="Output 9 3" xfId="20553" xr:uid="{00000000-0005-0000-0000-0000BF900000}"/>
    <cellStyle name="Percent" xfId="6" builtinId="5"/>
    <cellStyle name="Percent 10" xfId="200" xr:uid="{00000000-0005-0000-0000-0000C1900000}"/>
    <cellStyle name="Percent 10 10" xfId="20555" xr:uid="{00000000-0005-0000-0000-0000C2900000}"/>
    <cellStyle name="Percent 10 11" xfId="20556" xr:uid="{00000000-0005-0000-0000-0000C3900000}"/>
    <cellStyle name="Percent 10 12" xfId="20554" xr:uid="{00000000-0005-0000-0000-0000C4900000}"/>
    <cellStyle name="Percent 10 2" xfId="385" xr:uid="{00000000-0005-0000-0000-0000C5900000}"/>
    <cellStyle name="Percent 10 2 2" xfId="577" xr:uid="{00000000-0005-0000-0000-0000C6900000}"/>
    <cellStyle name="Percent 10 2 2 2" xfId="20558" xr:uid="{00000000-0005-0000-0000-0000C7900000}"/>
    <cellStyle name="Percent 10 2 3" xfId="20559" xr:uid="{00000000-0005-0000-0000-0000C8900000}"/>
    <cellStyle name="Percent 10 2 4" xfId="20560" xr:uid="{00000000-0005-0000-0000-0000C9900000}"/>
    <cellStyle name="Percent 10 2 5" xfId="20561" xr:uid="{00000000-0005-0000-0000-0000CA900000}"/>
    <cellStyle name="Percent 10 2 6" xfId="20557" xr:uid="{00000000-0005-0000-0000-0000CB900000}"/>
    <cellStyle name="Percent 10 3" xfId="492" xr:uid="{00000000-0005-0000-0000-0000CC900000}"/>
    <cellStyle name="Percent 10 3 2" xfId="20562" xr:uid="{00000000-0005-0000-0000-0000CD900000}"/>
    <cellStyle name="Percent 10 4" xfId="20563" xr:uid="{00000000-0005-0000-0000-0000CE900000}"/>
    <cellStyle name="Percent 10 5" xfId="20564" xr:uid="{00000000-0005-0000-0000-0000CF900000}"/>
    <cellStyle name="Percent 10 6" xfId="20565" xr:uid="{00000000-0005-0000-0000-0000D0900000}"/>
    <cellStyle name="Percent 10 7" xfId="20566" xr:uid="{00000000-0005-0000-0000-0000D1900000}"/>
    <cellStyle name="Percent 10 8" xfId="20567" xr:uid="{00000000-0005-0000-0000-0000D2900000}"/>
    <cellStyle name="Percent 10 9" xfId="20568" xr:uid="{00000000-0005-0000-0000-0000D3900000}"/>
    <cellStyle name="Percent 11" xfId="181" xr:uid="{00000000-0005-0000-0000-0000D4900000}"/>
    <cellStyle name="Percent 11 2" xfId="294" xr:uid="{00000000-0005-0000-0000-0000D5900000}"/>
    <cellStyle name="Percent 12" xfId="350" xr:uid="{00000000-0005-0000-0000-0000D6900000}"/>
    <cellStyle name="Percent 12 2" xfId="540" xr:uid="{00000000-0005-0000-0000-0000D7900000}"/>
    <cellStyle name="Percent 12 2 2" xfId="20570" xr:uid="{00000000-0005-0000-0000-0000D8900000}"/>
    <cellStyle name="Percent 12 3" xfId="20569" xr:uid="{00000000-0005-0000-0000-0000D9900000}"/>
    <cellStyle name="Percent 13" xfId="431" xr:uid="{00000000-0005-0000-0000-0000DA900000}"/>
    <cellStyle name="Percent 13 2" xfId="588" xr:uid="{00000000-0005-0000-0000-0000DB900000}"/>
    <cellStyle name="Percent 13 2 2" xfId="20572" xr:uid="{00000000-0005-0000-0000-0000DC900000}"/>
    <cellStyle name="Percent 13 3" xfId="20571" xr:uid="{00000000-0005-0000-0000-0000DD900000}"/>
    <cellStyle name="Percent 14" xfId="435" xr:uid="{00000000-0005-0000-0000-0000DE900000}"/>
    <cellStyle name="Percent 14 2" xfId="593" xr:uid="{00000000-0005-0000-0000-0000DF900000}"/>
    <cellStyle name="Percent 14 2 2" xfId="20574" xr:uid="{00000000-0005-0000-0000-0000E0900000}"/>
    <cellStyle name="Percent 14 3" xfId="20573" xr:uid="{00000000-0005-0000-0000-0000E1900000}"/>
    <cellStyle name="Percent 15" xfId="657" xr:uid="{00000000-0005-0000-0000-0000E2900000}"/>
    <cellStyle name="Percent 15 2" xfId="20576" xr:uid="{00000000-0005-0000-0000-0000E3900000}"/>
    <cellStyle name="Percent 15 3" xfId="20575" xr:uid="{00000000-0005-0000-0000-0000E4900000}"/>
    <cellStyle name="Percent 16" xfId="661" xr:uid="{00000000-0005-0000-0000-0000E5900000}"/>
    <cellStyle name="Percent 16 2" xfId="20578" xr:uid="{00000000-0005-0000-0000-0000E6900000}"/>
    <cellStyle name="Percent 16 3" xfId="20577" xr:uid="{00000000-0005-0000-0000-0000E7900000}"/>
    <cellStyle name="Percent 17" xfId="667" xr:uid="{00000000-0005-0000-0000-0000E8900000}"/>
    <cellStyle name="Percent 17 2" xfId="20580" xr:uid="{00000000-0005-0000-0000-0000E9900000}"/>
    <cellStyle name="Percent 17 3" xfId="20579" xr:uid="{00000000-0005-0000-0000-0000EA900000}"/>
    <cellStyle name="Percent 18" xfId="20581" xr:uid="{00000000-0005-0000-0000-0000EB900000}"/>
    <cellStyle name="Percent 18 2" xfId="20582" xr:uid="{00000000-0005-0000-0000-0000EC900000}"/>
    <cellStyle name="Percent 19" xfId="20583" xr:uid="{00000000-0005-0000-0000-0000ED900000}"/>
    <cellStyle name="Percent 19 2" xfId="20584" xr:uid="{00000000-0005-0000-0000-0000EE900000}"/>
    <cellStyle name="Percent 2" xfId="128" xr:uid="{00000000-0005-0000-0000-0000EF900000}"/>
    <cellStyle name="Percent 2 10" xfId="20585" xr:uid="{00000000-0005-0000-0000-0000F0900000}"/>
    <cellStyle name="Percent 2 11" xfId="20586" xr:uid="{00000000-0005-0000-0000-0000F1900000}"/>
    <cellStyle name="Percent 2 12" xfId="20587" xr:uid="{00000000-0005-0000-0000-0000F2900000}"/>
    <cellStyle name="Percent 2 13" xfId="20588" xr:uid="{00000000-0005-0000-0000-0000F3900000}"/>
    <cellStyle name="Percent 2 14" xfId="20589" xr:uid="{00000000-0005-0000-0000-0000F4900000}"/>
    <cellStyle name="Percent 2 15" xfId="20590" xr:uid="{00000000-0005-0000-0000-0000F5900000}"/>
    <cellStyle name="Percent 2 16" xfId="20591" xr:uid="{00000000-0005-0000-0000-0000F6900000}"/>
    <cellStyle name="Percent 2 17" xfId="20592" xr:uid="{00000000-0005-0000-0000-0000F7900000}"/>
    <cellStyle name="Percent 2 18" xfId="20593" xr:uid="{00000000-0005-0000-0000-0000F8900000}"/>
    <cellStyle name="Percent 2 19" xfId="20594" xr:uid="{00000000-0005-0000-0000-0000F9900000}"/>
    <cellStyle name="Percent 2 2" xfId="275" xr:uid="{00000000-0005-0000-0000-0000FA900000}"/>
    <cellStyle name="Percent 2 2 10" xfId="20595" xr:uid="{00000000-0005-0000-0000-0000FB900000}"/>
    <cellStyle name="Percent 2 2 10 2" xfId="20596" xr:uid="{00000000-0005-0000-0000-0000FC900000}"/>
    <cellStyle name="Percent 2 2 10 3" xfId="20597" xr:uid="{00000000-0005-0000-0000-0000FD900000}"/>
    <cellStyle name="Percent 2 2 11" xfId="20598" xr:uid="{00000000-0005-0000-0000-0000FE900000}"/>
    <cellStyle name="Percent 2 2 11 2" xfId="20599" xr:uid="{00000000-0005-0000-0000-0000FF900000}"/>
    <cellStyle name="Percent 2 2 11 3" xfId="20600" xr:uid="{00000000-0005-0000-0000-000000910000}"/>
    <cellStyle name="Percent 2 2 12" xfId="20601" xr:uid="{00000000-0005-0000-0000-000001910000}"/>
    <cellStyle name="Percent 2 2 12 2" xfId="20602" xr:uid="{00000000-0005-0000-0000-000002910000}"/>
    <cellStyle name="Percent 2 2 12 3" xfId="20603" xr:uid="{00000000-0005-0000-0000-000003910000}"/>
    <cellStyle name="Percent 2 2 13" xfId="20604" xr:uid="{00000000-0005-0000-0000-000004910000}"/>
    <cellStyle name="Percent 2 2 13 2" xfId="20605" xr:uid="{00000000-0005-0000-0000-000005910000}"/>
    <cellStyle name="Percent 2 2 13 3" xfId="20606" xr:uid="{00000000-0005-0000-0000-000006910000}"/>
    <cellStyle name="Percent 2 2 14" xfId="20607" xr:uid="{00000000-0005-0000-0000-000007910000}"/>
    <cellStyle name="Percent 2 2 14 2" xfId="20608" xr:uid="{00000000-0005-0000-0000-000008910000}"/>
    <cellStyle name="Percent 2 2 14 3" xfId="20609" xr:uid="{00000000-0005-0000-0000-000009910000}"/>
    <cellStyle name="Percent 2 2 15" xfId="20610" xr:uid="{00000000-0005-0000-0000-00000A910000}"/>
    <cellStyle name="Percent 2 2 16" xfId="20611" xr:uid="{00000000-0005-0000-0000-00000B910000}"/>
    <cellStyle name="Percent 2 2 17" xfId="20612" xr:uid="{00000000-0005-0000-0000-00000C910000}"/>
    <cellStyle name="Percent 2 2 18" xfId="20613" xr:uid="{00000000-0005-0000-0000-00000D910000}"/>
    <cellStyle name="Percent 2 2 19" xfId="20614" xr:uid="{00000000-0005-0000-0000-00000E910000}"/>
    <cellStyle name="Percent 2 2 2" xfId="20615" xr:uid="{00000000-0005-0000-0000-00000F910000}"/>
    <cellStyle name="Percent 2 2 2 10" xfId="20616" xr:uid="{00000000-0005-0000-0000-000010910000}"/>
    <cellStyle name="Percent 2 2 2 2" xfId="20617" xr:uid="{00000000-0005-0000-0000-000011910000}"/>
    <cellStyle name="Percent 2 2 2 3" xfId="20618" xr:uid="{00000000-0005-0000-0000-000012910000}"/>
    <cellStyle name="Percent 2 2 2 4" xfId="20619" xr:uid="{00000000-0005-0000-0000-000013910000}"/>
    <cellStyle name="Percent 2 2 2 5" xfId="20620" xr:uid="{00000000-0005-0000-0000-000014910000}"/>
    <cellStyle name="Percent 2 2 2 6" xfId="20621" xr:uid="{00000000-0005-0000-0000-000015910000}"/>
    <cellStyle name="Percent 2 2 2 7" xfId="20622" xr:uid="{00000000-0005-0000-0000-000016910000}"/>
    <cellStyle name="Percent 2 2 2 8" xfId="20623" xr:uid="{00000000-0005-0000-0000-000017910000}"/>
    <cellStyle name="Percent 2 2 2 9" xfId="20624" xr:uid="{00000000-0005-0000-0000-000018910000}"/>
    <cellStyle name="Percent 2 2 20" xfId="20625" xr:uid="{00000000-0005-0000-0000-000019910000}"/>
    <cellStyle name="Percent 2 2 21" xfId="20626" xr:uid="{00000000-0005-0000-0000-00001A910000}"/>
    <cellStyle name="Percent 2 2 3" xfId="20627" xr:uid="{00000000-0005-0000-0000-00001B910000}"/>
    <cellStyle name="Percent 2 2 3 2" xfId="20628" xr:uid="{00000000-0005-0000-0000-00001C910000}"/>
    <cellStyle name="Percent 2 2 3 3" xfId="20629" xr:uid="{00000000-0005-0000-0000-00001D910000}"/>
    <cellStyle name="Percent 2 2 4" xfId="20630" xr:uid="{00000000-0005-0000-0000-00001E910000}"/>
    <cellStyle name="Percent 2 2 4 2" xfId="20631" xr:uid="{00000000-0005-0000-0000-00001F910000}"/>
    <cellStyle name="Percent 2 2 4 3" xfId="20632" xr:uid="{00000000-0005-0000-0000-000020910000}"/>
    <cellStyle name="Percent 2 2 5" xfId="20633" xr:uid="{00000000-0005-0000-0000-000021910000}"/>
    <cellStyle name="Percent 2 2 5 2" xfId="20634" xr:uid="{00000000-0005-0000-0000-000022910000}"/>
    <cellStyle name="Percent 2 2 5 3" xfId="20635" xr:uid="{00000000-0005-0000-0000-000023910000}"/>
    <cellStyle name="Percent 2 2 6" xfId="20636" xr:uid="{00000000-0005-0000-0000-000024910000}"/>
    <cellStyle name="Percent 2 2 6 2" xfId="20637" xr:uid="{00000000-0005-0000-0000-000025910000}"/>
    <cellStyle name="Percent 2 2 6 3" xfId="20638" xr:uid="{00000000-0005-0000-0000-000026910000}"/>
    <cellStyle name="Percent 2 2 7" xfId="20639" xr:uid="{00000000-0005-0000-0000-000027910000}"/>
    <cellStyle name="Percent 2 2 7 2" xfId="20640" xr:uid="{00000000-0005-0000-0000-000028910000}"/>
    <cellStyle name="Percent 2 2 7 3" xfId="20641" xr:uid="{00000000-0005-0000-0000-000029910000}"/>
    <cellStyle name="Percent 2 2 8" xfId="20642" xr:uid="{00000000-0005-0000-0000-00002A910000}"/>
    <cellStyle name="Percent 2 2 8 2" xfId="20643" xr:uid="{00000000-0005-0000-0000-00002B910000}"/>
    <cellStyle name="Percent 2 2 8 3" xfId="20644" xr:uid="{00000000-0005-0000-0000-00002C910000}"/>
    <cellStyle name="Percent 2 2 9" xfId="20645" xr:uid="{00000000-0005-0000-0000-00002D910000}"/>
    <cellStyle name="Percent 2 2 9 2" xfId="20646" xr:uid="{00000000-0005-0000-0000-00002E910000}"/>
    <cellStyle name="Percent 2 2 9 3" xfId="20647" xr:uid="{00000000-0005-0000-0000-00002F910000}"/>
    <cellStyle name="Percent 2 20" xfId="20648" xr:uid="{00000000-0005-0000-0000-000030910000}"/>
    <cellStyle name="Percent 2 21" xfId="20649" xr:uid="{00000000-0005-0000-0000-000031910000}"/>
    <cellStyle name="Percent 2 22" xfId="20650" xr:uid="{00000000-0005-0000-0000-000032910000}"/>
    <cellStyle name="Percent 2 23" xfId="20651" xr:uid="{00000000-0005-0000-0000-000033910000}"/>
    <cellStyle name="Percent 2 24" xfId="20652" xr:uid="{00000000-0005-0000-0000-000034910000}"/>
    <cellStyle name="Percent 2 25" xfId="20653" xr:uid="{00000000-0005-0000-0000-000035910000}"/>
    <cellStyle name="Percent 2 26" xfId="20654" xr:uid="{00000000-0005-0000-0000-000036910000}"/>
    <cellStyle name="Percent 2 3" xfId="454" xr:uid="{00000000-0005-0000-0000-000037910000}"/>
    <cellStyle name="Percent 2 3 10" xfId="20656" xr:uid="{00000000-0005-0000-0000-000038910000}"/>
    <cellStyle name="Percent 2 3 11" xfId="20655" xr:uid="{00000000-0005-0000-0000-000039910000}"/>
    <cellStyle name="Percent 2 3 2" xfId="20657" xr:uid="{00000000-0005-0000-0000-00003A910000}"/>
    <cellStyle name="Percent 2 3 3" xfId="20658" xr:uid="{00000000-0005-0000-0000-00003B910000}"/>
    <cellStyle name="Percent 2 3 4" xfId="20659" xr:uid="{00000000-0005-0000-0000-00003C910000}"/>
    <cellStyle name="Percent 2 3 5" xfId="20660" xr:uid="{00000000-0005-0000-0000-00003D910000}"/>
    <cellStyle name="Percent 2 3 6" xfId="20661" xr:uid="{00000000-0005-0000-0000-00003E910000}"/>
    <cellStyle name="Percent 2 3 7" xfId="20662" xr:uid="{00000000-0005-0000-0000-00003F910000}"/>
    <cellStyle name="Percent 2 3 8" xfId="20663" xr:uid="{00000000-0005-0000-0000-000040910000}"/>
    <cellStyle name="Percent 2 3 9" xfId="20664" xr:uid="{00000000-0005-0000-0000-000041910000}"/>
    <cellStyle name="Percent 2 4" xfId="20665" xr:uid="{00000000-0005-0000-0000-000042910000}"/>
    <cellStyle name="Percent 2 4 10" xfId="20666" xr:uid="{00000000-0005-0000-0000-000043910000}"/>
    <cellStyle name="Percent 2 4 2" xfId="20667" xr:uid="{00000000-0005-0000-0000-000044910000}"/>
    <cellStyle name="Percent 2 4 3" xfId="20668" xr:uid="{00000000-0005-0000-0000-000045910000}"/>
    <cellStyle name="Percent 2 4 4" xfId="20669" xr:uid="{00000000-0005-0000-0000-000046910000}"/>
    <cellStyle name="Percent 2 4 5" xfId="20670" xr:uid="{00000000-0005-0000-0000-000047910000}"/>
    <cellStyle name="Percent 2 4 6" xfId="20671" xr:uid="{00000000-0005-0000-0000-000048910000}"/>
    <cellStyle name="Percent 2 4 7" xfId="20672" xr:uid="{00000000-0005-0000-0000-000049910000}"/>
    <cellStyle name="Percent 2 4 8" xfId="20673" xr:uid="{00000000-0005-0000-0000-00004A910000}"/>
    <cellStyle name="Percent 2 4 9" xfId="20674" xr:uid="{00000000-0005-0000-0000-00004B910000}"/>
    <cellStyle name="Percent 2 5" xfId="20675" xr:uid="{00000000-0005-0000-0000-00004C910000}"/>
    <cellStyle name="Percent 2 5 10" xfId="20676" xr:uid="{00000000-0005-0000-0000-00004D910000}"/>
    <cellStyle name="Percent 2 5 2" xfId="20677" xr:uid="{00000000-0005-0000-0000-00004E910000}"/>
    <cellStyle name="Percent 2 5 3" xfId="20678" xr:uid="{00000000-0005-0000-0000-00004F910000}"/>
    <cellStyle name="Percent 2 5 4" xfId="20679" xr:uid="{00000000-0005-0000-0000-000050910000}"/>
    <cellStyle name="Percent 2 5 5" xfId="20680" xr:uid="{00000000-0005-0000-0000-000051910000}"/>
    <cellStyle name="Percent 2 5 6" xfId="20681" xr:uid="{00000000-0005-0000-0000-000052910000}"/>
    <cellStyle name="Percent 2 5 7" xfId="20682" xr:uid="{00000000-0005-0000-0000-000053910000}"/>
    <cellStyle name="Percent 2 5 8" xfId="20683" xr:uid="{00000000-0005-0000-0000-000054910000}"/>
    <cellStyle name="Percent 2 5 9" xfId="20684" xr:uid="{00000000-0005-0000-0000-000055910000}"/>
    <cellStyle name="Percent 2 6" xfId="20685" xr:uid="{00000000-0005-0000-0000-000056910000}"/>
    <cellStyle name="Percent 2 6 10" xfId="20686" xr:uid="{00000000-0005-0000-0000-000057910000}"/>
    <cellStyle name="Percent 2 6 2" xfId="20687" xr:uid="{00000000-0005-0000-0000-000058910000}"/>
    <cellStyle name="Percent 2 6 3" xfId="20688" xr:uid="{00000000-0005-0000-0000-000059910000}"/>
    <cellStyle name="Percent 2 6 4" xfId="20689" xr:uid="{00000000-0005-0000-0000-00005A910000}"/>
    <cellStyle name="Percent 2 6 5" xfId="20690" xr:uid="{00000000-0005-0000-0000-00005B910000}"/>
    <cellStyle name="Percent 2 6 6" xfId="20691" xr:uid="{00000000-0005-0000-0000-00005C910000}"/>
    <cellStyle name="Percent 2 6 7" xfId="20692" xr:uid="{00000000-0005-0000-0000-00005D910000}"/>
    <cellStyle name="Percent 2 6 8" xfId="20693" xr:uid="{00000000-0005-0000-0000-00005E910000}"/>
    <cellStyle name="Percent 2 6 9" xfId="20694" xr:uid="{00000000-0005-0000-0000-00005F910000}"/>
    <cellStyle name="Percent 2 7" xfId="20695" xr:uid="{00000000-0005-0000-0000-000060910000}"/>
    <cellStyle name="Percent 2 8" xfId="20696" xr:uid="{00000000-0005-0000-0000-000061910000}"/>
    <cellStyle name="Percent 2 9" xfId="20697" xr:uid="{00000000-0005-0000-0000-000062910000}"/>
    <cellStyle name="Percent 20" xfId="20698" xr:uid="{00000000-0005-0000-0000-000063910000}"/>
    <cellStyle name="Percent 20 2" xfId="20699" xr:uid="{00000000-0005-0000-0000-000064910000}"/>
    <cellStyle name="Percent 21" xfId="20700" xr:uid="{00000000-0005-0000-0000-000065910000}"/>
    <cellStyle name="Percent 21 2" xfId="20701" xr:uid="{00000000-0005-0000-0000-000066910000}"/>
    <cellStyle name="Percent 22" xfId="20702" xr:uid="{00000000-0005-0000-0000-000067910000}"/>
    <cellStyle name="Percent 22 2" xfId="20703" xr:uid="{00000000-0005-0000-0000-000068910000}"/>
    <cellStyle name="Percent 23" xfId="20704" xr:uid="{00000000-0005-0000-0000-000069910000}"/>
    <cellStyle name="Percent 24" xfId="20705" xr:uid="{00000000-0005-0000-0000-00006A910000}"/>
    <cellStyle name="Percent 25" xfId="20706" xr:uid="{00000000-0005-0000-0000-00006B910000}"/>
    <cellStyle name="Percent 26" xfId="20707" xr:uid="{00000000-0005-0000-0000-00006C910000}"/>
    <cellStyle name="Percent 27" xfId="20708" xr:uid="{00000000-0005-0000-0000-00006D910000}"/>
    <cellStyle name="Percent 28" xfId="20709" xr:uid="{00000000-0005-0000-0000-00006E910000}"/>
    <cellStyle name="Percent 29" xfId="20710" xr:uid="{00000000-0005-0000-0000-00006F910000}"/>
    <cellStyle name="Percent 3" xfId="129" xr:uid="{00000000-0005-0000-0000-000070910000}"/>
    <cellStyle name="Percent 3 2" xfId="276" xr:uid="{00000000-0005-0000-0000-000071910000}"/>
    <cellStyle name="Percent 3 3" xfId="287" xr:uid="{00000000-0005-0000-0000-000072910000}"/>
    <cellStyle name="Percent 3 3 2" xfId="501" xr:uid="{00000000-0005-0000-0000-000073910000}"/>
    <cellStyle name="Percent 3 3 3" xfId="20711" xr:uid="{00000000-0005-0000-0000-000074910000}"/>
    <cellStyle name="Percent 3 4" xfId="315" xr:uid="{00000000-0005-0000-0000-000075910000}"/>
    <cellStyle name="Percent 3 4 2" xfId="20712" xr:uid="{00000000-0005-0000-0000-000076910000}"/>
    <cellStyle name="Percent 3 5" xfId="20713" xr:uid="{00000000-0005-0000-0000-000077910000}"/>
    <cellStyle name="Percent 30" xfId="20714" xr:uid="{00000000-0005-0000-0000-000078910000}"/>
    <cellStyle name="Percent 31" xfId="20715" xr:uid="{00000000-0005-0000-0000-000079910000}"/>
    <cellStyle name="Percent 32" xfId="20716" xr:uid="{00000000-0005-0000-0000-00007A910000}"/>
    <cellStyle name="Percent 33" xfId="20717" xr:uid="{00000000-0005-0000-0000-00007B910000}"/>
    <cellStyle name="Percent 34" xfId="20718" xr:uid="{00000000-0005-0000-0000-00007C910000}"/>
    <cellStyle name="Percent 35" xfId="20719" xr:uid="{00000000-0005-0000-0000-00007D910000}"/>
    <cellStyle name="Percent 36" xfId="20720" xr:uid="{00000000-0005-0000-0000-00007E910000}"/>
    <cellStyle name="Percent 37" xfId="20721" xr:uid="{00000000-0005-0000-0000-00007F910000}"/>
    <cellStyle name="Percent 38" xfId="20722" xr:uid="{00000000-0005-0000-0000-000080910000}"/>
    <cellStyle name="Percent 39" xfId="20723" xr:uid="{00000000-0005-0000-0000-000081910000}"/>
    <cellStyle name="Percent 39 2" xfId="20724" xr:uid="{00000000-0005-0000-0000-000082910000}"/>
    <cellStyle name="Percent 39 2 2" xfId="20725" xr:uid="{00000000-0005-0000-0000-000083910000}"/>
    <cellStyle name="Percent 39 3" xfId="20726" xr:uid="{00000000-0005-0000-0000-000084910000}"/>
    <cellStyle name="Percent 39 3 2" xfId="20727" xr:uid="{00000000-0005-0000-0000-000085910000}"/>
    <cellStyle name="Percent 39 4" xfId="20728" xr:uid="{00000000-0005-0000-0000-000086910000}"/>
    <cellStyle name="Percent 39 4 2" xfId="20729" xr:uid="{00000000-0005-0000-0000-000087910000}"/>
    <cellStyle name="Percent 39 5" xfId="20730" xr:uid="{00000000-0005-0000-0000-000088910000}"/>
    <cellStyle name="Percent 39 5 2" xfId="20731" xr:uid="{00000000-0005-0000-0000-000089910000}"/>
    <cellStyle name="Percent 39 6" xfId="20732" xr:uid="{00000000-0005-0000-0000-00008A910000}"/>
    <cellStyle name="Percent 39 6 2" xfId="20733" xr:uid="{00000000-0005-0000-0000-00008B910000}"/>
    <cellStyle name="Percent 39 7" xfId="20734" xr:uid="{00000000-0005-0000-0000-00008C910000}"/>
    <cellStyle name="Percent 39 7 2" xfId="20735" xr:uid="{00000000-0005-0000-0000-00008D910000}"/>
    <cellStyle name="Percent 39 8" xfId="20736" xr:uid="{00000000-0005-0000-0000-00008E910000}"/>
    <cellStyle name="Percent 4" xfId="130" xr:uid="{00000000-0005-0000-0000-00008F910000}"/>
    <cellStyle name="Percent 4 10" xfId="20737" xr:uid="{00000000-0005-0000-0000-000090910000}"/>
    <cellStyle name="Percent 4 11" xfId="20738" xr:uid="{00000000-0005-0000-0000-000091910000}"/>
    <cellStyle name="Percent 4 12" xfId="20739" xr:uid="{00000000-0005-0000-0000-000092910000}"/>
    <cellStyle name="Percent 4 13" xfId="20740" xr:uid="{00000000-0005-0000-0000-000093910000}"/>
    <cellStyle name="Percent 4 2" xfId="277" xr:uid="{00000000-0005-0000-0000-000094910000}"/>
    <cellStyle name="Percent 4 2 10" xfId="20742" xr:uid="{00000000-0005-0000-0000-000095910000}"/>
    <cellStyle name="Percent 4 2 2" xfId="20743" xr:uid="{00000000-0005-0000-0000-000096910000}"/>
    <cellStyle name="Percent 4 2 2 2" xfId="20744" xr:uid="{00000000-0005-0000-0000-000097910000}"/>
    <cellStyle name="Percent 4 2 2 3" xfId="20745" xr:uid="{00000000-0005-0000-0000-000098910000}"/>
    <cellStyle name="Percent 4 2 2 4" xfId="20746" xr:uid="{00000000-0005-0000-0000-000099910000}"/>
    <cellStyle name="Percent 4 2 3" xfId="20747" xr:uid="{00000000-0005-0000-0000-00009A910000}"/>
    <cellStyle name="Percent 4 2 4" xfId="20748" xr:uid="{00000000-0005-0000-0000-00009B910000}"/>
    <cellStyle name="Percent 4 2 5" xfId="20749" xr:uid="{00000000-0005-0000-0000-00009C910000}"/>
    <cellStyle name="Percent 4 2 6" xfId="20750" xr:uid="{00000000-0005-0000-0000-00009D910000}"/>
    <cellStyle name="Percent 4 2 7" xfId="20751" xr:uid="{00000000-0005-0000-0000-00009E910000}"/>
    <cellStyle name="Percent 4 2 8" xfId="20752" xr:uid="{00000000-0005-0000-0000-00009F910000}"/>
    <cellStyle name="Percent 4 2 9" xfId="20753" xr:uid="{00000000-0005-0000-0000-0000A0910000}"/>
    <cellStyle name="Percent 4 3" xfId="288" xr:uid="{00000000-0005-0000-0000-0000A1910000}"/>
    <cellStyle name="Percent 4 3 2" xfId="20754" xr:uid="{00000000-0005-0000-0000-0000A2910000}"/>
    <cellStyle name="Percent 4 4" xfId="20755" xr:uid="{00000000-0005-0000-0000-0000A3910000}"/>
    <cellStyle name="Percent 4 5" xfId="20756" xr:uid="{00000000-0005-0000-0000-0000A4910000}"/>
    <cellStyle name="Percent 4 6" xfId="20757" xr:uid="{00000000-0005-0000-0000-0000A5910000}"/>
    <cellStyle name="Percent 4 6 2" xfId="20758" xr:uid="{00000000-0005-0000-0000-0000A6910000}"/>
    <cellStyle name="Percent 4 6 3" xfId="20759" xr:uid="{00000000-0005-0000-0000-0000A7910000}"/>
    <cellStyle name="Percent 4 6 4" xfId="20760" xr:uid="{00000000-0005-0000-0000-0000A8910000}"/>
    <cellStyle name="Percent 4 7" xfId="20761" xr:uid="{00000000-0005-0000-0000-0000A9910000}"/>
    <cellStyle name="Percent 4 8" xfId="20762" xr:uid="{00000000-0005-0000-0000-0000AA910000}"/>
    <cellStyle name="Percent 4 9" xfId="20763" xr:uid="{00000000-0005-0000-0000-0000AB910000}"/>
    <cellStyle name="Percent 40" xfId="20764" xr:uid="{00000000-0005-0000-0000-0000AC910000}"/>
    <cellStyle name="Percent 40 2" xfId="20765" xr:uid="{00000000-0005-0000-0000-0000AD910000}"/>
    <cellStyle name="Percent 40 2 2" xfId="20766" xr:uid="{00000000-0005-0000-0000-0000AE910000}"/>
    <cellStyle name="Percent 40 3" xfId="20767" xr:uid="{00000000-0005-0000-0000-0000AF910000}"/>
    <cellStyle name="Percent 40 3 2" xfId="20768" xr:uid="{00000000-0005-0000-0000-0000B0910000}"/>
    <cellStyle name="Percent 40 4" xfId="20769" xr:uid="{00000000-0005-0000-0000-0000B1910000}"/>
    <cellStyle name="Percent 40 4 2" xfId="20770" xr:uid="{00000000-0005-0000-0000-0000B2910000}"/>
    <cellStyle name="Percent 40 5" xfId="20771" xr:uid="{00000000-0005-0000-0000-0000B3910000}"/>
    <cellStyle name="Percent 40 5 2" xfId="20772" xr:uid="{00000000-0005-0000-0000-0000B4910000}"/>
    <cellStyle name="Percent 40 6" xfId="20773" xr:uid="{00000000-0005-0000-0000-0000B5910000}"/>
    <cellStyle name="Percent 40 6 2" xfId="20774" xr:uid="{00000000-0005-0000-0000-0000B6910000}"/>
    <cellStyle name="Percent 40 7" xfId="20775" xr:uid="{00000000-0005-0000-0000-0000B7910000}"/>
    <cellStyle name="Percent 40 7 2" xfId="20776" xr:uid="{00000000-0005-0000-0000-0000B8910000}"/>
    <cellStyle name="Percent 40 8" xfId="20777" xr:uid="{00000000-0005-0000-0000-0000B9910000}"/>
    <cellStyle name="Percent 41" xfId="20778" xr:uid="{00000000-0005-0000-0000-0000BA910000}"/>
    <cellStyle name="Percent 41 2" xfId="20779" xr:uid="{00000000-0005-0000-0000-0000BB910000}"/>
    <cellStyle name="Percent 42" xfId="20780" xr:uid="{00000000-0005-0000-0000-0000BC910000}"/>
    <cellStyle name="Percent 42 2" xfId="20781" xr:uid="{00000000-0005-0000-0000-0000BD910000}"/>
    <cellStyle name="Percent 42 2 2" xfId="20782" xr:uid="{00000000-0005-0000-0000-0000BE910000}"/>
    <cellStyle name="Percent 42 3" xfId="20783" xr:uid="{00000000-0005-0000-0000-0000BF910000}"/>
    <cellStyle name="Percent 42 3 2" xfId="20784" xr:uid="{00000000-0005-0000-0000-0000C0910000}"/>
    <cellStyle name="Percent 42 4" xfId="20785" xr:uid="{00000000-0005-0000-0000-0000C1910000}"/>
    <cellStyle name="Percent 42 4 2" xfId="20786" xr:uid="{00000000-0005-0000-0000-0000C2910000}"/>
    <cellStyle name="Percent 42 5" xfId="20787" xr:uid="{00000000-0005-0000-0000-0000C3910000}"/>
    <cellStyle name="Percent 42 5 2" xfId="20788" xr:uid="{00000000-0005-0000-0000-0000C4910000}"/>
    <cellStyle name="Percent 42 6" xfId="20789" xr:uid="{00000000-0005-0000-0000-0000C5910000}"/>
    <cellStyle name="Percent 42 6 2" xfId="20790" xr:uid="{00000000-0005-0000-0000-0000C6910000}"/>
    <cellStyle name="Percent 42 7" xfId="20791" xr:uid="{00000000-0005-0000-0000-0000C7910000}"/>
    <cellStyle name="Percent 42 7 2" xfId="20792" xr:uid="{00000000-0005-0000-0000-0000C8910000}"/>
    <cellStyle name="Percent 42 8" xfId="20793" xr:uid="{00000000-0005-0000-0000-0000C9910000}"/>
    <cellStyle name="Percent 43" xfId="20794" xr:uid="{00000000-0005-0000-0000-0000CA910000}"/>
    <cellStyle name="Percent 43 10" xfId="20795" xr:uid="{00000000-0005-0000-0000-0000CB910000}"/>
    <cellStyle name="Percent 43 2" xfId="20796" xr:uid="{00000000-0005-0000-0000-0000CC910000}"/>
    <cellStyle name="Percent 43 3" xfId="20797" xr:uid="{00000000-0005-0000-0000-0000CD910000}"/>
    <cellStyle name="Percent 43 4" xfId="20798" xr:uid="{00000000-0005-0000-0000-0000CE910000}"/>
    <cellStyle name="Percent 43 5" xfId="20799" xr:uid="{00000000-0005-0000-0000-0000CF910000}"/>
    <cellStyle name="Percent 43 6" xfId="20800" xr:uid="{00000000-0005-0000-0000-0000D0910000}"/>
    <cellStyle name="Percent 43 7" xfId="20801" xr:uid="{00000000-0005-0000-0000-0000D1910000}"/>
    <cellStyle name="Percent 43 8" xfId="20802" xr:uid="{00000000-0005-0000-0000-0000D2910000}"/>
    <cellStyle name="Percent 43 9" xfId="20803" xr:uid="{00000000-0005-0000-0000-0000D3910000}"/>
    <cellStyle name="Percent 44" xfId="20804" xr:uid="{00000000-0005-0000-0000-0000D4910000}"/>
    <cellStyle name="Percent 44 10" xfId="20805" xr:uid="{00000000-0005-0000-0000-0000D5910000}"/>
    <cellStyle name="Percent 44 2" xfId="20806" xr:uid="{00000000-0005-0000-0000-0000D6910000}"/>
    <cellStyle name="Percent 44 3" xfId="20807" xr:uid="{00000000-0005-0000-0000-0000D7910000}"/>
    <cellStyle name="Percent 44 4" xfId="20808" xr:uid="{00000000-0005-0000-0000-0000D8910000}"/>
    <cellStyle name="Percent 44 5" xfId="20809" xr:uid="{00000000-0005-0000-0000-0000D9910000}"/>
    <cellStyle name="Percent 44 6" xfId="20810" xr:uid="{00000000-0005-0000-0000-0000DA910000}"/>
    <cellStyle name="Percent 44 7" xfId="20811" xr:uid="{00000000-0005-0000-0000-0000DB910000}"/>
    <cellStyle name="Percent 44 8" xfId="20812" xr:uid="{00000000-0005-0000-0000-0000DC910000}"/>
    <cellStyle name="Percent 44 9" xfId="20813" xr:uid="{00000000-0005-0000-0000-0000DD910000}"/>
    <cellStyle name="Percent 45" xfId="20814" xr:uid="{00000000-0005-0000-0000-0000DE910000}"/>
    <cellStyle name="Percent 45 10" xfId="20815" xr:uid="{00000000-0005-0000-0000-0000DF910000}"/>
    <cellStyle name="Percent 45 2" xfId="20816" xr:uid="{00000000-0005-0000-0000-0000E0910000}"/>
    <cellStyle name="Percent 45 3" xfId="20817" xr:uid="{00000000-0005-0000-0000-0000E1910000}"/>
    <cellStyle name="Percent 45 4" xfId="20818" xr:uid="{00000000-0005-0000-0000-0000E2910000}"/>
    <cellStyle name="Percent 45 5" xfId="20819" xr:uid="{00000000-0005-0000-0000-0000E3910000}"/>
    <cellStyle name="Percent 45 6" xfId="20820" xr:uid="{00000000-0005-0000-0000-0000E4910000}"/>
    <cellStyle name="Percent 45 7" xfId="20821" xr:uid="{00000000-0005-0000-0000-0000E5910000}"/>
    <cellStyle name="Percent 45 8" xfId="20822" xr:uid="{00000000-0005-0000-0000-0000E6910000}"/>
    <cellStyle name="Percent 45 9" xfId="20823" xr:uid="{00000000-0005-0000-0000-0000E7910000}"/>
    <cellStyle name="Percent 46" xfId="20824" xr:uid="{00000000-0005-0000-0000-0000E8910000}"/>
    <cellStyle name="Percent 46 10" xfId="20825" xr:uid="{00000000-0005-0000-0000-0000E9910000}"/>
    <cellStyle name="Percent 46 2" xfId="20826" xr:uid="{00000000-0005-0000-0000-0000EA910000}"/>
    <cellStyle name="Percent 46 3" xfId="20827" xr:uid="{00000000-0005-0000-0000-0000EB910000}"/>
    <cellStyle name="Percent 46 4" xfId="20828" xr:uid="{00000000-0005-0000-0000-0000EC910000}"/>
    <cellStyle name="Percent 46 5" xfId="20829" xr:uid="{00000000-0005-0000-0000-0000ED910000}"/>
    <cellStyle name="Percent 46 6" xfId="20830" xr:uid="{00000000-0005-0000-0000-0000EE910000}"/>
    <cellStyle name="Percent 46 7" xfId="20831" xr:uid="{00000000-0005-0000-0000-0000EF910000}"/>
    <cellStyle name="Percent 46 8" xfId="20832" xr:uid="{00000000-0005-0000-0000-0000F0910000}"/>
    <cellStyle name="Percent 46 9" xfId="20833" xr:uid="{00000000-0005-0000-0000-0000F1910000}"/>
    <cellStyle name="Percent 47" xfId="20834" xr:uid="{00000000-0005-0000-0000-0000F2910000}"/>
    <cellStyle name="Percent 47 10" xfId="20835" xr:uid="{00000000-0005-0000-0000-0000F3910000}"/>
    <cellStyle name="Percent 47 2" xfId="20836" xr:uid="{00000000-0005-0000-0000-0000F4910000}"/>
    <cellStyle name="Percent 47 3" xfId="20837" xr:uid="{00000000-0005-0000-0000-0000F5910000}"/>
    <cellStyle name="Percent 47 4" xfId="20838" xr:uid="{00000000-0005-0000-0000-0000F6910000}"/>
    <cellStyle name="Percent 47 5" xfId="20839" xr:uid="{00000000-0005-0000-0000-0000F7910000}"/>
    <cellStyle name="Percent 47 6" xfId="20840" xr:uid="{00000000-0005-0000-0000-0000F8910000}"/>
    <cellStyle name="Percent 47 7" xfId="20841" xr:uid="{00000000-0005-0000-0000-0000F9910000}"/>
    <cellStyle name="Percent 47 8" xfId="20842" xr:uid="{00000000-0005-0000-0000-0000FA910000}"/>
    <cellStyle name="Percent 47 9" xfId="20843" xr:uid="{00000000-0005-0000-0000-0000FB910000}"/>
    <cellStyle name="Percent 48" xfId="20844" xr:uid="{00000000-0005-0000-0000-0000FC910000}"/>
    <cellStyle name="Percent 48 10" xfId="20845" xr:uid="{00000000-0005-0000-0000-0000FD910000}"/>
    <cellStyle name="Percent 48 2" xfId="20846" xr:uid="{00000000-0005-0000-0000-0000FE910000}"/>
    <cellStyle name="Percent 48 3" xfId="20847" xr:uid="{00000000-0005-0000-0000-0000FF910000}"/>
    <cellStyle name="Percent 48 4" xfId="20848" xr:uid="{00000000-0005-0000-0000-000000920000}"/>
    <cellStyle name="Percent 48 5" xfId="20849" xr:uid="{00000000-0005-0000-0000-000001920000}"/>
    <cellStyle name="Percent 48 6" xfId="20850" xr:uid="{00000000-0005-0000-0000-000002920000}"/>
    <cellStyle name="Percent 48 7" xfId="20851" xr:uid="{00000000-0005-0000-0000-000003920000}"/>
    <cellStyle name="Percent 48 8" xfId="20852" xr:uid="{00000000-0005-0000-0000-000004920000}"/>
    <cellStyle name="Percent 48 9" xfId="20853" xr:uid="{00000000-0005-0000-0000-000005920000}"/>
    <cellStyle name="Percent 49" xfId="673" xr:uid="{00000000-0005-0000-0000-000006920000}"/>
    <cellStyle name="Percent 5" xfId="131" xr:uid="{00000000-0005-0000-0000-000007920000}"/>
    <cellStyle name="Percent 5 2" xfId="278" xr:uid="{00000000-0005-0000-0000-000008920000}"/>
    <cellStyle name="Percent 5 3" xfId="20854" xr:uid="{00000000-0005-0000-0000-000009920000}"/>
    <cellStyle name="Percent 5 4" xfId="20855" xr:uid="{00000000-0005-0000-0000-00000A920000}"/>
    <cellStyle name="Percent 5 5" xfId="20856" xr:uid="{00000000-0005-0000-0000-00000B920000}"/>
    <cellStyle name="Percent 5 6" xfId="37597" xr:uid="{00000000-0005-0000-0000-00000C920000}"/>
    <cellStyle name="Percent 50" xfId="328" xr:uid="{00000000-0005-0000-0000-00000D920000}"/>
    <cellStyle name="Percent 50 2" xfId="21155" xr:uid="{00000000-0005-0000-0000-00000E920000}"/>
    <cellStyle name="Percent 51 2" xfId="20857" xr:uid="{00000000-0005-0000-0000-00000F920000}"/>
    <cellStyle name="Percent 51 3" xfId="20858" xr:uid="{00000000-0005-0000-0000-000010920000}"/>
    <cellStyle name="Percent 51 4" xfId="20859" xr:uid="{00000000-0005-0000-0000-000011920000}"/>
    <cellStyle name="Percent 52 2" xfId="20860" xr:uid="{00000000-0005-0000-0000-000012920000}"/>
    <cellStyle name="Percent 52 3" xfId="20861" xr:uid="{00000000-0005-0000-0000-000013920000}"/>
    <cellStyle name="Percent 52 4" xfId="20862" xr:uid="{00000000-0005-0000-0000-000014920000}"/>
    <cellStyle name="Percent 52 5" xfId="20863" xr:uid="{00000000-0005-0000-0000-000015920000}"/>
    <cellStyle name="Percent 52 6" xfId="20864" xr:uid="{00000000-0005-0000-0000-000016920000}"/>
    <cellStyle name="Percent 52 7" xfId="20865" xr:uid="{00000000-0005-0000-0000-000017920000}"/>
    <cellStyle name="Percent 52 8" xfId="20866" xr:uid="{00000000-0005-0000-0000-000018920000}"/>
    <cellStyle name="Percent 55 2" xfId="20867" xr:uid="{00000000-0005-0000-0000-000019920000}"/>
    <cellStyle name="Percent 55 3" xfId="20868" xr:uid="{00000000-0005-0000-0000-00001A920000}"/>
    <cellStyle name="Percent 57 2" xfId="20869" xr:uid="{00000000-0005-0000-0000-00001B920000}"/>
    <cellStyle name="Percent 57 2 2" xfId="20870" xr:uid="{00000000-0005-0000-0000-00001C920000}"/>
    <cellStyle name="Percent 57 2 3" xfId="20871" xr:uid="{00000000-0005-0000-0000-00001D920000}"/>
    <cellStyle name="Percent 57 3" xfId="20872" xr:uid="{00000000-0005-0000-0000-00001E920000}"/>
    <cellStyle name="Percent 57 4" xfId="20873" xr:uid="{00000000-0005-0000-0000-00001F920000}"/>
    <cellStyle name="Percent 58 2" xfId="20874" xr:uid="{00000000-0005-0000-0000-000020920000}"/>
    <cellStyle name="Percent 58 3" xfId="20875" xr:uid="{00000000-0005-0000-0000-000021920000}"/>
    <cellStyle name="Percent 59 2" xfId="20876" xr:uid="{00000000-0005-0000-0000-000022920000}"/>
    <cellStyle name="Percent 59 3" xfId="20877" xr:uid="{00000000-0005-0000-0000-000023920000}"/>
    <cellStyle name="Percent 6" xfId="132" xr:uid="{00000000-0005-0000-0000-000024920000}"/>
    <cellStyle name="Percent 6 2" xfId="279" xr:uid="{00000000-0005-0000-0000-000025920000}"/>
    <cellStyle name="Percent 6 3" xfId="20878" xr:uid="{00000000-0005-0000-0000-000026920000}"/>
    <cellStyle name="Percent 6 4" xfId="20879" xr:uid="{00000000-0005-0000-0000-000027920000}"/>
    <cellStyle name="Percent 6 5" xfId="20880" xr:uid="{00000000-0005-0000-0000-000028920000}"/>
    <cellStyle name="Percent 6 6" xfId="37598" xr:uid="{00000000-0005-0000-0000-000029920000}"/>
    <cellStyle name="Percent 60 2" xfId="20881" xr:uid="{00000000-0005-0000-0000-00002A920000}"/>
    <cellStyle name="Percent 60 3" xfId="20882" xr:uid="{00000000-0005-0000-0000-00002B920000}"/>
    <cellStyle name="Percent 61 2" xfId="20883" xr:uid="{00000000-0005-0000-0000-00002C920000}"/>
    <cellStyle name="Percent 61 3" xfId="20884" xr:uid="{00000000-0005-0000-0000-00002D920000}"/>
    <cellStyle name="Percent 62" xfId="20885" xr:uid="{00000000-0005-0000-0000-00002E920000}"/>
    <cellStyle name="Percent 64" xfId="20886" xr:uid="{00000000-0005-0000-0000-00002F920000}"/>
    <cellStyle name="Percent 68" xfId="20887" xr:uid="{00000000-0005-0000-0000-000030920000}"/>
    <cellStyle name="Percent 7" xfId="133" xr:uid="{00000000-0005-0000-0000-000031920000}"/>
    <cellStyle name="Percent 7 10" xfId="20888" xr:uid="{00000000-0005-0000-0000-000032920000}"/>
    <cellStyle name="Percent 7 11" xfId="20889" xr:uid="{00000000-0005-0000-0000-000033920000}"/>
    <cellStyle name="Percent 7 12" xfId="37690" xr:uid="{00000000-0005-0000-0000-000034920000}"/>
    <cellStyle name="Percent 7 13" xfId="37599" xr:uid="{00000000-0005-0000-0000-000035920000}"/>
    <cellStyle name="Percent 7 2" xfId="306" xr:uid="{00000000-0005-0000-0000-000036920000}"/>
    <cellStyle name="Percent 7 2 10" xfId="20890" xr:uid="{00000000-0005-0000-0000-000037920000}"/>
    <cellStyle name="Percent 7 2 2" xfId="20891" xr:uid="{00000000-0005-0000-0000-000038920000}"/>
    <cellStyle name="Percent 7 2 3" xfId="20892" xr:uid="{00000000-0005-0000-0000-000039920000}"/>
    <cellStyle name="Percent 7 2 4" xfId="20893" xr:uid="{00000000-0005-0000-0000-00003A920000}"/>
    <cellStyle name="Percent 7 2 5" xfId="20894" xr:uid="{00000000-0005-0000-0000-00003B920000}"/>
    <cellStyle name="Percent 7 2 6" xfId="20895" xr:uid="{00000000-0005-0000-0000-00003C920000}"/>
    <cellStyle name="Percent 7 2 7" xfId="20896" xr:uid="{00000000-0005-0000-0000-00003D920000}"/>
    <cellStyle name="Percent 7 2 8" xfId="20897" xr:uid="{00000000-0005-0000-0000-00003E920000}"/>
    <cellStyle name="Percent 7 2 9" xfId="20898" xr:uid="{00000000-0005-0000-0000-00003F920000}"/>
    <cellStyle name="Percent 7 3" xfId="20899" xr:uid="{00000000-0005-0000-0000-000040920000}"/>
    <cellStyle name="Percent 7 3 10" xfId="20900" xr:uid="{00000000-0005-0000-0000-000041920000}"/>
    <cellStyle name="Percent 7 3 2" xfId="20901" xr:uid="{00000000-0005-0000-0000-000042920000}"/>
    <cellStyle name="Percent 7 3 3" xfId="20902" xr:uid="{00000000-0005-0000-0000-000043920000}"/>
    <cellStyle name="Percent 7 3 4" xfId="20903" xr:uid="{00000000-0005-0000-0000-000044920000}"/>
    <cellStyle name="Percent 7 3 5" xfId="20904" xr:uid="{00000000-0005-0000-0000-000045920000}"/>
    <cellStyle name="Percent 7 3 6" xfId="20905" xr:uid="{00000000-0005-0000-0000-000046920000}"/>
    <cellStyle name="Percent 7 3 7" xfId="20906" xr:uid="{00000000-0005-0000-0000-000047920000}"/>
    <cellStyle name="Percent 7 3 8" xfId="20907" xr:uid="{00000000-0005-0000-0000-000048920000}"/>
    <cellStyle name="Percent 7 3 9" xfId="20908" xr:uid="{00000000-0005-0000-0000-000049920000}"/>
    <cellStyle name="Percent 7 4" xfId="20909" xr:uid="{00000000-0005-0000-0000-00004A920000}"/>
    <cellStyle name="Percent 7 4 10" xfId="20910" xr:uid="{00000000-0005-0000-0000-00004B920000}"/>
    <cellStyle name="Percent 7 4 2" xfId="20911" xr:uid="{00000000-0005-0000-0000-00004C920000}"/>
    <cellStyle name="Percent 7 4 3" xfId="20912" xr:uid="{00000000-0005-0000-0000-00004D920000}"/>
    <cellStyle name="Percent 7 4 4" xfId="20913" xr:uid="{00000000-0005-0000-0000-00004E920000}"/>
    <cellStyle name="Percent 7 4 5" xfId="20914" xr:uid="{00000000-0005-0000-0000-00004F920000}"/>
    <cellStyle name="Percent 7 4 6" xfId="20915" xr:uid="{00000000-0005-0000-0000-000050920000}"/>
    <cellStyle name="Percent 7 4 7" xfId="20916" xr:uid="{00000000-0005-0000-0000-000051920000}"/>
    <cellStyle name="Percent 7 4 8" xfId="20917" xr:uid="{00000000-0005-0000-0000-000052920000}"/>
    <cellStyle name="Percent 7 4 9" xfId="20918" xr:uid="{00000000-0005-0000-0000-000053920000}"/>
    <cellStyle name="Percent 7 5" xfId="20919" xr:uid="{00000000-0005-0000-0000-000054920000}"/>
    <cellStyle name="Percent 7 5 10" xfId="20920" xr:uid="{00000000-0005-0000-0000-000055920000}"/>
    <cellStyle name="Percent 7 5 2" xfId="20921" xr:uid="{00000000-0005-0000-0000-000056920000}"/>
    <cellStyle name="Percent 7 5 3" xfId="20922" xr:uid="{00000000-0005-0000-0000-000057920000}"/>
    <cellStyle name="Percent 7 5 4" xfId="20923" xr:uid="{00000000-0005-0000-0000-000058920000}"/>
    <cellStyle name="Percent 7 5 5" xfId="20924" xr:uid="{00000000-0005-0000-0000-000059920000}"/>
    <cellStyle name="Percent 7 5 6" xfId="20925" xr:uid="{00000000-0005-0000-0000-00005A920000}"/>
    <cellStyle name="Percent 7 5 7" xfId="20926" xr:uid="{00000000-0005-0000-0000-00005B920000}"/>
    <cellStyle name="Percent 7 5 8" xfId="20927" xr:uid="{00000000-0005-0000-0000-00005C920000}"/>
    <cellStyle name="Percent 7 5 9" xfId="20928" xr:uid="{00000000-0005-0000-0000-00005D920000}"/>
    <cellStyle name="Percent 7 6" xfId="20929" xr:uid="{00000000-0005-0000-0000-00005E920000}"/>
    <cellStyle name="Percent 7 6 10" xfId="20930" xr:uid="{00000000-0005-0000-0000-00005F920000}"/>
    <cellStyle name="Percent 7 6 2" xfId="20931" xr:uid="{00000000-0005-0000-0000-000060920000}"/>
    <cellStyle name="Percent 7 6 3" xfId="20932" xr:uid="{00000000-0005-0000-0000-000061920000}"/>
    <cellStyle name="Percent 7 6 4" xfId="20933" xr:uid="{00000000-0005-0000-0000-000062920000}"/>
    <cellStyle name="Percent 7 6 5" xfId="20934" xr:uid="{00000000-0005-0000-0000-000063920000}"/>
    <cellStyle name="Percent 7 6 6" xfId="20935" xr:uid="{00000000-0005-0000-0000-000064920000}"/>
    <cellStyle name="Percent 7 6 7" xfId="20936" xr:uid="{00000000-0005-0000-0000-000065920000}"/>
    <cellStyle name="Percent 7 6 8" xfId="20937" xr:uid="{00000000-0005-0000-0000-000066920000}"/>
    <cellStyle name="Percent 7 6 9" xfId="20938" xr:uid="{00000000-0005-0000-0000-000067920000}"/>
    <cellStyle name="Percent 7 7" xfId="20939" xr:uid="{00000000-0005-0000-0000-000068920000}"/>
    <cellStyle name="Percent 7 7 10" xfId="20940" xr:uid="{00000000-0005-0000-0000-000069920000}"/>
    <cellStyle name="Percent 7 7 2" xfId="20941" xr:uid="{00000000-0005-0000-0000-00006A920000}"/>
    <cellStyle name="Percent 7 7 3" xfId="20942" xr:uid="{00000000-0005-0000-0000-00006B920000}"/>
    <cellStyle name="Percent 7 7 4" xfId="20943" xr:uid="{00000000-0005-0000-0000-00006C920000}"/>
    <cellStyle name="Percent 7 7 5" xfId="20944" xr:uid="{00000000-0005-0000-0000-00006D920000}"/>
    <cellStyle name="Percent 7 7 6" xfId="20945" xr:uid="{00000000-0005-0000-0000-00006E920000}"/>
    <cellStyle name="Percent 7 7 7" xfId="20946" xr:uid="{00000000-0005-0000-0000-00006F920000}"/>
    <cellStyle name="Percent 7 7 8" xfId="20947" xr:uid="{00000000-0005-0000-0000-000070920000}"/>
    <cellStyle name="Percent 7 7 9" xfId="20948" xr:uid="{00000000-0005-0000-0000-000071920000}"/>
    <cellStyle name="Percent 7 8" xfId="20949" xr:uid="{00000000-0005-0000-0000-000072920000}"/>
    <cellStyle name="Percent 7 9" xfId="20950" xr:uid="{00000000-0005-0000-0000-000073920000}"/>
    <cellStyle name="Percent 8" xfId="134" xr:uid="{00000000-0005-0000-0000-000074920000}"/>
    <cellStyle name="Percent 8 10" xfId="20951" xr:uid="{00000000-0005-0000-0000-000075920000}"/>
    <cellStyle name="Percent 8 11" xfId="20952" xr:uid="{00000000-0005-0000-0000-000076920000}"/>
    <cellStyle name="Percent 8 2" xfId="280" xr:uid="{00000000-0005-0000-0000-000077920000}"/>
    <cellStyle name="Percent 8 2 10" xfId="20953" xr:uid="{00000000-0005-0000-0000-000078920000}"/>
    <cellStyle name="Percent 8 2 2" xfId="20954" xr:uid="{00000000-0005-0000-0000-000079920000}"/>
    <cellStyle name="Percent 8 2 3" xfId="20955" xr:uid="{00000000-0005-0000-0000-00007A920000}"/>
    <cellStyle name="Percent 8 2 4" xfId="20956" xr:uid="{00000000-0005-0000-0000-00007B920000}"/>
    <cellStyle name="Percent 8 2 5" xfId="20957" xr:uid="{00000000-0005-0000-0000-00007C920000}"/>
    <cellStyle name="Percent 8 2 6" xfId="20958" xr:uid="{00000000-0005-0000-0000-00007D920000}"/>
    <cellStyle name="Percent 8 2 7" xfId="20959" xr:uid="{00000000-0005-0000-0000-00007E920000}"/>
    <cellStyle name="Percent 8 2 8" xfId="20960" xr:uid="{00000000-0005-0000-0000-00007F920000}"/>
    <cellStyle name="Percent 8 2 9" xfId="20961" xr:uid="{00000000-0005-0000-0000-000080920000}"/>
    <cellStyle name="Percent 8 3" xfId="20962" xr:uid="{00000000-0005-0000-0000-000081920000}"/>
    <cellStyle name="Percent 8 3 10" xfId="20963" xr:uid="{00000000-0005-0000-0000-000082920000}"/>
    <cellStyle name="Percent 8 3 2" xfId="20964" xr:uid="{00000000-0005-0000-0000-000083920000}"/>
    <cellStyle name="Percent 8 3 3" xfId="20965" xr:uid="{00000000-0005-0000-0000-000084920000}"/>
    <cellStyle name="Percent 8 3 4" xfId="20966" xr:uid="{00000000-0005-0000-0000-000085920000}"/>
    <cellStyle name="Percent 8 3 5" xfId="20967" xr:uid="{00000000-0005-0000-0000-000086920000}"/>
    <cellStyle name="Percent 8 3 6" xfId="20968" xr:uid="{00000000-0005-0000-0000-000087920000}"/>
    <cellStyle name="Percent 8 3 7" xfId="20969" xr:uid="{00000000-0005-0000-0000-000088920000}"/>
    <cellStyle name="Percent 8 3 8" xfId="20970" xr:uid="{00000000-0005-0000-0000-000089920000}"/>
    <cellStyle name="Percent 8 3 9" xfId="20971" xr:uid="{00000000-0005-0000-0000-00008A920000}"/>
    <cellStyle name="Percent 8 4" xfId="20972" xr:uid="{00000000-0005-0000-0000-00008B920000}"/>
    <cellStyle name="Percent 8 4 10" xfId="20973" xr:uid="{00000000-0005-0000-0000-00008C920000}"/>
    <cellStyle name="Percent 8 4 2" xfId="20974" xr:uid="{00000000-0005-0000-0000-00008D920000}"/>
    <cellStyle name="Percent 8 4 3" xfId="20975" xr:uid="{00000000-0005-0000-0000-00008E920000}"/>
    <cellStyle name="Percent 8 4 4" xfId="20976" xr:uid="{00000000-0005-0000-0000-00008F920000}"/>
    <cellStyle name="Percent 8 4 5" xfId="20977" xr:uid="{00000000-0005-0000-0000-000090920000}"/>
    <cellStyle name="Percent 8 4 6" xfId="20978" xr:uid="{00000000-0005-0000-0000-000091920000}"/>
    <cellStyle name="Percent 8 4 7" xfId="20979" xr:uid="{00000000-0005-0000-0000-000092920000}"/>
    <cellStyle name="Percent 8 4 8" xfId="20980" xr:uid="{00000000-0005-0000-0000-000093920000}"/>
    <cellStyle name="Percent 8 4 9" xfId="20981" xr:uid="{00000000-0005-0000-0000-000094920000}"/>
    <cellStyle name="Percent 8 5" xfId="20982" xr:uid="{00000000-0005-0000-0000-000095920000}"/>
    <cellStyle name="Percent 8 5 10" xfId="20983" xr:uid="{00000000-0005-0000-0000-000096920000}"/>
    <cellStyle name="Percent 8 5 2" xfId="20984" xr:uid="{00000000-0005-0000-0000-000097920000}"/>
    <cellStyle name="Percent 8 5 3" xfId="20985" xr:uid="{00000000-0005-0000-0000-000098920000}"/>
    <cellStyle name="Percent 8 5 4" xfId="20986" xr:uid="{00000000-0005-0000-0000-000099920000}"/>
    <cellStyle name="Percent 8 5 5" xfId="20987" xr:uid="{00000000-0005-0000-0000-00009A920000}"/>
    <cellStyle name="Percent 8 5 6" xfId="20988" xr:uid="{00000000-0005-0000-0000-00009B920000}"/>
    <cellStyle name="Percent 8 5 7" xfId="20989" xr:uid="{00000000-0005-0000-0000-00009C920000}"/>
    <cellStyle name="Percent 8 5 8" xfId="20990" xr:uid="{00000000-0005-0000-0000-00009D920000}"/>
    <cellStyle name="Percent 8 5 9" xfId="20991" xr:uid="{00000000-0005-0000-0000-00009E920000}"/>
    <cellStyle name="Percent 8 6" xfId="20992" xr:uid="{00000000-0005-0000-0000-00009F920000}"/>
    <cellStyle name="Percent 8 6 10" xfId="20993" xr:uid="{00000000-0005-0000-0000-0000A0920000}"/>
    <cellStyle name="Percent 8 6 2" xfId="20994" xr:uid="{00000000-0005-0000-0000-0000A1920000}"/>
    <cellStyle name="Percent 8 6 3" xfId="20995" xr:uid="{00000000-0005-0000-0000-0000A2920000}"/>
    <cellStyle name="Percent 8 6 4" xfId="20996" xr:uid="{00000000-0005-0000-0000-0000A3920000}"/>
    <cellStyle name="Percent 8 6 5" xfId="20997" xr:uid="{00000000-0005-0000-0000-0000A4920000}"/>
    <cellStyle name="Percent 8 6 6" xfId="20998" xr:uid="{00000000-0005-0000-0000-0000A5920000}"/>
    <cellStyle name="Percent 8 6 7" xfId="20999" xr:uid="{00000000-0005-0000-0000-0000A6920000}"/>
    <cellStyle name="Percent 8 6 8" xfId="21000" xr:uid="{00000000-0005-0000-0000-0000A7920000}"/>
    <cellStyle name="Percent 8 6 9" xfId="21001" xr:uid="{00000000-0005-0000-0000-0000A8920000}"/>
    <cellStyle name="Percent 8 7" xfId="21002" xr:uid="{00000000-0005-0000-0000-0000A9920000}"/>
    <cellStyle name="Percent 8 7 10" xfId="21003" xr:uid="{00000000-0005-0000-0000-0000AA920000}"/>
    <cellStyle name="Percent 8 7 2" xfId="21004" xr:uid="{00000000-0005-0000-0000-0000AB920000}"/>
    <cellStyle name="Percent 8 7 3" xfId="21005" xr:uid="{00000000-0005-0000-0000-0000AC920000}"/>
    <cellStyle name="Percent 8 7 4" xfId="21006" xr:uid="{00000000-0005-0000-0000-0000AD920000}"/>
    <cellStyle name="Percent 8 7 5" xfId="21007" xr:uid="{00000000-0005-0000-0000-0000AE920000}"/>
    <cellStyle name="Percent 8 7 6" xfId="21008" xr:uid="{00000000-0005-0000-0000-0000AF920000}"/>
    <cellStyle name="Percent 8 7 7" xfId="21009" xr:uid="{00000000-0005-0000-0000-0000B0920000}"/>
    <cellStyle name="Percent 8 7 8" xfId="21010" xr:uid="{00000000-0005-0000-0000-0000B1920000}"/>
    <cellStyle name="Percent 8 7 9" xfId="21011" xr:uid="{00000000-0005-0000-0000-0000B2920000}"/>
    <cellStyle name="Percent 8 8" xfId="21012" xr:uid="{00000000-0005-0000-0000-0000B3920000}"/>
    <cellStyle name="Percent 8 9" xfId="21013" xr:uid="{00000000-0005-0000-0000-0000B4920000}"/>
    <cellStyle name="Percent 9" xfId="135" xr:uid="{00000000-0005-0000-0000-0000B5920000}"/>
    <cellStyle name="Percent 9 2" xfId="21014" xr:uid="{00000000-0005-0000-0000-0000B6920000}"/>
    <cellStyle name="Percent 9 3" xfId="21015" xr:uid="{00000000-0005-0000-0000-0000B7920000}"/>
    <cellStyle name="Percent 9 4" xfId="21016" xr:uid="{00000000-0005-0000-0000-0000B8920000}"/>
    <cellStyle name="Percent 9 5" xfId="21017" xr:uid="{00000000-0005-0000-0000-0000B9920000}"/>
    <cellStyle name="Title" xfId="137" builtinId="15" customBuiltin="1"/>
    <cellStyle name="Title 10 2" xfId="21018" xr:uid="{00000000-0005-0000-0000-0000BB920000}"/>
    <cellStyle name="Title 10 3" xfId="21019" xr:uid="{00000000-0005-0000-0000-0000BC920000}"/>
    <cellStyle name="Title 11 2" xfId="21020" xr:uid="{00000000-0005-0000-0000-0000BD920000}"/>
    <cellStyle name="Title 11 3" xfId="21021" xr:uid="{00000000-0005-0000-0000-0000BE920000}"/>
    <cellStyle name="Title 12 2" xfId="21022" xr:uid="{00000000-0005-0000-0000-0000BF920000}"/>
    <cellStyle name="Title 12 3" xfId="21023" xr:uid="{00000000-0005-0000-0000-0000C0920000}"/>
    <cellStyle name="Title 13 2" xfId="21024" xr:uid="{00000000-0005-0000-0000-0000C1920000}"/>
    <cellStyle name="Title 13 3" xfId="21025" xr:uid="{00000000-0005-0000-0000-0000C2920000}"/>
    <cellStyle name="Title 14 2" xfId="21026" xr:uid="{00000000-0005-0000-0000-0000C3920000}"/>
    <cellStyle name="Title 14 3" xfId="21027" xr:uid="{00000000-0005-0000-0000-0000C4920000}"/>
    <cellStyle name="Title 15" xfId="21028" xr:uid="{00000000-0005-0000-0000-0000C5920000}"/>
    <cellStyle name="Title 15 2" xfId="21029" xr:uid="{00000000-0005-0000-0000-0000C6920000}"/>
    <cellStyle name="Title 15 3" xfId="21030" xr:uid="{00000000-0005-0000-0000-0000C7920000}"/>
    <cellStyle name="Title 15 4" xfId="21031" xr:uid="{00000000-0005-0000-0000-0000C8920000}"/>
    <cellStyle name="Title 15 5" xfId="21032" xr:uid="{00000000-0005-0000-0000-0000C9920000}"/>
    <cellStyle name="Title 15 6" xfId="21033" xr:uid="{00000000-0005-0000-0000-0000CA920000}"/>
    <cellStyle name="Title 15 7" xfId="21034" xr:uid="{00000000-0005-0000-0000-0000CB920000}"/>
    <cellStyle name="Title 16" xfId="21035" xr:uid="{00000000-0005-0000-0000-0000CC920000}"/>
    <cellStyle name="Title 17" xfId="21036" xr:uid="{00000000-0005-0000-0000-0000CD920000}"/>
    <cellStyle name="Title 18" xfId="21037" xr:uid="{00000000-0005-0000-0000-0000CE920000}"/>
    <cellStyle name="Title 19" xfId="21038" xr:uid="{00000000-0005-0000-0000-0000CF920000}"/>
    <cellStyle name="Title 2" xfId="21039" xr:uid="{00000000-0005-0000-0000-0000D0920000}"/>
    <cellStyle name="Title 2 10" xfId="21040" xr:uid="{00000000-0005-0000-0000-0000D1920000}"/>
    <cellStyle name="Title 2 2" xfId="21041" xr:uid="{00000000-0005-0000-0000-0000D2920000}"/>
    <cellStyle name="Title 2 3" xfId="21042" xr:uid="{00000000-0005-0000-0000-0000D3920000}"/>
    <cellStyle name="Title 2 4" xfId="21043" xr:uid="{00000000-0005-0000-0000-0000D4920000}"/>
    <cellStyle name="Title 2 5" xfId="21044" xr:uid="{00000000-0005-0000-0000-0000D5920000}"/>
    <cellStyle name="Title 2 6" xfId="21045" xr:uid="{00000000-0005-0000-0000-0000D6920000}"/>
    <cellStyle name="Title 2 7" xfId="21046" xr:uid="{00000000-0005-0000-0000-0000D7920000}"/>
    <cellStyle name="Title 2 8" xfId="21047" xr:uid="{00000000-0005-0000-0000-0000D8920000}"/>
    <cellStyle name="Title 2 9" xfId="21048" xr:uid="{00000000-0005-0000-0000-0000D9920000}"/>
    <cellStyle name="Title 20" xfId="21049" xr:uid="{00000000-0005-0000-0000-0000DA920000}"/>
    <cellStyle name="Title 21" xfId="21050" xr:uid="{00000000-0005-0000-0000-0000DB920000}"/>
    <cellStyle name="Title 22" xfId="21051" xr:uid="{00000000-0005-0000-0000-0000DC920000}"/>
    <cellStyle name="Title 3 2" xfId="21052" xr:uid="{00000000-0005-0000-0000-0000DD920000}"/>
    <cellStyle name="Title 3 3" xfId="21053" xr:uid="{00000000-0005-0000-0000-0000DE920000}"/>
    <cellStyle name="Title 4 2" xfId="21054" xr:uid="{00000000-0005-0000-0000-0000DF920000}"/>
    <cellStyle name="Title 4 3" xfId="21055" xr:uid="{00000000-0005-0000-0000-0000E0920000}"/>
    <cellStyle name="Title 5 2" xfId="21056" xr:uid="{00000000-0005-0000-0000-0000E1920000}"/>
    <cellStyle name="Title 5 3" xfId="21057" xr:uid="{00000000-0005-0000-0000-0000E2920000}"/>
    <cellStyle name="Title 6 2" xfId="21058" xr:uid="{00000000-0005-0000-0000-0000E3920000}"/>
    <cellStyle name="Title 6 3" xfId="21059" xr:uid="{00000000-0005-0000-0000-0000E4920000}"/>
    <cellStyle name="Title 7 2" xfId="21060" xr:uid="{00000000-0005-0000-0000-0000E5920000}"/>
    <cellStyle name="Title 7 3" xfId="21061" xr:uid="{00000000-0005-0000-0000-0000E6920000}"/>
    <cellStyle name="Title 8 2" xfId="21062" xr:uid="{00000000-0005-0000-0000-0000E7920000}"/>
    <cellStyle name="Title 8 3" xfId="21063" xr:uid="{00000000-0005-0000-0000-0000E8920000}"/>
    <cellStyle name="Title 9 2" xfId="21064" xr:uid="{00000000-0005-0000-0000-0000E9920000}"/>
    <cellStyle name="Title 9 3" xfId="21065" xr:uid="{00000000-0005-0000-0000-0000EA920000}"/>
    <cellStyle name="Total" xfId="150" builtinId="25" customBuiltin="1"/>
    <cellStyle name="Total 10 2" xfId="21066" xr:uid="{00000000-0005-0000-0000-0000EC920000}"/>
    <cellStyle name="Total 10 3" xfId="21067" xr:uid="{00000000-0005-0000-0000-0000ED920000}"/>
    <cellStyle name="Total 11 2" xfId="21068" xr:uid="{00000000-0005-0000-0000-0000EE920000}"/>
    <cellStyle name="Total 11 3" xfId="21069" xr:uid="{00000000-0005-0000-0000-0000EF920000}"/>
    <cellStyle name="Total 12 2" xfId="21070" xr:uid="{00000000-0005-0000-0000-0000F0920000}"/>
    <cellStyle name="Total 12 3" xfId="21071" xr:uid="{00000000-0005-0000-0000-0000F1920000}"/>
    <cellStyle name="Total 13 2" xfId="21072" xr:uid="{00000000-0005-0000-0000-0000F2920000}"/>
    <cellStyle name="Total 13 3" xfId="21073" xr:uid="{00000000-0005-0000-0000-0000F3920000}"/>
    <cellStyle name="Total 14 2" xfId="21074" xr:uid="{00000000-0005-0000-0000-0000F4920000}"/>
    <cellStyle name="Total 14 3" xfId="21075" xr:uid="{00000000-0005-0000-0000-0000F5920000}"/>
    <cellStyle name="Total 15" xfId="21076" xr:uid="{00000000-0005-0000-0000-0000F6920000}"/>
    <cellStyle name="Total 15 2" xfId="21077" xr:uid="{00000000-0005-0000-0000-0000F7920000}"/>
    <cellStyle name="Total 15 3" xfId="21078" xr:uid="{00000000-0005-0000-0000-0000F8920000}"/>
    <cellStyle name="Total 15 4" xfId="21079" xr:uid="{00000000-0005-0000-0000-0000F9920000}"/>
    <cellStyle name="Total 15 5" xfId="21080" xr:uid="{00000000-0005-0000-0000-0000FA920000}"/>
    <cellStyle name="Total 15 6" xfId="21081" xr:uid="{00000000-0005-0000-0000-0000FB920000}"/>
    <cellStyle name="Total 15 7" xfId="21082" xr:uid="{00000000-0005-0000-0000-0000FC920000}"/>
    <cellStyle name="Total 16" xfId="21083" xr:uid="{00000000-0005-0000-0000-0000FD920000}"/>
    <cellStyle name="Total 17" xfId="21084" xr:uid="{00000000-0005-0000-0000-0000FE920000}"/>
    <cellStyle name="Total 18" xfId="21085" xr:uid="{00000000-0005-0000-0000-0000FF920000}"/>
    <cellStyle name="Total 19" xfId="21086" xr:uid="{00000000-0005-0000-0000-000000930000}"/>
    <cellStyle name="Total 2" xfId="405" xr:uid="{00000000-0005-0000-0000-000001930000}"/>
    <cellStyle name="Total 2 2" xfId="513" xr:uid="{00000000-0005-0000-0000-000002930000}"/>
    <cellStyle name="Total 2 2 2" xfId="21087" xr:uid="{00000000-0005-0000-0000-000003930000}"/>
    <cellStyle name="Total 2 3" xfId="21088" xr:uid="{00000000-0005-0000-0000-000004930000}"/>
    <cellStyle name="Total 20" xfId="21089" xr:uid="{00000000-0005-0000-0000-000005930000}"/>
    <cellStyle name="Total 21" xfId="21090" xr:uid="{00000000-0005-0000-0000-000006930000}"/>
    <cellStyle name="Total 22" xfId="21091" xr:uid="{00000000-0005-0000-0000-000007930000}"/>
    <cellStyle name="Total 3" xfId="658" xr:uid="{00000000-0005-0000-0000-000008930000}"/>
    <cellStyle name="Total 3 2" xfId="21092" xr:uid="{00000000-0005-0000-0000-000009930000}"/>
    <cellStyle name="Total 3 3" xfId="21093" xr:uid="{00000000-0005-0000-0000-00000A930000}"/>
    <cellStyle name="Total 4 2" xfId="21094" xr:uid="{00000000-0005-0000-0000-00000B930000}"/>
    <cellStyle name="Total 4 3" xfId="21095" xr:uid="{00000000-0005-0000-0000-00000C930000}"/>
    <cellStyle name="Total 5 2" xfId="21096" xr:uid="{00000000-0005-0000-0000-00000D930000}"/>
    <cellStyle name="Total 5 3" xfId="21097" xr:uid="{00000000-0005-0000-0000-00000E930000}"/>
    <cellStyle name="Total 6 2" xfId="21098" xr:uid="{00000000-0005-0000-0000-00000F930000}"/>
    <cellStyle name="Total 6 3" xfId="21099" xr:uid="{00000000-0005-0000-0000-000010930000}"/>
    <cellStyle name="Total 7 2" xfId="21100" xr:uid="{00000000-0005-0000-0000-000011930000}"/>
    <cellStyle name="Total 7 3" xfId="21101" xr:uid="{00000000-0005-0000-0000-000012930000}"/>
    <cellStyle name="Total 8 2" xfId="21102" xr:uid="{00000000-0005-0000-0000-000013930000}"/>
    <cellStyle name="Total 8 3" xfId="21103" xr:uid="{00000000-0005-0000-0000-000014930000}"/>
    <cellStyle name="Total 9 2" xfId="21104" xr:uid="{00000000-0005-0000-0000-000015930000}"/>
    <cellStyle name="Total 9 3" xfId="21105" xr:uid="{00000000-0005-0000-0000-000016930000}"/>
    <cellStyle name="Warning Text" xfId="148" builtinId="11" customBuiltin="1"/>
    <cellStyle name="Warning Text 10 2" xfId="21106" xr:uid="{00000000-0005-0000-0000-000018930000}"/>
    <cellStyle name="Warning Text 10 3" xfId="21107" xr:uid="{00000000-0005-0000-0000-000019930000}"/>
    <cellStyle name="Warning Text 11 2" xfId="21108" xr:uid="{00000000-0005-0000-0000-00001A930000}"/>
    <cellStyle name="Warning Text 11 3" xfId="21109" xr:uid="{00000000-0005-0000-0000-00001B930000}"/>
    <cellStyle name="Warning Text 12 2" xfId="21110" xr:uid="{00000000-0005-0000-0000-00001C930000}"/>
    <cellStyle name="Warning Text 12 3" xfId="21111" xr:uid="{00000000-0005-0000-0000-00001D930000}"/>
    <cellStyle name="Warning Text 13 2" xfId="21112" xr:uid="{00000000-0005-0000-0000-00001E930000}"/>
    <cellStyle name="Warning Text 13 3" xfId="21113" xr:uid="{00000000-0005-0000-0000-00001F930000}"/>
    <cellStyle name="Warning Text 14 2" xfId="21114" xr:uid="{00000000-0005-0000-0000-000020930000}"/>
    <cellStyle name="Warning Text 14 3" xfId="21115" xr:uid="{00000000-0005-0000-0000-000021930000}"/>
    <cellStyle name="Warning Text 15" xfId="21116" xr:uid="{00000000-0005-0000-0000-000022930000}"/>
    <cellStyle name="Warning Text 15 2" xfId="21117" xr:uid="{00000000-0005-0000-0000-000023930000}"/>
    <cellStyle name="Warning Text 15 3" xfId="21118" xr:uid="{00000000-0005-0000-0000-000024930000}"/>
    <cellStyle name="Warning Text 15 4" xfId="21119" xr:uid="{00000000-0005-0000-0000-000025930000}"/>
    <cellStyle name="Warning Text 15 5" xfId="21120" xr:uid="{00000000-0005-0000-0000-000026930000}"/>
    <cellStyle name="Warning Text 15 6" xfId="21121" xr:uid="{00000000-0005-0000-0000-000027930000}"/>
    <cellStyle name="Warning Text 15 7" xfId="21122" xr:uid="{00000000-0005-0000-0000-000028930000}"/>
    <cellStyle name="Warning Text 16" xfId="21123" xr:uid="{00000000-0005-0000-0000-000029930000}"/>
    <cellStyle name="Warning Text 17" xfId="21124" xr:uid="{00000000-0005-0000-0000-00002A930000}"/>
    <cellStyle name="Warning Text 18" xfId="21125" xr:uid="{00000000-0005-0000-0000-00002B930000}"/>
    <cellStyle name="Warning Text 19" xfId="21126" xr:uid="{00000000-0005-0000-0000-00002C930000}"/>
    <cellStyle name="Warning Text 2" xfId="402" xr:uid="{00000000-0005-0000-0000-00002D930000}"/>
    <cellStyle name="Warning Text 2 2" xfId="496" xr:uid="{00000000-0005-0000-0000-00002E930000}"/>
    <cellStyle name="Warning Text 2 2 2" xfId="21127" xr:uid="{00000000-0005-0000-0000-00002F930000}"/>
    <cellStyle name="Warning Text 2 3" xfId="21128" xr:uid="{00000000-0005-0000-0000-000030930000}"/>
    <cellStyle name="Warning Text 20" xfId="21129" xr:uid="{00000000-0005-0000-0000-000031930000}"/>
    <cellStyle name="Warning Text 21" xfId="21130" xr:uid="{00000000-0005-0000-0000-000032930000}"/>
    <cellStyle name="Warning Text 22" xfId="21131" xr:uid="{00000000-0005-0000-0000-000033930000}"/>
    <cellStyle name="Warning Text 3" xfId="659" xr:uid="{00000000-0005-0000-0000-000034930000}"/>
    <cellStyle name="Warning Text 3 2" xfId="21132" xr:uid="{00000000-0005-0000-0000-000035930000}"/>
    <cellStyle name="Warning Text 3 3" xfId="21133" xr:uid="{00000000-0005-0000-0000-000036930000}"/>
    <cellStyle name="Warning Text 4 2" xfId="21134" xr:uid="{00000000-0005-0000-0000-000037930000}"/>
    <cellStyle name="Warning Text 4 3" xfId="21135" xr:uid="{00000000-0005-0000-0000-000038930000}"/>
    <cellStyle name="Warning Text 5 2" xfId="21136" xr:uid="{00000000-0005-0000-0000-000039930000}"/>
    <cellStyle name="Warning Text 5 3" xfId="21137" xr:uid="{00000000-0005-0000-0000-00003A930000}"/>
    <cellStyle name="Warning Text 6 2" xfId="21138" xr:uid="{00000000-0005-0000-0000-00003B930000}"/>
    <cellStyle name="Warning Text 6 3" xfId="21139" xr:uid="{00000000-0005-0000-0000-00003C930000}"/>
    <cellStyle name="Warning Text 7 2" xfId="21140" xr:uid="{00000000-0005-0000-0000-00003D930000}"/>
    <cellStyle name="Warning Text 7 3" xfId="21141" xr:uid="{00000000-0005-0000-0000-00003E930000}"/>
    <cellStyle name="Warning Text 8 2" xfId="21142" xr:uid="{00000000-0005-0000-0000-00003F930000}"/>
    <cellStyle name="Warning Text 8 3" xfId="21143" xr:uid="{00000000-0005-0000-0000-000040930000}"/>
    <cellStyle name="Warning Text 9 2" xfId="21144" xr:uid="{00000000-0005-0000-0000-000041930000}"/>
    <cellStyle name="Warning Text 9 3" xfId="21145" xr:uid="{00000000-0005-0000-0000-000042930000}"/>
  </cellStyles>
  <dxfs count="0"/>
  <tableStyles count="0" defaultTableStyle="TableStyleMedium2" defaultPivotStyle="PivotStyleLight16"/>
  <colors>
    <mruColors>
      <color rgb="FFFFFFCC"/>
      <color rgb="FF0000FF"/>
      <color rgb="FFFFCC99"/>
      <color rgb="FF007A37"/>
      <color rgb="FFF7C5BB"/>
      <color rgb="FFBDFFBD"/>
      <color rgb="FFC028AE"/>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28</xdr:col>
      <xdr:colOff>0</xdr:colOff>
      <xdr:row>16</xdr:row>
      <xdr:rowOff>0</xdr:rowOff>
    </xdr:from>
    <xdr:to>
      <xdr:col>45</xdr:col>
      <xdr:colOff>177672</xdr:colOff>
      <xdr:row>38</xdr:row>
      <xdr:rowOff>54368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29303382" y="2991971"/>
          <a:ext cx="17457143" cy="4323809"/>
        </a:xfrm>
        <a:prstGeom prst="rect">
          <a:avLst/>
        </a:prstGeom>
      </xdr:spPr>
    </xdr:pic>
    <xdr:clientData/>
  </xdr:twoCellAnchor>
  <xdr:twoCellAnchor editAs="oneCell">
    <xdr:from>
      <xdr:col>131</xdr:col>
      <xdr:colOff>0</xdr:colOff>
      <xdr:row>15</xdr:row>
      <xdr:rowOff>0</xdr:rowOff>
    </xdr:from>
    <xdr:to>
      <xdr:col>140</xdr:col>
      <xdr:colOff>707930</xdr:colOff>
      <xdr:row>28</xdr:row>
      <xdr:rowOff>173915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37944412" y="2902324"/>
          <a:ext cx="11219047" cy="2695238"/>
        </a:xfrm>
        <a:prstGeom prst="rect">
          <a:avLst/>
        </a:prstGeom>
      </xdr:spPr>
    </xdr:pic>
    <xdr:clientData/>
  </xdr:twoCellAnchor>
  <xdr:twoCellAnchor editAs="oneCell">
    <xdr:from>
      <xdr:col>131</xdr:col>
      <xdr:colOff>0</xdr:colOff>
      <xdr:row>30</xdr:row>
      <xdr:rowOff>0</xdr:rowOff>
    </xdr:from>
    <xdr:to>
      <xdr:col>137</xdr:col>
      <xdr:colOff>556475</xdr:colOff>
      <xdr:row>45</xdr:row>
      <xdr:rowOff>41647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37944412" y="5804647"/>
          <a:ext cx="8142857" cy="3000000"/>
        </a:xfrm>
        <a:prstGeom prst="rect">
          <a:avLst/>
        </a:prstGeom>
      </xdr:spPr>
    </xdr:pic>
    <xdr:clientData/>
  </xdr:twoCellAnchor>
  <xdr:twoCellAnchor editAs="oneCell">
    <xdr:from>
      <xdr:col>142</xdr:col>
      <xdr:colOff>0</xdr:colOff>
      <xdr:row>15</xdr:row>
      <xdr:rowOff>0</xdr:rowOff>
    </xdr:from>
    <xdr:to>
      <xdr:col>152</xdr:col>
      <xdr:colOff>164623</xdr:colOff>
      <xdr:row>29</xdr:row>
      <xdr:rowOff>173891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50405353" y="2902324"/>
          <a:ext cx="9790476" cy="2885714"/>
        </a:xfrm>
        <a:prstGeom prst="rect">
          <a:avLst/>
        </a:prstGeom>
      </xdr:spPr>
    </xdr:pic>
    <xdr:clientData/>
  </xdr:twoCellAnchor>
  <xdr:twoCellAnchor editAs="oneCell">
    <xdr:from>
      <xdr:col>153</xdr:col>
      <xdr:colOff>1</xdr:colOff>
      <xdr:row>15</xdr:row>
      <xdr:rowOff>0</xdr:rowOff>
    </xdr:from>
    <xdr:to>
      <xdr:col>162</xdr:col>
      <xdr:colOff>549089</xdr:colOff>
      <xdr:row>28</xdr:row>
      <xdr:rowOff>126296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61006119" y="2902324"/>
          <a:ext cx="9121588" cy="2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Rider%20EEIC%20(MEEIA)\MEEIA%20rate%20filings\Nov%202025%20filing\workpapers\JNG2%20-%20MEEIA%20Rider%20Calcs%20November%202025-%20rates.xlsx" TargetMode="External"/><Relationship Id="rId1" Type="http://schemas.openxmlformats.org/officeDocument/2006/relationships/externalLinkPath" Target="file:///N:\Rider%20EEIC%20(MEEIA)\MEEIA%20rate%20filings\Nov%202025%20filing\workpapers\JNG2%20-%20MEEIA%20Rider%20Calcs%20November%202025-%20rat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Rider%20EEIC%20(MEEIA)\MEEIA%20rate%20filings\Nov%202025%20filing\workpapers\JNG4%20-%20MEEIA%20Rider%20Calcs%20November%202025%20-%20Support.xlsx" TargetMode="External"/><Relationship Id="rId1" Type="http://schemas.openxmlformats.org/officeDocument/2006/relationships/externalLinkPath" Target="JNG4%20-%20MEEIA%20Rider%20Calcs%20November%202025%20-%20Sup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C"/>
      <sheetName val="PCR (M3)"/>
      <sheetName val="PCR (M4)"/>
      <sheetName val="PTD"/>
      <sheetName val="TDR (M3)"/>
      <sheetName val="TDR (M4)"/>
      <sheetName val="EO"/>
      <sheetName val="EOR (M3)"/>
      <sheetName val="OA"/>
      <sheetName val="OAR (M3)"/>
      <sheetName val="tariff tables (M3)"/>
      <sheetName val="tariff tables (M4)"/>
      <sheetName val="Sheet 91.23"/>
    </sheetNames>
    <sheetDataSet>
      <sheetData sheetId="0"/>
      <sheetData sheetId="1">
        <row r="15">
          <cell r="CG15">
            <v>-118664.15000000001</v>
          </cell>
          <cell r="CH15">
            <v>0</v>
          </cell>
          <cell r="CI15">
            <v>0</v>
          </cell>
        </row>
        <row r="16">
          <cell r="CG16">
            <v>0</v>
          </cell>
          <cell r="CH16">
            <v>0</v>
          </cell>
          <cell r="CI16">
            <v>0</v>
          </cell>
        </row>
        <row r="17">
          <cell r="CG17">
            <v>0</v>
          </cell>
          <cell r="CH17">
            <v>0</v>
          </cell>
          <cell r="CI17">
            <v>0</v>
          </cell>
        </row>
        <row r="18">
          <cell r="CG18">
            <v>0</v>
          </cell>
          <cell r="CH18">
            <v>0</v>
          </cell>
          <cell r="CI18">
            <v>0</v>
          </cell>
        </row>
        <row r="35">
          <cell r="CG35">
            <v>-237588.56818945534</v>
          </cell>
          <cell r="CH35">
            <v>-297910.89619890077</v>
          </cell>
          <cell r="CI35">
            <v>-381609.46924191818</v>
          </cell>
        </row>
        <row r="36">
          <cell r="CG36">
            <v>12155.124245632376</v>
          </cell>
          <cell r="CH36">
            <v>15022.208461922964</v>
          </cell>
          <cell r="CI36">
            <v>16808.405710604136</v>
          </cell>
        </row>
        <row r="37">
          <cell r="CG37">
            <v>30890.954814320732</v>
          </cell>
          <cell r="CH37">
            <v>33314.773933813165</v>
          </cell>
          <cell r="CI37">
            <v>34168.200347890321</v>
          </cell>
        </row>
        <row r="38">
          <cell r="CG38">
            <v>20156.544169314915</v>
          </cell>
          <cell r="CH38">
            <v>20434.176246057883</v>
          </cell>
          <cell r="CI38">
            <v>21652.627071196694</v>
          </cell>
        </row>
        <row r="39">
          <cell r="CG39">
            <v>22338.04740442316</v>
          </cell>
          <cell r="CH39">
            <v>21641.780181195583</v>
          </cell>
          <cell r="CI39">
            <v>21019.363459517474</v>
          </cell>
        </row>
      </sheetData>
      <sheetData sheetId="2">
        <row r="15">
          <cell r="L15">
            <v>992871.91714639624</v>
          </cell>
          <cell r="M15">
            <v>2246955.6521454635</v>
          </cell>
          <cell r="N15">
            <v>569902.23041246284</v>
          </cell>
        </row>
        <row r="16">
          <cell r="L16">
            <v>1038060.195388</v>
          </cell>
          <cell r="M16">
            <v>4151441.1442120001</v>
          </cell>
          <cell r="N16">
            <v>127167.83333333334</v>
          </cell>
        </row>
        <row r="17">
          <cell r="L17">
            <v>1159329.1660079998</v>
          </cell>
          <cell r="M17">
            <v>2925568.9224099992</v>
          </cell>
          <cell r="N17">
            <v>10324.5</v>
          </cell>
        </row>
        <row r="18">
          <cell r="L18">
            <v>23553.22500000002</v>
          </cell>
          <cell r="M18">
            <v>306768.84071428573</v>
          </cell>
          <cell r="N18">
            <v>274420.69571428571</v>
          </cell>
        </row>
        <row r="35">
          <cell r="L35">
            <v>1752776.0407939064</v>
          </cell>
          <cell r="M35">
            <v>2197795.4795050984</v>
          </cell>
          <cell r="N35">
            <v>2815269.8579922644</v>
          </cell>
        </row>
        <row r="36">
          <cell r="L36">
            <v>447971.57901630597</v>
          </cell>
          <cell r="M36">
            <v>553636.66458759725</v>
          </cell>
          <cell r="N36">
            <v>619466.15227990167</v>
          </cell>
        </row>
        <row r="37">
          <cell r="L37">
            <v>1043599.4234771354</v>
          </cell>
          <cell r="M37">
            <v>1125484.1127306547</v>
          </cell>
          <cell r="N37">
            <v>1154315.7017528948</v>
          </cell>
        </row>
        <row r="38">
          <cell r="L38">
            <v>434652.28756597167</v>
          </cell>
          <cell r="M38">
            <v>440639.09841233335</v>
          </cell>
          <cell r="N38">
            <v>466913.56460974156</v>
          </cell>
        </row>
        <row r="39">
          <cell r="L39">
            <v>139251.95089649636</v>
          </cell>
          <cell r="M39">
            <v>134911.52814493002</v>
          </cell>
          <cell r="N39">
            <v>131031.47805840739</v>
          </cell>
        </row>
      </sheetData>
      <sheetData sheetId="3"/>
      <sheetData sheetId="4">
        <row r="22">
          <cell r="CF22">
            <v>-6275.9244427403291</v>
          </cell>
          <cell r="CG22">
            <v>-7869.3444278954912</v>
          </cell>
          <cell r="CH22">
            <v>-10080.250130918594</v>
          </cell>
        </row>
        <row r="23">
          <cell r="CF23">
            <v>62543.639300253861</v>
          </cell>
          <cell r="CG23">
            <v>77296.090813167248</v>
          </cell>
          <cell r="CH23">
            <v>86486.887565472192</v>
          </cell>
        </row>
        <row r="24">
          <cell r="CF24">
            <v>9782.1356912015654</v>
          </cell>
          <cell r="CG24">
            <v>10549.678412374169</v>
          </cell>
          <cell r="CH24">
            <v>10819.930110165269</v>
          </cell>
        </row>
        <row r="25">
          <cell r="CF25">
            <v>16511.211713162218</v>
          </cell>
          <cell r="CG25">
            <v>16738.633733472947</v>
          </cell>
          <cell r="CH25">
            <v>17736.726430661125</v>
          </cell>
        </row>
        <row r="26">
          <cell r="CF26">
            <v>14708.745060143248</v>
          </cell>
          <cell r="CG26">
            <v>14250.279873156478</v>
          </cell>
          <cell r="CH26">
            <v>13840.44240103612</v>
          </cell>
        </row>
        <row r="36">
          <cell r="CF36">
            <v>266.91542491289681</v>
          </cell>
          <cell r="CG36">
            <v>334.68366786782383</v>
          </cell>
          <cell r="CH36">
            <v>428.71361366288272</v>
          </cell>
        </row>
      </sheetData>
      <sheetData sheetId="5">
        <row r="22">
          <cell r="L22">
            <v>60966.123158048918</v>
          </cell>
          <cell r="M22">
            <v>76445.060156699052</v>
          </cell>
          <cell r="N22">
            <v>97922.429843209204</v>
          </cell>
        </row>
        <row r="23">
          <cell r="L23">
            <v>6851.0700293564305</v>
          </cell>
          <cell r="M23">
            <v>8467.0629512656706</v>
          </cell>
          <cell r="N23">
            <v>9473.8286732496053</v>
          </cell>
        </row>
        <row r="24">
          <cell r="L24">
            <v>38613.693517900909</v>
          </cell>
          <cell r="M24">
            <v>41643.467417266445</v>
          </cell>
          <cell r="N24">
            <v>42710.250434862894</v>
          </cell>
        </row>
        <row r="25">
          <cell r="L25">
            <v>12222.585294159046</v>
          </cell>
          <cell r="M25">
            <v>12390.936659843612</v>
          </cell>
          <cell r="N25">
            <v>13129.784500619275</v>
          </cell>
        </row>
        <row r="26">
          <cell r="L26">
            <v>2405.6358743224937</v>
          </cell>
          <cell r="M26">
            <v>2330.6532502826012</v>
          </cell>
          <cell r="N26">
            <v>2263.6237571788047</v>
          </cell>
        </row>
        <row r="36">
          <cell r="L36">
            <v>-2592.8926991538547</v>
          </cell>
          <cell r="M36">
            <v>-3251.2127735731456</v>
          </cell>
          <cell r="N36">
            <v>-4164.6465327251472</v>
          </cell>
        </row>
      </sheetData>
      <sheetData sheetId="6"/>
      <sheetData sheetId="7">
        <row r="29">
          <cell r="BH29">
            <v>383992.09024764161</v>
          </cell>
          <cell r="BI29">
            <v>480791.51243717887</v>
          </cell>
          <cell r="BJ29">
            <v>614615.07700332091</v>
          </cell>
        </row>
        <row r="30">
          <cell r="BH30">
            <v>91676.669062432935</v>
          </cell>
          <cell r="BI30">
            <v>113139.15149331724</v>
          </cell>
          <cell r="BJ30">
            <v>126336.22196773862</v>
          </cell>
        </row>
        <row r="31">
          <cell r="BH31">
            <v>225927.339239466</v>
          </cell>
          <cell r="BI31">
            <v>243325.70127519633</v>
          </cell>
          <cell r="BJ31">
            <v>249082.70062787159</v>
          </cell>
        </row>
        <row r="32">
          <cell r="BH32">
            <v>93453.955053384459</v>
          </cell>
          <cell r="BI32">
            <v>94612.466607455659</v>
          </cell>
          <cell r="BJ32">
            <v>100061.37111913745</v>
          </cell>
        </row>
        <row r="33">
          <cell r="BH33">
            <v>39715.145538754754</v>
          </cell>
          <cell r="BI33">
            <v>38437.81668528483</v>
          </cell>
          <cell r="BJ33">
            <v>37278.254317766608</v>
          </cell>
        </row>
      </sheetData>
      <sheetData sheetId="8"/>
      <sheetData sheetId="9">
        <row r="29">
          <cell r="BG29">
            <v>916.44890273900148</v>
          </cell>
          <cell r="BH29">
            <v>1147.4737766997109</v>
          </cell>
          <cell r="BI29">
            <v>1466.8617589578066</v>
          </cell>
        </row>
        <row r="30">
          <cell r="BG30">
            <v>-4.3133329342019087</v>
          </cell>
          <cell r="BH30">
            <v>-5.7166781193736256</v>
          </cell>
          <cell r="BI30">
            <v>-7.0064398941170012</v>
          </cell>
        </row>
        <row r="31">
          <cell r="BG31">
            <v>-10.048386938480766</v>
          </cell>
          <cell r="BH31">
            <v>-11.621395063751184</v>
          </cell>
          <cell r="BI31">
            <v>-13.055828076160642</v>
          </cell>
        </row>
        <row r="32">
          <cell r="BG32">
            <v>-4.1850869892267495</v>
          </cell>
          <cell r="BH32">
            <v>-4.5499007807055181</v>
          </cell>
          <cell r="BI32">
            <v>-5.2810017369728843</v>
          </cell>
        </row>
        <row r="33">
          <cell r="BG33">
            <v>-1.3414611999021611</v>
          </cell>
          <cell r="BH33">
            <v>-1.3937416079533191</v>
          </cell>
          <cell r="BI33">
            <v>-1.4827562621853718</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C.1, PCR.2F, EO.5"/>
      <sheetName val="PPC.2, PCR.1F"/>
      <sheetName val="PPC.3, PCR.2"/>
      <sheetName val="PCR.1 (M3)"/>
      <sheetName val="PCR1.A (M3)"/>
      <sheetName val="PCR1.B (M3)"/>
      <sheetName val="PCR.1 (M4)"/>
      <sheetName val="PCR.3 (M3)"/>
      <sheetName val="PCR.3 (M4)"/>
      <sheetName val="PCR.4 (M3)"/>
      <sheetName val="PCR.4 (M4)"/>
      <sheetName val="PCR.5 (M3)"/>
      <sheetName val="PCR.5 (M4)"/>
      <sheetName val="PCR.5F"/>
      <sheetName val="PCR.6, TDR.5, EOR.5, OAR.5"/>
      <sheetName val="PTD.1, TDR.1, &amp; TDR.1F"/>
      <sheetName val="TDR.2 (M3)"/>
      <sheetName val="TDR.2 (M4)"/>
      <sheetName val="TDR.3 (M3)"/>
      <sheetName val="TDR.3 (M4)"/>
      <sheetName val="TDR.4 (M3)"/>
      <sheetName val="TDR.4 (M4)"/>
      <sheetName val="TDR.4F"/>
      <sheetName val="EO.1"/>
      <sheetName val="EO.2"/>
      <sheetName val="EO.3"/>
      <sheetName val="EO.4 "/>
      <sheetName val="EOR.1F, EOR.1"/>
      <sheetName val="EOR.2 (M3)"/>
      <sheetName val="EOR.3 (M3)"/>
      <sheetName val="EOR.4 (M3)"/>
      <sheetName val="EOR.4F"/>
      <sheetName val="OAR.1A (M3)"/>
      <sheetName val="OAR.1B (M3)"/>
      <sheetName val="OAR.1C (M3)"/>
      <sheetName val="OAR.2 (M3)"/>
      <sheetName val="OAR.3 (M3)"/>
      <sheetName val="OAR.4 (M3)"/>
      <sheetName val="OAR.4F"/>
    </sheetNames>
    <sheetDataSet>
      <sheetData sheetId="0">
        <row r="27">
          <cell r="B27">
            <v>934691409.66474664</v>
          </cell>
          <cell r="C27">
            <v>1172004013.6804736</v>
          </cell>
          <cell r="D27">
            <v>1501280534.9402111</v>
          </cell>
          <cell r="E27">
            <v>1229492845.5535142</v>
          </cell>
          <cell r="F27">
            <v>1055841056.4788648</v>
          </cell>
          <cell r="G27">
            <v>782160106.46270216</v>
          </cell>
          <cell r="H27">
            <v>808422808.60364091</v>
          </cell>
          <cell r="I27">
            <v>1138736144.245827</v>
          </cell>
          <cell r="J27">
            <v>1365029337.8153753</v>
          </cell>
          <cell r="K27">
            <v>1309003114.2814729</v>
          </cell>
          <cell r="L27">
            <v>887344499.20834303</v>
          </cell>
          <cell r="M27">
            <v>724028085.19755471</v>
          </cell>
          <cell r="N27">
            <v>965743639.04302931</v>
          </cell>
          <cell r="O27">
            <v>1382595622.7453718</v>
          </cell>
          <cell r="P27">
            <v>1415185124.8536115</v>
          </cell>
        </row>
        <row r="28">
          <cell r="B28">
            <v>221002259.01149774</v>
          </cell>
          <cell r="C28">
            <v>273131062.94405389</v>
          </cell>
          <cell r="D28">
            <v>305607376.55643886</v>
          </cell>
          <cell r="E28">
            <v>267588488.0846718</v>
          </cell>
          <cell r="F28">
            <v>249244473.51618513</v>
          </cell>
          <cell r="G28">
            <v>220407039.52407867</v>
          </cell>
          <cell r="H28">
            <v>235148961.40706077</v>
          </cell>
          <cell r="I28">
            <v>265150781.4668892</v>
          </cell>
          <cell r="J28">
            <v>301490667.39570183</v>
          </cell>
          <cell r="K28">
            <v>296938882.8489812</v>
          </cell>
          <cell r="L28">
            <v>249340706.45416617</v>
          </cell>
          <cell r="M28">
            <v>211125845.92878258</v>
          </cell>
          <cell r="N28">
            <v>222444969.71227011</v>
          </cell>
          <cell r="O28">
            <v>273508394.59864038</v>
          </cell>
          <cell r="P28">
            <v>303763193.76725805</v>
          </cell>
        </row>
        <row r="29">
          <cell r="B29">
            <v>514849246.9053455</v>
          </cell>
          <cell r="C29">
            <v>555246232.23021936</v>
          </cell>
          <cell r="D29">
            <v>569470005.798172</v>
          </cell>
          <cell r="E29">
            <v>513339293.13988298</v>
          </cell>
          <cell r="F29">
            <v>529773957.10116965</v>
          </cell>
          <cell r="G29">
            <v>498074378.57082307</v>
          </cell>
          <cell r="H29">
            <v>546830054.36345434</v>
          </cell>
          <cell r="I29">
            <v>587831042.81094801</v>
          </cell>
          <cell r="J29">
            <v>645414823.62084246</v>
          </cell>
          <cell r="K29">
            <v>645343124.9017036</v>
          </cell>
          <cell r="L29">
            <v>568043556.04628742</v>
          </cell>
          <cell r="M29">
            <v>522887907.84986055</v>
          </cell>
          <cell r="N29">
            <v>518531056.28073186</v>
          </cell>
          <cell r="O29">
            <v>552297998.54118049</v>
          </cell>
          <cell r="P29">
            <v>567177592.63575089</v>
          </cell>
        </row>
        <row r="30">
          <cell r="B30">
            <v>214431320.95015869</v>
          </cell>
          <cell r="C30">
            <v>217384853.68146685</v>
          </cell>
          <cell r="D30">
            <v>230347096.50209251</v>
          </cell>
          <cell r="E30">
            <v>214489729.15033561</v>
          </cell>
          <cell r="F30">
            <v>221162258.07722431</v>
          </cell>
          <cell r="G30">
            <v>215629113.92205966</v>
          </cell>
          <cell r="H30">
            <v>229274563.69153032</v>
          </cell>
          <cell r="I30">
            <v>244218506.25143638</v>
          </cell>
          <cell r="J30">
            <v>260988724.27065736</v>
          </cell>
          <cell r="K30">
            <v>261012483.04431123</v>
          </cell>
          <cell r="L30">
            <v>240184037.87684086</v>
          </cell>
          <cell r="M30">
            <v>233225536.00191772</v>
          </cell>
          <cell r="N30">
            <v>221473129.69808137</v>
          </cell>
          <cell r="O30">
            <v>226260309.79809558</v>
          </cell>
          <cell r="P30">
            <v>232705197.22525746</v>
          </cell>
        </row>
        <row r="31">
          <cell r="B31">
            <v>68732453.552071258</v>
          </cell>
          <cell r="C31">
            <v>66590092.865217187</v>
          </cell>
          <cell r="D31">
            <v>64674964.490822993</v>
          </cell>
          <cell r="E31">
            <v>58573848.850580357</v>
          </cell>
          <cell r="F31">
            <v>65494560.92136158</v>
          </cell>
          <cell r="G31">
            <v>66861478.801501341</v>
          </cell>
          <cell r="H31">
            <v>74288764.887821615</v>
          </cell>
          <cell r="I31">
            <v>74563120.373582616</v>
          </cell>
          <cell r="J31">
            <v>80252631.814296842</v>
          </cell>
          <cell r="K31">
            <v>81110234.966044441</v>
          </cell>
          <cell r="L31">
            <v>72851088.581060141</v>
          </cell>
          <cell r="M31">
            <v>74551445.964260712</v>
          </cell>
          <cell r="N31">
            <v>68203809.021018788</v>
          </cell>
          <cell r="O31">
            <v>66435422.697305597</v>
          </cell>
          <cell r="P31">
            <v>68450508.413569331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8D73-FBE2-4F0B-9DE0-79911CBD2DD4}">
  <sheetPr>
    <pageSetUpPr fitToPage="1"/>
  </sheetPr>
  <dimension ref="A1:P183"/>
  <sheetViews>
    <sheetView tabSelected="1" zoomScaleNormal="100" zoomScaleSheetLayoutView="80" workbookViewId="0">
      <pane xSplit="2" ySplit="4" topLeftCell="C5" activePane="bottomRight" state="frozen"/>
      <selection activeCell="J13" sqref="J13"/>
      <selection pane="topRight" activeCell="J13" sqref="J13"/>
      <selection pane="bottomLeft" activeCell="J13" sqref="J13"/>
      <selection pane="bottomRight" activeCell="J13" sqref="J13"/>
    </sheetView>
  </sheetViews>
  <sheetFormatPr defaultColWidth="9.140625" defaultRowHeight="15" zeroHeight="1" outlineLevelRow="1" x14ac:dyDescent="0.25"/>
  <cols>
    <col min="1" max="1" width="3.140625" style="1" customWidth="1"/>
    <col min="2" max="2" width="46.42578125" customWidth="1"/>
    <col min="3" max="16" width="14.5703125" bestFit="1" customWidth="1"/>
  </cols>
  <sheetData>
    <row r="1" spans="1:16" ht="15.75" x14ac:dyDescent="0.25">
      <c r="A1" s="41" t="s">
        <v>129</v>
      </c>
    </row>
    <row r="2" spans="1:16" ht="15.75" x14ac:dyDescent="0.25">
      <c r="A2" s="41" t="s">
        <v>6</v>
      </c>
      <c r="B2" s="28"/>
      <c r="C2" s="34"/>
      <c r="D2" s="34"/>
      <c r="E2" s="34"/>
      <c r="F2" s="34"/>
      <c r="G2" s="34"/>
      <c r="H2" s="34"/>
      <c r="I2" s="34"/>
      <c r="J2" s="34"/>
      <c r="K2" s="34"/>
      <c r="L2" s="34"/>
      <c r="M2" s="34"/>
      <c r="N2" s="34"/>
      <c r="O2" s="34"/>
      <c r="P2" s="34"/>
    </row>
    <row r="3" spans="1:16" x14ac:dyDescent="0.25">
      <c r="A3" s="48"/>
    </row>
    <row r="4" spans="1:16" x14ac:dyDescent="0.25">
      <c r="C4" s="10">
        <v>45627</v>
      </c>
      <c r="D4" s="10">
        <v>45658</v>
      </c>
      <c r="E4" s="10">
        <v>45689</v>
      </c>
      <c r="F4" s="10">
        <v>45717</v>
      </c>
      <c r="G4" s="10">
        <v>45748</v>
      </c>
      <c r="H4" s="10">
        <v>45778</v>
      </c>
      <c r="I4" s="10">
        <v>45809</v>
      </c>
      <c r="J4" s="10">
        <v>45839</v>
      </c>
      <c r="K4" s="10">
        <v>45870</v>
      </c>
      <c r="L4" s="10">
        <v>45901</v>
      </c>
      <c r="M4" s="10">
        <v>45931</v>
      </c>
      <c r="N4" s="10">
        <v>45962</v>
      </c>
      <c r="O4" s="10">
        <v>45992</v>
      </c>
      <c r="P4" s="10">
        <v>46023</v>
      </c>
    </row>
    <row r="5" spans="1:16" ht="15" customHeight="1" x14ac:dyDescent="0.25">
      <c r="A5" s="279" t="s">
        <v>0</v>
      </c>
      <c r="B5" s="5"/>
      <c r="C5" s="202"/>
      <c r="D5" s="202"/>
      <c r="E5" s="202"/>
      <c r="F5" s="202"/>
      <c r="G5" s="202"/>
      <c r="H5" s="202"/>
      <c r="I5" s="202"/>
      <c r="J5" s="202"/>
      <c r="K5" s="202"/>
      <c r="L5" s="202"/>
      <c r="M5" s="202"/>
      <c r="N5" s="202"/>
      <c r="O5" s="202"/>
      <c r="P5" s="202"/>
    </row>
    <row r="6" spans="1:16" s="3" customFormat="1" ht="15" customHeight="1" x14ac:dyDescent="0.25">
      <c r="A6" s="279"/>
      <c r="B6" s="5" t="s">
        <v>8</v>
      </c>
      <c r="C6" s="20">
        <v>0</v>
      </c>
      <c r="D6" s="158">
        <f>3452666.45+'PAYS interest calculation'!AV16</f>
        <v>3454807.5431487677</v>
      </c>
      <c r="E6" s="158">
        <f>1627701.13+'PAYS interest calculation'!AW16</f>
        <v>1629823.5777280233</v>
      </c>
      <c r="F6" s="158">
        <f>591864.92+'PAYS interest calculation'!AX16+(-1*'PAYS interest calculation'!AX6)</f>
        <v>594498.04342600412</v>
      </c>
      <c r="G6" s="158">
        <f>2850757.45+'PAYS interest calculation'!AY16</f>
        <v>2853073.9867166788</v>
      </c>
      <c r="H6" s="158">
        <f>1678623.79+'PAYS interest calculation'!AZ16</f>
        <v>1681092.2725668531</v>
      </c>
      <c r="I6" s="158">
        <f>3752417.74+'PAYS interest calculation'!BA16</f>
        <v>3752921.8097479739</v>
      </c>
      <c r="J6" s="158">
        <f>3429236+'PAYS interest calculation'!BB16</f>
        <v>3429741.8024297724</v>
      </c>
      <c r="K6" s="158">
        <f>3328053.35+'PAYS interest calculation'!BC16+(-1*'PAYS interest calculation'!BC6)</f>
        <v>3329046.2015058734</v>
      </c>
      <c r="L6" s="158">
        <f>5776304.21+'PAYS interest calculation'!BD16</f>
        <v>5777558.5108690541</v>
      </c>
      <c r="M6" s="158">
        <f>3290372.88+'PAYS interest calculation'!BE16</f>
        <v>3292296.956510595</v>
      </c>
      <c r="N6" s="101">
        <f>SUM('[1]PCR (M4)'!$L$15:$L$18)</f>
        <v>3213814.5035423962</v>
      </c>
      <c r="O6" s="101">
        <f>SUM('[1]PCR (M4)'!$M$15:$M$18)</f>
        <v>9630734.5594817493</v>
      </c>
      <c r="P6" s="101">
        <f>SUM('[1]PCR (M4)'!$N$15:$N$18)</f>
        <v>981815.25946008193</v>
      </c>
    </row>
    <row r="7" spans="1:16" s="3" customFormat="1" x14ac:dyDescent="0.25">
      <c r="A7" s="279"/>
      <c r="B7" s="5" t="s">
        <v>9</v>
      </c>
      <c r="C7" s="21">
        <v>0</v>
      </c>
      <c r="D7" s="21">
        <v>0</v>
      </c>
      <c r="E7" s="21">
        <v>1895772.92</v>
      </c>
      <c r="F7" s="21">
        <v>4350759.2300000004</v>
      </c>
      <c r="G7" s="21">
        <v>3434784.79</v>
      </c>
      <c r="H7" s="21">
        <v>3366619.08</v>
      </c>
      <c r="I7" s="21">
        <v>3884882.96</v>
      </c>
      <c r="J7" s="21">
        <v>5392883.4800000004</v>
      </c>
      <c r="K7" s="21">
        <v>5373128.4800000004</v>
      </c>
      <c r="L7" s="21">
        <v>4630128.01</v>
      </c>
      <c r="M7" s="21">
        <v>4092266.52</v>
      </c>
      <c r="N7" s="108">
        <f>SUM('[1]PCR (M4)'!$L$35:$L$39)</f>
        <v>3818251.2817498161</v>
      </c>
      <c r="O7" s="108">
        <f>SUM('[1]PCR (M4)'!$M$35:$M$39)</f>
        <v>4452466.8833806142</v>
      </c>
      <c r="P7" s="108">
        <f>SUM('[1]PCR (M4)'!$N$35:$N$39)</f>
        <v>5186996.7546932101</v>
      </c>
    </row>
    <row r="8" spans="1:16" s="3" customFormat="1" x14ac:dyDescent="0.25">
      <c r="A8" s="279"/>
      <c r="B8" s="5" t="s">
        <v>10</v>
      </c>
      <c r="C8" s="8">
        <v>0</v>
      </c>
      <c r="D8" s="8">
        <f t="shared" ref="D8:E8" si="0">IF(OR(D6="",D7=""),"",D6-D7)</f>
        <v>3454807.5431487677</v>
      </c>
      <c r="E8" s="8">
        <f t="shared" si="0"/>
        <v>-265949.34227197664</v>
      </c>
      <c r="F8" s="8">
        <f t="shared" ref="F8:G8" si="1">IF(OR(F6="",F7=""),"",F6-F7)</f>
        <v>-3756261.1865739962</v>
      </c>
      <c r="G8" s="8">
        <f t="shared" si="1"/>
        <v>-581710.80328332121</v>
      </c>
      <c r="H8" s="8">
        <f t="shared" ref="H8:I8" si="2">IF(OR(H6="",H7=""),"",H6-H7)</f>
        <v>-1685526.807433147</v>
      </c>
      <c r="I8" s="8">
        <f t="shared" si="2"/>
        <v>-131961.15025202604</v>
      </c>
      <c r="J8" s="8">
        <f t="shared" ref="J8:K8" si="3">IF(OR(J6="",J7=""),"",J6-J7)</f>
        <v>-1963141.677570228</v>
      </c>
      <c r="K8" s="8">
        <f t="shared" si="3"/>
        <v>-2044082.2784941271</v>
      </c>
      <c r="L8" s="8">
        <f t="shared" ref="L8:M8" si="4">IF(OR(L6="",L7=""),"",L6-L7)</f>
        <v>1147430.5008690543</v>
      </c>
      <c r="M8" s="8">
        <f t="shared" si="4"/>
        <v>-799969.56348940497</v>
      </c>
      <c r="N8" s="8">
        <f t="shared" ref="N8:O8" si="5">IF(OR(N6="",N7=""),"",N6-N7)</f>
        <v>-604436.77820741991</v>
      </c>
      <c r="O8" s="8">
        <f t="shared" si="5"/>
        <v>5178267.6761011351</v>
      </c>
      <c r="P8" s="8">
        <f t="shared" ref="P8" si="6">IF(OR(P6="",P7=""),"",P6-P7)</f>
        <v>-4205181.4952331278</v>
      </c>
    </row>
    <row r="9" spans="1:16" s="3" customFormat="1" x14ac:dyDescent="0.25">
      <c r="A9" s="279"/>
      <c r="B9" s="5" t="s">
        <v>3</v>
      </c>
      <c r="C9" s="22">
        <v>0</v>
      </c>
      <c r="D9" s="22">
        <v>4.5497750000000003E-2</v>
      </c>
      <c r="E9" s="22">
        <v>4.5607639999999998E-2</v>
      </c>
      <c r="F9" s="22">
        <v>4.6190130000000003E-2</v>
      </c>
      <c r="G9" s="22">
        <v>4.6179980000000002E-2</v>
      </c>
      <c r="H9" s="22">
        <v>4.5943270000000001E-2</v>
      </c>
      <c r="I9" s="22">
        <v>4.5978989999999997E-2</v>
      </c>
      <c r="J9" s="22">
        <v>4.6030420000000002E-2</v>
      </c>
      <c r="K9" s="22">
        <v>4.5683689999999999E-2</v>
      </c>
      <c r="L9" s="22">
        <v>4.4067750000000003E-2</v>
      </c>
      <c r="M9" s="22">
        <v>4.1449880000000001E-2</v>
      </c>
      <c r="N9" s="255">
        <v>4.1449880000000001E-2</v>
      </c>
      <c r="O9" s="255">
        <v>4.1449880000000001E-2</v>
      </c>
      <c r="P9" s="255">
        <v>4.1449880000000001E-2</v>
      </c>
    </row>
    <row r="10" spans="1:16" s="3" customFormat="1" x14ac:dyDescent="0.25">
      <c r="A10" s="279"/>
      <c r="B10" s="5" t="s">
        <v>4</v>
      </c>
      <c r="C10" s="8">
        <v>0</v>
      </c>
      <c r="D10" s="8">
        <f t="shared" ref="D10:P10" si="7">IF(OR(D9="",D8="",C13=""),"",ROUND(((C13+D8)*D9)/12,2))</f>
        <v>13098.83</v>
      </c>
      <c r="E10" s="8">
        <f t="shared" si="7"/>
        <v>12169.48</v>
      </c>
      <c r="F10" s="8">
        <f t="shared" si="7"/>
        <v>-2086.77</v>
      </c>
      <c r="G10" s="8">
        <f t="shared" si="7"/>
        <v>-4332.96</v>
      </c>
      <c r="H10" s="8">
        <f t="shared" si="7"/>
        <v>-10780.56</v>
      </c>
      <c r="I10" s="8">
        <f t="shared" si="7"/>
        <v>-11335.87</v>
      </c>
      <c r="J10" s="8">
        <f t="shared" si="7"/>
        <v>-18922.38</v>
      </c>
      <c r="K10" s="8">
        <f t="shared" si="7"/>
        <v>-26633.65</v>
      </c>
      <c r="L10" s="8">
        <f t="shared" si="7"/>
        <v>-21575.64</v>
      </c>
      <c r="M10" s="8">
        <f t="shared" si="7"/>
        <v>-23131.67</v>
      </c>
      <c r="N10" s="8">
        <f t="shared" si="7"/>
        <v>-25299.39</v>
      </c>
      <c r="O10" s="8">
        <f t="shared" si="7"/>
        <v>-7500.23</v>
      </c>
      <c r="P10" s="8">
        <f t="shared" si="7"/>
        <v>-22051.5</v>
      </c>
    </row>
    <row r="11" spans="1:16" s="3" customFormat="1" x14ac:dyDescent="0.25">
      <c r="A11" s="279"/>
      <c r="B11" s="6" t="s">
        <v>5</v>
      </c>
      <c r="C11" s="8">
        <v>0</v>
      </c>
      <c r="D11" s="8">
        <f t="shared" ref="D11:P11" si="8">IF(OR(C11="",D10=""),"",C11+D10)</f>
        <v>13098.83</v>
      </c>
      <c r="E11" s="8">
        <f t="shared" si="8"/>
        <v>25268.309999999998</v>
      </c>
      <c r="F11" s="8">
        <f t="shared" si="8"/>
        <v>23181.539999999997</v>
      </c>
      <c r="G11" s="8">
        <f t="shared" si="8"/>
        <v>18848.579999999998</v>
      </c>
      <c r="H11" s="8">
        <f t="shared" si="8"/>
        <v>8068.0199999999986</v>
      </c>
      <c r="I11" s="8">
        <f t="shared" si="8"/>
        <v>-3267.8500000000022</v>
      </c>
      <c r="J11" s="8">
        <f t="shared" si="8"/>
        <v>-22190.230000000003</v>
      </c>
      <c r="K11" s="8">
        <f t="shared" si="8"/>
        <v>-48823.880000000005</v>
      </c>
      <c r="L11" s="8">
        <f t="shared" si="8"/>
        <v>-70399.520000000004</v>
      </c>
      <c r="M11" s="8">
        <f t="shared" si="8"/>
        <v>-93531.19</v>
      </c>
      <c r="N11" s="8">
        <f t="shared" si="8"/>
        <v>-118830.58</v>
      </c>
      <c r="O11" s="8">
        <f t="shared" si="8"/>
        <v>-126330.81</v>
      </c>
      <c r="P11" s="8">
        <f t="shared" si="8"/>
        <v>-148382.31</v>
      </c>
    </row>
    <row r="12" spans="1:16" s="3" customFormat="1" x14ac:dyDescent="0.25">
      <c r="A12" s="279"/>
      <c r="B12" s="5" t="s">
        <v>11</v>
      </c>
      <c r="C12" s="8">
        <v>0</v>
      </c>
      <c r="D12" s="8">
        <f t="shared" ref="D12:E12" si="9">IF(OR(D10="",D8=""),"",D8+D10)</f>
        <v>3467906.3731487677</v>
      </c>
      <c r="E12" s="8">
        <f t="shared" si="9"/>
        <v>-253779.86227197663</v>
      </c>
      <c r="F12" s="8">
        <f t="shared" ref="F12:G12" si="10">IF(OR(F10="",F8=""),"",F8+F10)</f>
        <v>-3758347.9565739962</v>
      </c>
      <c r="G12" s="8">
        <f t="shared" si="10"/>
        <v>-586043.76328332117</v>
      </c>
      <c r="H12" s="8">
        <f t="shared" ref="H12:I12" si="11">IF(OR(H10="",H8=""),"",H8+H10)</f>
        <v>-1696307.367433147</v>
      </c>
      <c r="I12" s="8">
        <f t="shared" si="11"/>
        <v>-143297.02025202604</v>
      </c>
      <c r="J12" s="8">
        <f t="shared" ref="J12:K12" si="12">IF(OR(J10="",J8=""),"",J8+J10)</f>
        <v>-1982064.0575702279</v>
      </c>
      <c r="K12" s="8">
        <f t="shared" si="12"/>
        <v>-2070715.928494127</v>
      </c>
      <c r="L12" s="8">
        <f t="shared" ref="L12:M12" si="13">IF(OR(L10="",L8=""),"",L8+L10)</f>
        <v>1125854.8608690544</v>
      </c>
      <c r="M12" s="8">
        <f t="shared" si="13"/>
        <v>-823101.23348940501</v>
      </c>
      <c r="N12" s="8">
        <f t="shared" ref="N12:O12" si="14">IF(OR(N10="",N8=""),"",N8+N10)</f>
        <v>-629736.16820741992</v>
      </c>
      <c r="O12" s="8">
        <f t="shared" si="14"/>
        <v>5170767.4461011346</v>
      </c>
      <c r="P12" s="8">
        <f t="shared" ref="P12" si="15">IF(OR(P10="",P8=""),"",P8+P10)</f>
        <v>-4227232.9952331278</v>
      </c>
    </row>
    <row r="13" spans="1:16" s="3" customFormat="1" x14ac:dyDescent="0.25">
      <c r="A13" s="279"/>
      <c r="B13" s="9" t="s">
        <v>2</v>
      </c>
      <c r="C13" s="8">
        <v>0</v>
      </c>
      <c r="D13" s="8">
        <f t="shared" ref="D13:P13" si="16">IF(OR(D12="",C13=""),"",D12+C13)</f>
        <v>3467906.3731487677</v>
      </c>
      <c r="E13" s="8">
        <f t="shared" si="16"/>
        <v>3214126.5108767911</v>
      </c>
      <c r="F13" s="8">
        <f t="shared" si="16"/>
        <v>-544221.44569720514</v>
      </c>
      <c r="G13" s="8">
        <f t="shared" si="16"/>
        <v>-1130265.2089805263</v>
      </c>
      <c r="H13" s="8">
        <f t="shared" si="16"/>
        <v>-2826572.5764136733</v>
      </c>
      <c r="I13" s="8">
        <f t="shared" si="16"/>
        <v>-2969869.5966656995</v>
      </c>
      <c r="J13" s="8">
        <f t="shared" si="16"/>
        <v>-4951933.6542359274</v>
      </c>
      <c r="K13" s="8">
        <f t="shared" si="16"/>
        <v>-7022649.5827300549</v>
      </c>
      <c r="L13" s="8">
        <f t="shared" si="16"/>
        <v>-5896794.7218610002</v>
      </c>
      <c r="M13" s="8">
        <f t="shared" si="16"/>
        <v>-6719895.9553504055</v>
      </c>
      <c r="N13" s="8">
        <f t="shared" si="16"/>
        <v>-7349632.1235578256</v>
      </c>
      <c r="O13" s="8">
        <f t="shared" si="16"/>
        <v>-2178864.6774566909</v>
      </c>
      <c r="P13" s="8">
        <f t="shared" si="16"/>
        <v>-6406097.6726898188</v>
      </c>
    </row>
    <row r="14" spans="1:16" s="4" customFormat="1" ht="8.25" customHeight="1" x14ac:dyDescent="0.25">
      <c r="A14" s="35"/>
      <c r="B14" s="11"/>
      <c r="C14" s="12"/>
      <c r="D14" s="12"/>
      <c r="E14" s="12"/>
      <c r="F14" s="12"/>
      <c r="G14" s="12"/>
      <c r="H14" s="12"/>
      <c r="I14" s="12"/>
      <c r="J14" s="12"/>
      <c r="K14" s="12"/>
      <c r="L14" s="12"/>
      <c r="M14" s="12"/>
      <c r="N14" s="12"/>
      <c r="O14" s="12"/>
      <c r="P14" s="12"/>
    </row>
    <row r="15" spans="1:16" s="4" customFormat="1" ht="15" customHeight="1" x14ac:dyDescent="0.25">
      <c r="A15" s="276" t="s">
        <v>24</v>
      </c>
      <c r="B15" s="14"/>
      <c r="C15" s="7"/>
      <c r="D15" s="7"/>
      <c r="E15" s="7"/>
      <c r="F15" s="7"/>
      <c r="G15" s="7"/>
      <c r="H15" s="7"/>
      <c r="I15" s="7"/>
      <c r="J15" s="7"/>
      <c r="K15" s="7"/>
      <c r="L15" s="7"/>
      <c r="M15" s="7"/>
      <c r="N15" s="7"/>
      <c r="O15" s="7"/>
      <c r="P15" s="7"/>
    </row>
    <row r="16" spans="1:16" s="2" customFormat="1" ht="15" customHeight="1" x14ac:dyDescent="0.25">
      <c r="A16" s="276"/>
      <c r="B16" s="14" t="s">
        <v>27</v>
      </c>
      <c r="C16" s="18">
        <v>0</v>
      </c>
      <c r="D16" s="18">
        <f t="shared" ref="D16:E21" si="17">IF(D67="","",SUM(D67,D57,D47,D37,D27))</f>
        <v>0</v>
      </c>
      <c r="E16" s="18">
        <f t="shared" si="17"/>
        <v>1642.4529393774922</v>
      </c>
      <c r="F16" s="18">
        <f t="shared" ref="F16:G16" si="18">IF(F67="","",SUM(F67,F57,F47,F37,F27))</f>
        <v>3927.9112676267696</v>
      </c>
      <c r="G16" s="18">
        <f t="shared" si="18"/>
        <v>5672.7844165525421</v>
      </c>
      <c r="H16" s="18">
        <f t="shared" ref="H16:I16" si="19">IF(H67="","",SUM(H67,H57,H47,H37,H27))</f>
        <v>16395.098941836153</v>
      </c>
      <c r="I16" s="18">
        <f t="shared" si="19"/>
        <v>111461.24053309565</v>
      </c>
      <c r="J16" s="18">
        <f t="shared" ref="J16:K16" si="20">IF(J67="","",SUM(J67,J57,J47,J37,J27))</f>
        <v>207697.35369397837</v>
      </c>
      <c r="K16" s="18">
        <f t="shared" si="20"/>
        <v>260162.47551728733</v>
      </c>
      <c r="L16" s="18">
        <f t="shared" ref="L16:M16" si="21">IF(L67="","",SUM(L67,L57,L47,L37,L27))</f>
        <v>172388.44270859583</v>
      </c>
      <c r="M16" s="18">
        <f t="shared" si="21"/>
        <v>70717.533839102922</v>
      </c>
      <c r="N16" s="18">
        <f t="shared" ref="N16:O16" si="22">IF(N67="","",SUM(N67,N57,N47,N37,N27))</f>
        <v>97722.955743977407</v>
      </c>
      <c r="O16" s="18">
        <f t="shared" si="22"/>
        <v>167638.87454110698</v>
      </c>
      <c r="P16" s="18">
        <f t="shared" ref="P16" si="23">IF(P67="","",SUM(P67,P57,P47,P37,P27))</f>
        <v>194483.8602806853</v>
      </c>
    </row>
    <row r="17" spans="1:16" s="4" customFormat="1" ht="15" customHeight="1" x14ac:dyDescent="0.25">
      <c r="A17" s="276"/>
      <c r="B17" s="15" t="s">
        <v>25</v>
      </c>
      <c r="C17" s="18">
        <v>0</v>
      </c>
      <c r="D17" s="18">
        <f t="shared" si="17"/>
        <v>0</v>
      </c>
      <c r="E17" s="18">
        <f t="shared" ref="E17:G18" si="24">IF(E68="","",SUM(E68,E58,E48,E38,E28))</f>
        <v>60387.189999999995</v>
      </c>
      <c r="F17" s="18">
        <f t="shared" si="24"/>
        <v>137856.49</v>
      </c>
      <c r="G17" s="18">
        <f t="shared" si="24"/>
        <v>107664.57999999999</v>
      </c>
      <c r="H17" s="18">
        <f t="shared" ref="H17:I17" si="25">IF(H68="","",SUM(H68,H58,H48,H38,H28))</f>
        <v>105446.88</v>
      </c>
      <c r="I17" s="18">
        <f t="shared" si="25"/>
        <v>121857.66</v>
      </c>
      <c r="J17" s="18">
        <f t="shared" ref="J17:K17" si="26">IF(J68="","",SUM(J68,J58,J48,J38,J28))</f>
        <v>170464.83000000002</v>
      </c>
      <c r="K17" s="18">
        <f t="shared" si="26"/>
        <v>170429.95</v>
      </c>
      <c r="L17" s="18">
        <f t="shared" ref="L17:M17" si="27">IF(L68="","",SUM(L68,L58,L48,L38,L28))</f>
        <v>145893.66999999998</v>
      </c>
      <c r="M17" s="18">
        <f t="shared" si="27"/>
        <v>128350.49</v>
      </c>
      <c r="N17" s="18">
        <f t="shared" ref="N17:O17" si="28">IF(N68="","",SUM(N68,N58,N48,N38,N28))</f>
        <v>121059.1078737878</v>
      </c>
      <c r="O17" s="18">
        <f t="shared" si="28"/>
        <v>141277.18043535738</v>
      </c>
      <c r="P17" s="18">
        <f t="shared" ref="P17" si="29">IF(P68="","",SUM(P68,P58,P48,P38,P28))</f>
        <v>165499.91720911977</v>
      </c>
    </row>
    <row r="18" spans="1:16" s="4" customFormat="1" ht="15" customHeight="1" x14ac:dyDescent="0.25">
      <c r="A18" s="276"/>
      <c r="B18" s="15" t="s">
        <v>45</v>
      </c>
      <c r="C18" s="18">
        <v>0</v>
      </c>
      <c r="D18" s="18">
        <f t="shared" si="17"/>
        <v>0</v>
      </c>
      <c r="E18" s="18">
        <f t="shared" si="24"/>
        <v>-73.25</v>
      </c>
      <c r="F18" s="18">
        <f t="shared" si="24"/>
        <v>-151.85</v>
      </c>
      <c r="G18" s="18">
        <f t="shared" si="24"/>
        <v>-103.49</v>
      </c>
      <c r="H18" s="18">
        <f t="shared" ref="H18:I18" si="30">IF(H69="","",SUM(H69,H59,H49,H39,H29))</f>
        <v>-97.18</v>
      </c>
      <c r="I18" s="18">
        <f t="shared" si="30"/>
        <v>-118.67</v>
      </c>
      <c r="J18" s="18">
        <f t="shared" ref="J18:K18" si="31">IF(J69="","",SUM(J69,J59,J49,J39,J29))</f>
        <v>-186.72</v>
      </c>
      <c r="K18" s="18">
        <f t="shared" si="31"/>
        <v>-192.2</v>
      </c>
      <c r="L18" s="18">
        <f t="shared" ref="L18:M18" si="32">IF(L69="","",SUM(L69,L59,L49,L39,L29))</f>
        <v>-152.83000000000001</v>
      </c>
      <c r="M18" s="18">
        <f t="shared" si="32"/>
        <v>-125.34</v>
      </c>
      <c r="N18" s="18">
        <f t="shared" ref="N18:O18" si="33">IF(N69="","",SUM(N69,N59,N49,N39,N29))</f>
        <v>-122.39999999999999</v>
      </c>
      <c r="O18" s="18">
        <f t="shared" si="33"/>
        <v>-153.16</v>
      </c>
      <c r="P18" s="18">
        <f t="shared" ref="P18" si="34">IF(P69="","",SUM(P69,P59,P49,P39,P29))</f>
        <v>-195.7</v>
      </c>
    </row>
    <row r="19" spans="1:16" s="4" customFormat="1" ht="15" customHeight="1" x14ac:dyDescent="0.25">
      <c r="A19" s="276"/>
      <c r="B19" s="15" t="s">
        <v>46</v>
      </c>
      <c r="C19" s="18">
        <v>0</v>
      </c>
      <c r="D19" s="18">
        <f t="shared" si="17"/>
        <v>0</v>
      </c>
      <c r="E19" s="18">
        <f t="shared" si="17"/>
        <v>60313.94</v>
      </c>
      <c r="F19" s="18">
        <f t="shared" ref="F19:G19" si="35">IF(F70="","",SUM(F70,F60,F50,F40,F30))</f>
        <v>137704.64000000001</v>
      </c>
      <c r="G19" s="18">
        <f t="shared" si="35"/>
        <v>107561.09</v>
      </c>
      <c r="H19" s="18">
        <f t="shared" ref="H19:I19" si="36">IF(H70="","",SUM(H70,H60,H50,H40,H30))</f>
        <v>105349.7</v>
      </c>
      <c r="I19" s="18">
        <f t="shared" si="36"/>
        <v>121738.99</v>
      </c>
      <c r="J19" s="18">
        <f t="shared" ref="J19:K19" si="37">IF(J70="","",SUM(J70,J60,J50,J40,J30))</f>
        <v>170278.11</v>
      </c>
      <c r="K19" s="18">
        <f t="shared" si="37"/>
        <v>170237.75</v>
      </c>
      <c r="L19" s="18">
        <f t="shared" ref="L19:M19" si="38">IF(L70="","",SUM(L70,L60,L50,L40,L30))</f>
        <v>145740.84</v>
      </c>
      <c r="M19" s="18">
        <f t="shared" si="38"/>
        <v>128225.15</v>
      </c>
      <c r="N19" s="18">
        <f t="shared" ref="N19:O19" si="39">IF(N70="","",SUM(N70,N60,N50,N40,N30))</f>
        <v>120936.70787378779</v>
      </c>
      <c r="O19" s="18">
        <f t="shared" si="39"/>
        <v>141124.02043535738</v>
      </c>
      <c r="P19" s="18">
        <f t="shared" ref="P19" si="40">IF(P70="","",SUM(P70,P60,P50,P40,P30))</f>
        <v>165304.21720911979</v>
      </c>
    </row>
    <row r="20" spans="1:16" s="4" customFormat="1" x14ac:dyDescent="0.25">
      <c r="A20" s="276"/>
      <c r="B20" s="15" t="s">
        <v>12</v>
      </c>
      <c r="C20" s="18">
        <v>0</v>
      </c>
      <c r="D20" s="18">
        <f t="shared" si="17"/>
        <v>0</v>
      </c>
      <c r="E20" s="18">
        <f t="shared" si="17"/>
        <v>-58671.487060622501</v>
      </c>
      <c r="F20" s="18">
        <f t="shared" ref="F20:G20" si="41">IF(F71="","",SUM(F71,F61,F51,F41,F31))</f>
        <v>-133776.72873237325</v>
      </c>
      <c r="G20" s="18">
        <f t="shared" si="41"/>
        <v>-101888.30558344745</v>
      </c>
      <c r="H20" s="18">
        <f t="shared" ref="H20:I20" si="42">IF(H71="","",SUM(H71,H61,H51,H41,H31))</f>
        <v>-88954.60105816384</v>
      </c>
      <c r="I20" s="18">
        <f t="shared" si="42"/>
        <v>-10277.749466904341</v>
      </c>
      <c r="J20" s="18">
        <f t="shared" ref="J20:K20" si="43">IF(J71="","",SUM(J71,J61,J51,J41,J31))</f>
        <v>37419.243693978358</v>
      </c>
      <c r="K20" s="18">
        <f t="shared" si="43"/>
        <v>89924.725517287312</v>
      </c>
      <c r="L20" s="18">
        <f t="shared" ref="L20:M20" si="44">IF(L71="","",SUM(L71,L61,L51,L41,L31))</f>
        <v>26647.602708595849</v>
      </c>
      <c r="M20" s="18">
        <f t="shared" si="44"/>
        <v>-57507.616160897072</v>
      </c>
      <c r="N20" s="18">
        <f t="shared" ref="N20:O20" si="45">IF(N71="","",SUM(N71,N61,N51,N41,N31))</f>
        <v>-23213.752129810393</v>
      </c>
      <c r="O20" s="18">
        <f t="shared" si="45"/>
        <v>26514.854105749611</v>
      </c>
      <c r="P20" s="18">
        <f t="shared" ref="P20" si="46">IF(P71="","",SUM(P71,P61,P51,P41,P31))</f>
        <v>29179.643071565537</v>
      </c>
    </row>
    <row r="21" spans="1:16" s="4" customFormat="1" x14ac:dyDescent="0.25">
      <c r="A21" s="276"/>
      <c r="B21" s="16" t="s">
        <v>7</v>
      </c>
      <c r="C21" s="18">
        <v>0</v>
      </c>
      <c r="D21" s="18">
        <f t="shared" si="17"/>
        <v>0</v>
      </c>
      <c r="E21" s="18">
        <f t="shared" ref="E21:J21" si="47">IF(E72="","",SUM(E72,E62,E52,E42,E32))</f>
        <v>-223.28</v>
      </c>
      <c r="F21" s="18">
        <f t="shared" si="47"/>
        <v>-742.49</v>
      </c>
      <c r="G21" s="18">
        <f t="shared" si="47"/>
        <v>-1137.69</v>
      </c>
      <c r="H21" s="18">
        <f t="shared" si="47"/>
        <v>-1477.15</v>
      </c>
      <c r="I21" s="18">
        <f t="shared" si="47"/>
        <v>-1523.8000000000002</v>
      </c>
      <c r="J21" s="18">
        <f t="shared" si="47"/>
        <v>-1388.53</v>
      </c>
      <c r="K21" s="18">
        <f t="shared" ref="K21:L21" si="48">IF(K72="","",SUM(K72,K62,K52,K42,K32))</f>
        <v>-1041.7399999999998</v>
      </c>
      <c r="L21" s="18">
        <f t="shared" si="48"/>
        <v>-911.42</v>
      </c>
      <c r="M21" s="18">
        <f t="shared" ref="M21:N21" si="49">IF(M72="","",SUM(M72,M62,M52,M42,M32))</f>
        <v>-1059.5099999999998</v>
      </c>
      <c r="N21" s="101">
        <f t="shared" si="49"/>
        <v>-1143.7799999999997</v>
      </c>
      <c r="O21" s="101">
        <f t="shared" ref="O21:P21" si="50">IF(O72="","",SUM(O72,O62,O52,O42,O32))</f>
        <v>-1056.6599999999999</v>
      </c>
      <c r="P21" s="101">
        <f t="shared" si="50"/>
        <v>-960.19</v>
      </c>
    </row>
    <row r="22" spans="1:16" s="4" customFormat="1" x14ac:dyDescent="0.25">
      <c r="A22" s="276"/>
      <c r="B22" s="16" t="s">
        <v>26</v>
      </c>
      <c r="C22" s="13">
        <v>0</v>
      </c>
      <c r="D22" s="13">
        <f t="shared" ref="D22:P22" si="51">IF(D21="","",C22+D21)</f>
        <v>0</v>
      </c>
      <c r="E22" s="13">
        <f t="shared" si="51"/>
        <v>-223.28</v>
      </c>
      <c r="F22" s="13">
        <f t="shared" si="51"/>
        <v>-965.77</v>
      </c>
      <c r="G22" s="13">
        <f t="shared" si="51"/>
        <v>-2103.46</v>
      </c>
      <c r="H22" s="13">
        <f t="shared" si="51"/>
        <v>-3580.61</v>
      </c>
      <c r="I22" s="13">
        <f t="shared" si="51"/>
        <v>-5104.41</v>
      </c>
      <c r="J22" s="13">
        <f t="shared" si="51"/>
        <v>-6492.94</v>
      </c>
      <c r="K22" s="13">
        <f t="shared" si="51"/>
        <v>-7534.6799999999994</v>
      </c>
      <c r="L22" s="13">
        <f t="shared" si="51"/>
        <v>-8446.0999999999985</v>
      </c>
      <c r="M22" s="13">
        <f t="shared" si="51"/>
        <v>-9505.6099999999988</v>
      </c>
      <c r="N22" s="13">
        <f t="shared" si="51"/>
        <v>-10649.39</v>
      </c>
      <c r="O22" s="13">
        <f t="shared" si="51"/>
        <v>-11706.05</v>
      </c>
      <c r="P22" s="13">
        <f t="shared" si="51"/>
        <v>-12666.24</v>
      </c>
    </row>
    <row r="23" spans="1:16" s="4" customFormat="1" x14ac:dyDescent="0.25">
      <c r="A23" s="276"/>
      <c r="B23" s="15" t="s">
        <v>13</v>
      </c>
      <c r="C23" s="18">
        <v>0</v>
      </c>
      <c r="D23" s="18">
        <f t="shared" ref="D23:E23" si="52">IF(D73="","",SUM(D73,D63,D53,D43,D33))</f>
        <v>0</v>
      </c>
      <c r="E23" s="18">
        <f t="shared" si="52"/>
        <v>-58894.7670606225</v>
      </c>
      <c r="F23" s="18">
        <f t="shared" ref="F23:G23" si="53">IF(F73="","",SUM(F73,F63,F53,F43,F33))</f>
        <v>-134519.21873237324</v>
      </c>
      <c r="G23" s="18">
        <f t="shared" si="53"/>
        <v>-103025.99558344745</v>
      </c>
      <c r="H23" s="18">
        <f t="shared" ref="H23:I23" si="54">IF(H73="","",SUM(H73,H63,H53,H43,H33))</f>
        <v>-90431.751058163849</v>
      </c>
      <c r="I23" s="18">
        <f t="shared" si="54"/>
        <v>-11801.549466904344</v>
      </c>
      <c r="J23" s="18">
        <f t="shared" ref="J23:K23" si="55">IF(J73="","",SUM(J73,J63,J53,J43,J33))</f>
        <v>36030.713693978367</v>
      </c>
      <c r="K23" s="18">
        <f t="shared" si="55"/>
        <v>88882.985517287278</v>
      </c>
      <c r="L23" s="18">
        <f t="shared" ref="L23:M23" si="56">IF(L73="","",SUM(L73,L63,L53,L43,L33))</f>
        <v>25736.182708595843</v>
      </c>
      <c r="M23" s="18">
        <f t="shared" si="56"/>
        <v>-58567.126160897074</v>
      </c>
      <c r="N23" s="18">
        <f t="shared" ref="N23:O23" si="57">IF(N73="","",SUM(N73,N63,N53,N43,N33))</f>
        <v>-24357.532129810395</v>
      </c>
      <c r="O23" s="18">
        <f t="shared" si="57"/>
        <v>25458.194105749615</v>
      </c>
      <c r="P23" s="18">
        <f t="shared" ref="P23" si="58">IF(P73="","",SUM(P73,P63,P53,P43,P33))</f>
        <v>28219.453071565542</v>
      </c>
    </row>
    <row r="24" spans="1:16" s="4" customFormat="1" x14ac:dyDescent="0.25">
      <c r="A24" s="276"/>
      <c r="B24" s="17" t="s">
        <v>1</v>
      </c>
      <c r="C24" s="18">
        <v>0</v>
      </c>
      <c r="D24" s="18">
        <f t="shared" ref="D24:I24" si="59">IF(D74="","",SUM(D74,D64,D54,D44,D34))</f>
        <v>0</v>
      </c>
      <c r="E24" s="18">
        <f t="shared" si="59"/>
        <v>-58968.0170606225</v>
      </c>
      <c r="F24" s="18">
        <f t="shared" si="59"/>
        <v>-193639.08579299576</v>
      </c>
      <c r="G24" s="18">
        <f t="shared" si="59"/>
        <v>-296768.57137644314</v>
      </c>
      <c r="H24" s="18">
        <f t="shared" si="59"/>
        <v>-387297.50243460701</v>
      </c>
      <c r="I24" s="18">
        <f t="shared" si="59"/>
        <v>-399217.72190151137</v>
      </c>
      <c r="J24" s="18">
        <f t="shared" ref="J24:K24" si="60">IF(J74="","",SUM(J74,J64,J54,J44,J34))</f>
        <v>-363373.72820753296</v>
      </c>
      <c r="K24" s="18">
        <f t="shared" si="60"/>
        <v>-274682.94269024569</v>
      </c>
      <c r="L24" s="18">
        <f t="shared" ref="L24:M24" si="61">IF(L74="","",SUM(L74,L64,L54,L44,L34))</f>
        <v>-249099.58998164983</v>
      </c>
      <c r="M24" s="18">
        <f t="shared" si="61"/>
        <v>-307792.05614254688</v>
      </c>
      <c r="N24" s="18">
        <f t="shared" ref="N24:O24" si="62">IF(N74="","",SUM(N74,N64,N54,N44,N34))</f>
        <v>-332271.98827235727</v>
      </c>
      <c r="O24" s="18">
        <f t="shared" si="62"/>
        <v>-306966.95416660764</v>
      </c>
      <c r="P24" s="18">
        <f t="shared" ref="P24" si="63">IF(P74="","",SUM(P74,P64,P54,P44,P34))</f>
        <v>-278943.20109504211</v>
      </c>
    </row>
    <row r="25" spans="1:16" s="4" customFormat="1" ht="8.25" customHeight="1" x14ac:dyDescent="0.25">
      <c r="A25" s="35"/>
      <c r="B25" s="11"/>
      <c r="C25" s="12"/>
      <c r="D25" s="12"/>
      <c r="E25" s="12"/>
      <c r="F25" s="12"/>
      <c r="G25" s="12"/>
      <c r="H25" s="12"/>
      <c r="I25" s="12"/>
      <c r="J25" s="12"/>
      <c r="K25" s="12"/>
      <c r="L25" s="12"/>
      <c r="M25" s="12"/>
      <c r="N25" s="12"/>
      <c r="O25" s="12"/>
      <c r="P25" s="12"/>
    </row>
    <row r="26" spans="1:16" s="4" customFormat="1" ht="15" hidden="1" customHeight="1" outlineLevel="1" x14ac:dyDescent="0.25">
      <c r="A26" s="276" t="s">
        <v>19</v>
      </c>
      <c r="B26" s="14"/>
      <c r="C26" s="7"/>
      <c r="D26" s="7"/>
      <c r="E26" s="7"/>
      <c r="F26" s="7"/>
      <c r="G26" s="7"/>
      <c r="H26" s="7"/>
      <c r="I26" s="7"/>
      <c r="J26" s="7"/>
      <c r="K26" s="7"/>
      <c r="L26" s="7"/>
      <c r="M26" s="7"/>
      <c r="N26" s="7"/>
      <c r="O26" s="7"/>
      <c r="P26" s="7"/>
    </row>
    <row r="27" spans="1:16" s="2" customFormat="1" ht="15" hidden="1" customHeight="1" outlineLevel="1" x14ac:dyDescent="0.25">
      <c r="A27" s="276"/>
      <c r="B27" s="14" t="s">
        <v>27</v>
      </c>
      <c r="C27" s="19">
        <v>0</v>
      </c>
      <c r="D27" s="19">
        <f>IF('M4 Allocations - TD'!C5="","",'M4 Allocations - TD'!C31)</f>
        <v>0</v>
      </c>
      <c r="E27" s="19">
        <f>IF('M4 Allocations - TD'!D5="","",'M4 Allocations - TD'!D31)</f>
        <v>934.45686346056698</v>
      </c>
      <c r="F27" s="19">
        <f>IF('M4 Allocations - TD'!E5="","",'M4 Allocations - TD'!E31)</f>
        <v>1506.7032640481104</v>
      </c>
      <c r="G27" s="19">
        <f>IF('M4 Allocations - TD'!F5="","",'M4 Allocations - TD'!F31)</f>
        <v>1468.7992193269206</v>
      </c>
      <c r="H27" s="19">
        <f>IF('M4 Allocations - TD'!G5="","",'M4 Allocations - TD'!G31)</f>
        <v>3860.8643609958426</v>
      </c>
      <c r="I27" s="19">
        <f>IF('M4 Allocations - TD'!H5="","",'M4 Allocations - TD'!H31)</f>
        <v>25657.86462001612</v>
      </c>
      <c r="J27" s="19">
        <f>IF('M4 Allocations - TD'!I5="","",'M4 Allocations - TD'!I31)</f>
        <v>49417.372146965405</v>
      </c>
      <c r="K27" s="19">
        <f>IF('M4 Allocations - TD'!J5="","",'M4 Allocations - TD'!J31)</f>
        <v>55355.653274877695</v>
      </c>
      <c r="L27" s="19">
        <f>IF('M4 Allocations - TD'!K5="","",'M4 Allocations - TD'!K31)</f>
        <v>38351.118391105061</v>
      </c>
      <c r="M27" s="19">
        <f>IF('M4 Allocations - TD'!L5="","",'M4 Allocations - TD'!L31)</f>
        <v>18086.180726733197</v>
      </c>
      <c r="N27" s="19">
        <f>IF('M4 Allocations - TD'!M5="","",'M4 Allocations - TD'!M31)</f>
        <v>29473.748455115085</v>
      </c>
      <c r="O27" s="19">
        <f>IF('M4 Allocations - TD'!N5="","",'M4 Allocations - TD'!N31)</f>
        <v>57032.683493214172</v>
      </c>
      <c r="P27" s="19">
        <f>IF('M4 Allocations - TD'!O5="","",'M4 Allocations - TD'!O31)</f>
        <v>70104.549300661616</v>
      </c>
    </row>
    <row r="28" spans="1:16" s="4" customFormat="1" ht="15" hidden="1" customHeight="1" outlineLevel="1" x14ac:dyDescent="0.25">
      <c r="A28" s="276"/>
      <c r="B28" s="15" t="s">
        <v>25</v>
      </c>
      <c r="C28" s="19">
        <v>0</v>
      </c>
      <c r="D28" s="19">
        <f>IF('M4 Allocations - TD'!C51="","",'M4 Allocations - TD'!C69)</f>
        <v>0</v>
      </c>
      <c r="E28" s="19">
        <f>IF('M4 Allocations - TD'!D51="","",'M4 Allocations - TD'!D69)</f>
        <v>37335.669644289846</v>
      </c>
      <c r="F28" s="19">
        <f>IF('M4 Allocations - TD'!E51="","",'M4 Allocations - TD'!E69)</f>
        <v>77549.999601750809</v>
      </c>
      <c r="G28" s="19">
        <f>IF('M4 Allocations - TD'!F51="","",'M4 Allocations - TD'!F69)</f>
        <v>52759.45151657956</v>
      </c>
      <c r="H28" s="19">
        <f>IF('M4 Allocations - TD'!G51="","",'M4 Allocations - TD'!G69)</f>
        <v>49436.246055622854</v>
      </c>
      <c r="I28" s="19">
        <f>IF('M4 Allocations - TD'!H51="","",'M4 Allocations - TD'!H69)</f>
        <v>60286.51755501327</v>
      </c>
      <c r="J28" s="19">
        <f>IF('M4 Allocations - TD'!I51="","",'M4 Allocations - TD'!I69)</f>
        <v>94915.839328589602</v>
      </c>
      <c r="K28" s="19">
        <f>IF('M4 Allocations - TD'!J51="","",'M4 Allocations - TD'!J69)</f>
        <v>97772.34618404659</v>
      </c>
      <c r="L28" s="19">
        <f>IF('M4 Allocations - TD'!K51="","",'M4 Allocations - TD'!K69)</f>
        <v>77687.793595303214</v>
      </c>
      <c r="M28" s="19">
        <f>IF('M4 Allocations - TD'!L51="","",'M4 Allocations - TD'!L69)</f>
        <v>63668.461156665428</v>
      </c>
      <c r="N28" s="19">
        <f>IF('M4 Allocations - TD'!M51="","",'M4 Allocations - TD'!M69)</f>
        <v>62318.525386252106</v>
      </c>
      <c r="O28" s="19">
        <f>IF('M4 Allocations - TD'!N51="","",'M4 Allocations - TD'!N69)</f>
        <v>78028.216815580337</v>
      </c>
      <c r="P28" s="19">
        <f>IF('M4 Allocations - TD'!O51="","",'M4 Allocations - TD'!O69)</f>
        <v>99746.599609130848</v>
      </c>
    </row>
    <row r="29" spans="1:16" s="4" customFormat="1" ht="15" hidden="1" customHeight="1" outlineLevel="1" x14ac:dyDescent="0.25">
      <c r="A29" s="276"/>
      <c r="B29" s="15" t="s">
        <v>45</v>
      </c>
      <c r="C29" s="19">
        <v>0</v>
      </c>
      <c r="D29" s="19">
        <v>0</v>
      </c>
      <c r="E29" s="19">
        <f>IF(E28="","",-'M4 TD amort'!E8)</f>
        <v>-72.430000000000007</v>
      </c>
      <c r="F29" s="19">
        <f>IF(F28="","",-'M4 TD amort'!F8)</f>
        <v>-149.75</v>
      </c>
      <c r="G29" s="19">
        <f>IF(G28="","",-'M4 TD amort'!G8)</f>
        <v>-101.6</v>
      </c>
      <c r="H29" s="19">
        <f>IF(H28="","",-'M4 TD amort'!H8)</f>
        <v>-95.28</v>
      </c>
      <c r="I29" s="19">
        <f>IF(I28="","",-'M4 TD amort'!I8)</f>
        <v>-116.56</v>
      </c>
      <c r="J29" s="19">
        <f>IF(J28="","",-'M4 TD amort'!J8)</f>
        <v>-184.09</v>
      </c>
      <c r="K29" s="19">
        <f>IF(K28="","",-'M4 TD amort'!K8)</f>
        <v>-189.67</v>
      </c>
      <c r="L29" s="19">
        <f>IF(L28="","",-'M4 TD amort'!L8)</f>
        <v>-150.46</v>
      </c>
      <c r="M29" s="19">
        <f>IF(M28="","",-'M4 TD amort'!M8)</f>
        <v>-123.12</v>
      </c>
      <c r="N29" s="19">
        <f>IF(N28="","",-'M4 TD amort'!N8)</f>
        <v>-120.41</v>
      </c>
      <c r="O29" s="19">
        <f>IF(O28="","",-'M4 TD amort'!O8)</f>
        <v>-150.97999999999999</v>
      </c>
      <c r="P29" s="19">
        <f>IF(P28="","",-'M4 TD amort'!P8)</f>
        <v>-193.39</v>
      </c>
    </row>
    <row r="30" spans="1:16" s="4" customFormat="1" ht="15" hidden="1" customHeight="1" outlineLevel="1" x14ac:dyDescent="0.25">
      <c r="A30" s="276"/>
      <c r="B30" s="15" t="s">
        <v>46</v>
      </c>
      <c r="C30" s="7">
        <v>0</v>
      </c>
      <c r="D30" s="7">
        <f t="shared" ref="D30:E30" si="64">IF(OR(D29="",D28=""),"",D28+D29)</f>
        <v>0</v>
      </c>
      <c r="E30" s="7">
        <f t="shared" si="64"/>
        <v>37263.239644289846</v>
      </c>
      <c r="F30" s="7">
        <f t="shared" ref="F30:G30" si="65">IF(OR(F29="",F28=""),"",F28+F29)</f>
        <v>77400.249601750809</v>
      </c>
      <c r="G30" s="7">
        <f t="shared" si="65"/>
        <v>52657.851516579562</v>
      </c>
      <c r="H30" s="7">
        <f t="shared" ref="H30:I30" si="66">IF(OR(H29="",H28=""),"",H28+H29)</f>
        <v>49340.966055622855</v>
      </c>
      <c r="I30" s="7">
        <f t="shared" si="66"/>
        <v>60169.957555013272</v>
      </c>
      <c r="J30" s="7">
        <f t="shared" ref="J30:K30" si="67">IF(OR(J29="",J28=""),"",J28+J29)</f>
        <v>94731.749328589605</v>
      </c>
      <c r="K30" s="7">
        <f t="shared" si="67"/>
        <v>97582.676184046592</v>
      </c>
      <c r="L30" s="7">
        <f t="shared" ref="L30:M30" si="68">IF(OR(L29="",L28=""),"",L28+L29)</f>
        <v>77537.333595303207</v>
      </c>
      <c r="M30" s="7">
        <f t="shared" si="68"/>
        <v>63545.341156665425</v>
      </c>
      <c r="N30" s="7">
        <f t="shared" ref="N30:O30" si="69">IF(OR(N29="",N28=""),"",N28+N29)</f>
        <v>62198.115386252102</v>
      </c>
      <c r="O30" s="7">
        <f t="shared" si="69"/>
        <v>77877.236815580341</v>
      </c>
      <c r="P30" s="7">
        <f t="shared" ref="P30" si="70">IF(OR(P29="",P28=""),"",P28+P29)</f>
        <v>99553.209609130849</v>
      </c>
    </row>
    <row r="31" spans="1:16" s="4" customFormat="1" hidden="1" outlineLevel="1" x14ac:dyDescent="0.25">
      <c r="A31" s="276"/>
      <c r="B31" s="15" t="s">
        <v>12</v>
      </c>
      <c r="C31" s="7">
        <v>0</v>
      </c>
      <c r="D31" s="7">
        <f t="shared" ref="D31:E31" si="71">IF(OR(D30="",D27=""),"",D27-D30)</f>
        <v>0</v>
      </c>
      <c r="E31" s="7">
        <f t="shared" si="71"/>
        <v>-36328.782780829279</v>
      </c>
      <c r="F31" s="7">
        <f t="shared" ref="F31:G31" si="72">IF(OR(F30="",F27=""),"",F27-F30)</f>
        <v>-75893.546337702704</v>
      </c>
      <c r="G31" s="7">
        <f t="shared" si="72"/>
        <v>-51189.052297252638</v>
      </c>
      <c r="H31" s="7">
        <f t="shared" ref="H31:I31" si="73">IF(OR(H30="",H27=""),"",H27-H30)</f>
        <v>-45480.10169462701</v>
      </c>
      <c r="I31" s="7">
        <f t="shared" si="73"/>
        <v>-34512.092934997156</v>
      </c>
      <c r="J31" s="7">
        <f t="shared" ref="J31:K31" si="74">IF(OR(J30="",J27=""),"",J27-J30)</f>
        <v>-45314.377181624201</v>
      </c>
      <c r="K31" s="7">
        <f t="shared" si="74"/>
        <v>-42227.022909168896</v>
      </c>
      <c r="L31" s="7">
        <f t="shared" ref="L31:M31" si="75">IF(OR(L30="",L27=""),"",L27-L30)</f>
        <v>-39186.215204198146</v>
      </c>
      <c r="M31" s="7">
        <f t="shared" si="75"/>
        <v>-45459.160429932228</v>
      </c>
      <c r="N31" s="7">
        <f t="shared" ref="N31:O31" si="76">IF(OR(N30="",N27=""),"",N27-N30)</f>
        <v>-32724.366931137018</v>
      </c>
      <c r="O31" s="7">
        <f t="shared" si="76"/>
        <v>-20844.55332236617</v>
      </c>
      <c r="P31" s="7">
        <f t="shared" ref="P31" si="77">IF(OR(P30="",P27=""),"",P27-P30)</f>
        <v>-29448.660308469232</v>
      </c>
    </row>
    <row r="32" spans="1:16" s="4" customFormat="1" hidden="1" outlineLevel="1" x14ac:dyDescent="0.25">
      <c r="A32" s="276"/>
      <c r="B32" s="16" t="s">
        <v>7</v>
      </c>
      <c r="C32" s="7">
        <v>0</v>
      </c>
      <c r="D32" s="7">
        <f t="shared" ref="D32:P32" si="78">IF(OR(D9="",D31=""),"",ROUND((D29+D31+C34)*D9/12,2))</f>
        <v>0</v>
      </c>
      <c r="E32" s="7">
        <f t="shared" si="78"/>
        <v>-138.35</v>
      </c>
      <c r="F32" s="7">
        <f t="shared" si="78"/>
        <v>-433.35</v>
      </c>
      <c r="G32" s="7">
        <f t="shared" si="78"/>
        <v>-632.30999999999995</v>
      </c>
      <c r="H32" s="7">
        <f t="shared" si="78"/>
        <v>-805.98</v>
      </c>
      <c r="I32" s="7">
        <f t="shared" si="78"/>
        <v>-942.37</v>
      </c>
      <c r="J32" s="7">
        <f t="shared" si="78"/>
        <v>-1121.57</v>
      </c>
      <c r="K32" s="7">
        <f t="shared" si="78"/>
        <v>-1278.8699999999999</v>
      </c>
      <c r="L32" s="7">
        <f t="shared" si="78"/>
        <v>-1382.79</v>
      </c>
      <c r="M32" s="7">
        <f t="shared" si="78"/>
        <v>-1462.87</v>
      </c>
      <c r="N32" s="7">
        <f t="shared" si="78"/>
        <v>-1581.37</v>
      </c>
      <c r="O32" s="7">
        <f t="shared" si="78"/>
        <v>-1659.35</v>
      </c>
      <c r="P32" s="7">
        <f t="shared" si="78"/>
        <v>-1767.47</v>
      </c>
    </row>
    <row r="33" spans="1:16" s="4" customFormat="1" hidden="1" outlineLevel="1" x14ac:dyDescent="0.25">
      <c r="A33" s="276"/>
      <c r="B33" s="15" t="s">
        <v>13</v>
      </c>
      <c r="C33" s="7">
        <v>0</v>
      </c>
      <c r="D33" s="7">
        <f t="shared" ref="D33:E33" si="79">IF(OR(D31="",D32=""),"",D31+D32)</f>
        <v>0</v>
      </c>
      <c r="E33" s="7">
        <f t="shared" si="79"/>
        <v>-36467.132780829277</v>
      </c>
      <c r="F33" s="7">
        <f t="shared" ref="F33:G33" si="80">IF(OR(F31="",F32=""),"",F31+F32)</f>
        <v>-76326.89633770271</v>
      </c>
      <c r="G33" s="7">
        <f t="shared" si="80"/>
        <v>-51821.362297252635</v>
      </c>
      <c r="H33" s="7">
        <f t="shared" ref="H33:I33" si="81">IF(OR(H31="",H32=""),"",H31+H32)</f>
        <v>-46286.081694627013</v>
      </c>
      <c r="I33" s="7">
        <f t="shared" si="81"/>
        <v>-35454.462934997158</v>
      </c>
      <c r="J33" s="7">
        <f t="shared" ref="J33:K33" si="82">IF(OR(J31="",J32=""),"",J31+J32)</f>
        <v>-46435.9471816242</v>
      </c>
      <c r="K33" s="7">
        <f t="shared" si="82"/>
        <v>-43505.892909168899</v>
      </c>
      <c r="L33" s="7">
        <f t="shared" ref="L33:M33" si="83">IF(OR(L31="",L32=""),"",L31+L32)</f>
        <v>-40569.005204198147</v>
      </c>
      <c r="M33" s="7">
        <f t="shared" si="83"/>
        <v>-46922.030429932231</v>
      </c>
      <c r="N33" s="7">
        <f t="shared" ref="N33:O33" si="84">IF(OR(N31="",N32=""),"",N31+N32)</f>
        <v>-34305.73693113702</v>
      </c>
      <c r="O33" s="7">
        <f t="shared" si="84"/>
        <v>-22503.903322366168</v>
      </c>
      <c r="P33" s="7">
        <f t="shared" ref="P33" si="85">IF(OR(P31="",P32=""),"",P31+P32)</f>
        <v>-31216.130308469234</v>
      </c>
    </row>
    <row r="34" spans="1:16" s="4" customFormat="1" hidden="1" outlineLevel="1" x14ac:dyDescent="0.25">
      <c r="A34" s="276"/>
      <c r="B34" s="17" t="s">
        <v>14</v>
      </c>
      <c r="C34" s="7">
        <v>0</v>
      </c>
      <c r="D34" s="7">
        <f t="shared" ref="D34:P34" si="86">IF(OR(D33="",C34=""),"",D33+D29+C34)</f>
        <v>0</v>
      </c>
      <c r="E34" s="7">
        <f t="shared" si="86"/>
        <v>-36539.562780829277</v>
      </c>
      <c r="F34" s="7">
        <f t="shared" si="86"/>
        <v>-113016.20911853199</v>
      </c>
      <c r="G34" s="7">
        <f t="shared" si="86"/>
        <v>-164939.17141578463</v>
      </c>
      <c r="H34" s="7">
        <f t="shared" si="86"/>
        <v>-211320.53311041163</v>
      </c>
      <c r="I34" s="7">
        <f t="shared" si="86"/>
        <v>-246891.5560454088</v>
      </c>
      <c r="J34" s="7">
        <f t="shared" si="86"/>
        <v>-293511.59322703298</v>
      </c>
      <c r="K34" s="7">
        <f t="shared" si="86"/>
        <v>-337207.15613620187</v>
      </c>
      <c r="L34" s="7">
        <f t="shared" si="86"/>
        <v>-377926.62134040002</v>
      </c>
      <c r="M34" s="7">
        <f t="shared" si="86"/>
        <v>-424971.77177033224</v>
      </c>
      <c r="N34" s="7">
        <f t="shared" si="86"/>
        <v>-459397.91870146926</v>
      </c>
      <c r="O34" s="7">
        <f t="shared" si="86"/>
        <v>-482052.80202383542</v>
      </c>
      <c r="P34" s="7">
        <f t="shared" si="86"/>
        <v>-513462.32233230467</v>
      </c>
    </row>
    <row r="35" spans="1:16" s="4" customFormat="1" ht="8.25" hidden="1" customHeight="1" outlineLevel="1" x14ac:dyDescent="0.25">
      <c r="A35" s="35"/>
      <c r="B35" s="11"/>
      <c r="C35" s="12"/>
      <c r="D35" s="12"/>
      <c r="E35" s="12"/>
      <c r="F35" s="12"/>
      <c r="G35" s="12"/>
      <c r="H35" s="12"/>
      <c r="I35" s="12"/>
      <c r="J35" s="12"/>
      <c r="K35" s="12"/>
      <c r="L35" s="12"/>
      <c r="M35" s="12"/>
      <c r="N35" s="12"/>
      <c r="O35" s="12"/>
      <c r="P35" s="12"/>
    </row>
    <row r="36" spans="1:16" s="4" customFormat="1" ht="15" hidden="1" customHeight="1" outlineLevel="1" x14ac:dyDescent="0.25">
      <c r="A36" s="276" t="s">
        <v>20</v>
      </c>
      <c r="B36" s="14"/>
      <c r="C36" s="7"/>
      <c r="D36" s="7"/>
      <c r="E36" s="7"/>
      <c r="F36" s="7"/>
      <c r="G36" s="7"/>
      <c r="H36" s="7"/>
      <c r="I36" s="7"/>
      <c r="J36" s="7"/>
      <c r="K36" s="7"/>
      <c r="L36" s="7"/>
      <c r="M36" s="7"/>
      <c r="N36" s="7"/>
      <c r="O36" s="7"/>
      <c r="P36" s="7"/>
    </row>
    <row r="37" spans="1:16" s="2" customFormat="1" ht="15" hidden="1" customHeight="1" outlineLevel="1" x14ac:dyDescent="0.25">
      <c r="A37" s="276"/>
      <c r="B37" s="14" t="s">
        <v>27</v>
      </c>
      <c r="C37" s="19">
        <v>0</v>
      </c>
      <c r="D37" s="19">
        <f>IF('M4 Allocations - TD'!C6="","",'M4 Allocations - TD'!C32)</f>
        <v>0</v>
      </c>
      <c r="E37" s="19">
        <f>IF('M4 Allocations - TD'!D6="","",'M4 Allocations - TD'!D32)</f>
        <v>193.70318908880077</v>
      </c>
      <c r="F37" s="19">
        <f>IF('M4 Allocations - TD'!E6="","",'M4 Allocations - TD'!E32)</f>
        <v>611.65248569865139</v>
      </c>
      <c r="G37" s="19">
        <f>IF('M4 Allocations - TD'!F6="","",'M4 Allocations - TD'!F32)</f>
        <v>1066.1770443669625</v>
      </c>
      <c r="H37" s="19">
        <f>IF('M4 Allocations - TD'!G6="","",'M4 Allocations - TD'!G32)</f>
        <v>1962.1038392861087</v>
      </c>
      <c r="I37" s="19">
        <f>IF('M4 Allocations - TD'!H6="","",'M4 Allocations - TD'!H32)</f>
        <v>8723.4398657240163</v>
      </c>
      <c r="J37" s="19">
        <f>IF('M4 Allocations - TD'!I6="","",'M4 Allocations - TD'!I32)</f>
        <v>16170.455367719413</v>
      </c>
      <c r="K37" s="19">
        <f>IF('M4 Allocations - TD'!J6="","",'M4 Allocations - TD'!J32)</f>
        <v>19361.32543853797</v>
      </c>
      <c r="L37" s="19">
        <f>IF('M4 Allocations - TD'!K6="","",'M4 Allocations - TD'!K32)</f>
        <v>16479.636779725879</v>
      </c>
      <c r="M37" s="19">
        <f>IF('M4 Allocations - TD'!L6="","",'M4 Allocations - TD'!L32)</f>
        <v>8692.4078882971298</v>
      </c>
      <c r="N37" s="19">
        <f>IF('M4 Allocations - TD'!M6="","",'M4 Allocations - TD'!M32)</f>
        <v>9935.5406196372442</v>
      </c>
      <c r="O37" s="19">
        <f>IF('M4 Allocations - TD'!N6="","",'M4 Allocations - TD'!N32)</f>
        <v>17420.81106172943</v>
      </c>
      <c r="P37" s="19">
        <f>IF('M4 Allocations - TD'!O6="","",'M4 Allocations - TD'!O32)</f>
        <v>19270.191387063613</v>
      </c>
    </row>
    <row r="38" spans="1:16" s="4" customFormat="1" ht="15" hidden="1" customHeight="1" outlineLevel="1" x14ac:dyDescent="0.25">
      <c r="A38" s="276"/>
      <c r="B38" s="15" t="s">
        <v>25</v>
      </c>
      <c r="C38" s="19">
        <v>0</v>
      </c>
      <c r="D38" s="19">
        <f>IF('M4 Allocations - TD'!C52="","",'M4 Allocations - TD'!C70)</f>
        <v>0</v>
      </c>
      <c r="E38" s="19">
        <f>IF('M4 Allocations - TD'!D52="","",'M4 Allocations - TD'!D70)</f>
        <v>3828.8146197130495</v>
      </c>
      <c r="F38" s="19">
        <f>IF('M4 Allocations - TD'!E52="","",'M4 Allocations - TD'!E70)</f>
        <v>7982.7166157218126</v>
      </c>
      <c r="G38" s="19">
        <f>IF('M4 Allocations - TD'!F52="","",'M4 Allocations - TD'!F70)</f>
        <v>6382.3366421447281</v>
      </c>
      <c r="H38" s="19">
        <f>IF('M4 Allocations - TD'!G52="","",'M4 Allocations - TD'!G70)</f>
        <v>6321.0677625304652</v>
      </c>
      <c r="I38" s="19">
        <f>IF('M4 Allocations - TD'!H52="","",'M4 Allocations - TD'!H70)</f>
        <v>7314.6505419819705</v>
      </c>
      <c r="J38" s="19">
        <f>IF('M4 Allocations - TD'!I52="","",'M4 Allocations - TD'!I70)</f>
        <v>9695.4706214939488</v>
      </c>
      <c r="K38" s="19">
        <f>IF('M4 Allocations - TD'!J52="","",'M4 Allocations - TD'!J70)</f>
        <v>9516.8038837058721</v>
      </c>
      <c r="L38" s="19">
        <f>IF('M4 Allocations - TD'!K52="","",'M4 Allocations - TD'!K70)</f>
        <v>8583.9348598353918</v>
      </c>
      <c r="M38" s="19">
        <f>IF('M4 Allocations - TD'!L52="","",'M4 Allocations - TD'!L70)</f>
        <v>7633.141971651904</v>
      </c>
      <c r="N38" s="19">
        <f>IF('M4 Allocations - TD'!M52="","",'M4 Allocations - TD'!M70)</f>
        <v>6557.7633898307004</v>
      </c>
      <c r="O38" s="19">
        <f>IF('M4 Allocations - TD'!N52="","",'M4 Allocations - TD'!N70)</f>
        <v>8078.3288391482638</v>
      </c>
      <c r="P38" s="19">
        <f>IF('M4 Allocations - TD'!O52="","",'M4 Allocations - TD'!O70)</f>
        <v>8997.390760449649</v>
      </c>
    </row>
    <row r="39" spans="1:16" s="4" customFormat="1" ht="15" hidden="1" customHeight="1" outlineLevel="1" x14ac:dyDescent="0.25">
      <c r="A39" s="276"/>
      <c r="B39" s="15" t="s">
        <v>45</v>
      </c>
      <c r="C39" s="19">
        <v>0</v>
      </c>
      <c r="D39" s="19">
        <v>0</v>
      </c>
      <c r="E39" s="19">
        <f>IF(E38="","",-'M4 TD amort'!E15)</f>
        <v>-0.28000000000000003</v>
      </c>
      <c r="F39" s="19">
        <f>IF(F38="","",-'M4 TD amort'!F15)</f>
        <v>-0.59</v>
      </c>
      <c r="G39" s="19">
        <f>IF(G38="","",-'M4 TD amort'!G15)</f>
        <v>-0.47</v>
      </c>
      <c r="H39" s="19">
        <f>IF(H38="","",-'M4 TD amort'!H15)</f>
        <v>-0.46</v>
      </c>
      <c r="I39" s="19">
        <f>IF(I38="","",-'M4 TD amort'!I15)</f>
        <v>-0.53</v>
      </c>
      <c r="J39" s="19">
        <f>IF(J38="","",-'M4 TD amort'!J15)</f>
        <v>-0.71</v>
      </c>
      <c r="K39" s="19">
        <f>IF(K38="","",-'M4 TD amort'!K15)</f>
        <v>-0.7</v>
      </c>
      <c r="L39" s="19">
        <f>IF(L38="","",-'M4 TD amort'!L15)</f>
        <v>-0.63</v>
      </c>
      <c r="M39" s="19">
        <f>IF(M38="","",-'M4 TD amort'!M15)</f>
        <v>-0.56000000000000005</v>
      </c>
      <c r="N39" s="19">
        <f>IF(N38="","",-'M4 TD amort'!N15)</f>
        <v>-0.48</v>
      </c>
      <c r="O39" s="19">
        <f>IF(O38="","",-'M4 TD amort'!O15)</f>
        <v>-0.59</v>
      </c>
      <c r="P39" s="19">
        <f>IF(P38="","",-'M4 TD amort'!P15)</f>
        <v>-0.67</v>
      </c>
    </row>
    <row r="40" spans="1:16" s="4" customFormat="1" ht="15" hidden="1" customHeight="1" outlineLevel="1" x14ac:dyDescent="0.25">
      <c r="A40" s="276"/>
      <c r="B40" s="15" t="s">
        <v>46</v>
      </c>
      <c r="C40" s="7">
        <v>0</v>
      </c>
      <c r="D40" s="7">
        <f t="shared" ref="D40:E40" si="87">IF(OR(D39="",D38=""),"",D38+D39)</f>
        <v>0</v>
      </c>
      <c r="E40" s="7">
        <f t="shared" si="87"/>
        <v>3828.5346197130493</v>
      </c>
      <c r="F40" s="7">
        <f t="shared" ref="F40:G40" si="88">IF(OR(F39="",F38=""),"",F38+F39)</f>
        <v>7982.1266157218124</v>
      </c>
      <c r="G40" s="7">
        <f t="shared" si="88"/>
        <v>6381.8666421447278</v>
      </c>
      <c r="H40" s="7">
        <f t="shared" ref="H40:I40" si="89">IF(OR(H39="",H38=""),"",H38+H39)</f>
        <v>6320.6077625304652</v>
      </c>
      <c r="I40" s="7">
        <f t="shared" si="89"/>
        <v>7314.1205419819707</v>
      </c>
      <c r="J40" s="7">
        <f t="shared" ref="J40:K40" si="90">IF(OR(J39="",J38=""),"",J38+J39)</f>
        <v>9694.7606214939497</v>
      </c>
      <c r="K40" s="7">
        <f t="shared" si="90"/>
        <v>9516.1038837058713</v>
      </c>
      <c r="L40" s="7">
        <f t="shared" ref="L40:M40" si="91">IF(OR(L39="",L38=""),"",L38+L39)</f>
        <v>8583.3048598353926</v>
      </c>
      <c r="M40" s="7">
        <f t="shared" si="91"/>
        <v>7632.5819716519036</v>
      </c>
      <c r="N40" s="7">
        <f t="shared" ref="N40:O40" si="92">IF(OR(N39="",N38=""),"",N38+N39)</f>
        <v>6557.2833898307008</v>
      </c>
      <c r="O40" s="7">
        <f t="shared" si="92"/>
        <v>8077.7388391482637</v>
      </c>
      <c r="P40" s="7">
        <f t="shared" ref="P40" si="93">IF(OR(P39="",P38=""),"",P38+P39)</f>
        <v>8996.7207604496489</v>
      </c>
    </row>
    <row r="41" spans="1:16" s="4" customFormat="1" hidden="1" outlineLevel="1" x14ac:dyDescent="0.25">
      <c r="A41" s="276"/>
      <c r="B41" s="15" t="s">
        <v>12</v>
      </c>
      <c r="C41" s="7">
        <v>0</v>
      </c>
      <c r="D41" s="7">
        <f t="shared" ref="D41:E41" si="94">IF(OR(D40="",D37=""),"",D37-D40)</f>
        <v>0</v>
      </c>
      <c r="E41" s="7">
        <f t="shared" si="94"/>
        <v>-3634.8314306242487</v>
      </c>
      <c r="F41" s="7">
        <f t="shared" ref="F41:G41" si="95">IF(OR(F40="",F37=""),"",F37-F40)</f>
        <v>-7370.4741300231608</v>
      </c>
      <c r="G41" s="7">
        <f t="shared" si="95"/>
        <v>-5315.6895977777658</v>
      </c>
      <c r="H41" s="7">
        <f t="shared" ref="H41:I41" si="96">IF(OR(H40="",H37=""),"",H37-H40)</f>
        <v>-4358.503923244356</v>
      </c>
      <c r="I41" s="7">
        <f t="shared" si="96"/>
        <v>1409.3193237420455</v>
      </c>
      <c r="J41" s="7">
        <f t="shared" ref="J41:K41" si="97">IF(OR(J40="",J37=""),"",J37-J40)</f>
        <v>6475.6947462254629</v>
      </c>
      <c r="K41" s="7">
        <f t="shared" si="97"/>
        <v>9845.2215548320983</v>
      </c>
      <c r="L41" s="7">
        <f t="shared" ref="L41:M41" si="98">IF(OR(L40="",L37=""),"",L37-L40)</f>
        <v>7896.3319198904865</v>
      </c>
      <c r="M41" s="7">
        <f t="shared" si="98"/>
        <v>1059.8259166452262</v>
      </c>
      <c r="N41" s="7">
        <f t="shared" ref="N41:O41" si="99">IF(OR(N40="",N37=""),"",N37-N40)</f>
        <v>3378.2572298065434</v>
      </c>
      <c r="O41" s="7">
        <f t="shared" si="99"/>
        <v>9343.072222581166</v>
      </c>
      <c r="P41" s="7">
        <f t="shared" ref="P41" si="100">IF(OR(P40="",P37=""),"",P37-P40)</f>
        <v>10273.470626613964</v>
      </c>
    </row>
    <row r="42" spans="1:16" s="4" customFormat="1" hidden="1" outlineLevel="1" x14ac:dyDescent="0.25">
      <c r="A42" s="276"/>
      <c r="B42" s="16" t="s">
        <v>7</v>
      </c>
      <c r="C42" s="7">
        <v>0</v>
      </c>
      <c r="D42" s="7">
        <f t="shared" ref="D42:P42" si="101">IF(OR(D9="",D41=""),"",ROUND((D39+D41+C44)*D9/12,2))</f>
        <v>0</v>
      </c>
      <c r="E42" s="7">
        <f t="shared" si="101"/>
        <v>-13.82</v>
      </c>
      <c r="F42" s="7">
        <f t="shared" si="101"/>
        <v>-42.42</v>
      </c>
      <c r="G42" s="7">
        <f t="shared" si="101"/>
        <v>-63.03</v>
      </c>
      <c r="H42" s="7">
        <f t="shared" si="101"/>
        <v>-79.64</v>
      </c>
      <c r="I42" s="7">
        <f t="shared" si="101"/>
        <v>-74.61</v>
      </c>
      <c r="J42" s="7">
        <f t="shared" si="101"/>
        <v>-50.14</v>
      </c>
      <c r="K42" s="7">
        <f t="shared" si="101"/>
        <v>-12.47</v>
      </c>
      <c r="L42" s="7">
        <f t="shared" si="101"/>
        <v>16.920000000000002</v>
      </c>
      <c r="M42" s="7">
        <f t="shared" si="101"/>
        <v>19.63</v>
      </c>
      <c r="N42" s="7">
        <f t="shared" si="101"/>
        <v>31.36</v>
      </c>
      <c r="O42" s="7">
        <f t="shared" si="101"/>
        <v>63.74</v>
      </c>
      <c r="P42" s="7">
        <f t="shared" si="101"/>
        <v>99.45</v>
      </c>
    </row>
    <row r="43" spans="1:16" s="4" customFormat="1" hidden="1" outlineLevel="1" x14ac:dyDescent="0.25">
      <c r="A43" s="276"/>
      <c r="B43" s="15" t="s">
        <v>13</v>
      </c>
      <c r="C43" s="7">
        <v>0</v>
      </c>
      <c r="D43" s="7">
        <f t="shared" ref="D43:E43" si="102">IF(OR(D41="",D42=""),"",D41+D42)</f>
        <v>0</v>
      </c>
      <c r="E43" s="7">
        <f t="shared" si="102"/>
        <v>-3648.6514306242489</v>
      </c>
      <c r="F43" s="7">
        <f t="shared" ref="F43:G43" si="103">IF(OR(F41="",F42=""),"",F41+F42)</f>
        <v>-7412.8941300231609</v>
      </c>
      <c r="G43" s="7">
        <f t="shared" si="103"/>
        <v>-5378.7195977777656</v>
      </c>
      <c r="H43" s="7">
        <f t="shared" ref="H43:I43" si="104">IF(OR(H41="",H42=""),"",H41+H42)</f>
        <v>-4438.1439232443563</v>
      </c>
      <c r="I43" s="7">
        <f t="shared" si="104"/>
        <v>1334.7093237420456</v>
      </c>
      <c r="J43" s="7">
        <f t="shared" ref="J43:K43" si="105">IF(OR(J41="",J42=""),"",J41+J42)</f>
        <v>6425.5547462254626</v>
      </c>
      <c r="K43" s="7">
        <f t="shared" si="105"/>
        <v>9832.7515548320989</v>
      </c>
      <c r="L43" s="7">
        <f t="shared" ref="L43:M43" si="106">IF(OR(L41="",L42=""),"",L41+L42)</f>
        <v>7913.2519198904865</v>
      </c>
      <c r="M43" s="7">
        <f t="shared" si="106"/>
        <v>1079.4559166452264</v>
      </c>
      <c r="N43" s="7">
        <f t="shared" ref="N43:O43" si="107">IF(OR(N41="",N42=""),"",N41+N42)</f>
        <v>3409.6172298065435</v>
      </c>
      <c r="O43" s="7">
        <f t="shared" si="107"/>
        <v>9406.8122225811658</v>
      </c>
      <c r="P43" s="7">
        <f t="shared" ref="P43" si="108">IF(OR(P41="",P42=""),"",P41+P42)</f>
        <v>10372.920626613964</v>
      </c>
    </row>
    <row r="44" spans="1:16" s="4" customFormat="1" hidden="1" outlineLevel="1" x14ac:dyDescent="0.25">
      <c r="A44" s="276"/>
      <c r="B44" s="17" t="s">
        <v>15</v>
      </c>
      <c r="C44" s="7">
        <v>0</v>
      </c>
      <c r="D44" s="7">
        <f t="shared" ref="D44:P44" si="109">IF(OR(D43="",C44=""),"",D43+D39+C44)</f>
        <v>0</v>
      </c>
      <c r="E44" s="7">
        <f t="shared" si="109"/>
        <v>-3648.9314306242491</v>
      </c>
      <c r="F44" s="7">
        <f t="shared" si="109"/>
        <v>-11062.415560647411</v>
      </c>
      <c r="G44" s="7">
        <f t="shared" si="109"/>
        <v>-16441.605158425176</v>
      </c>
      <c r="H44" s="7">
        <f t="shared" si="109"/>
        <v>-20880.209081669534</v>
      </c>
      <c r="I44" s="7">
        <f t="shared" si="109"/>
        <v>-19546.029757927488</v>
      </c>
      <c r="J44" s="7">
        <f t="shared" si="109"/>
        <v>-13121.185011702026</v>
      </c>
      <c r="K44" s="7">
        <f t="shared" si="109"/>
        <v>-3289.1334568699276</v>
      </c>
      <c r="L44" s="7">
        <f t="shared" si="109"/>
        <v>4623.4884630205588</v>
      </c>
      <c r="M44" s="7">
        <f t="shared" si="109"/>
        <v>5702.3843796657857</v>
      </c>
      <c r="N44" s="7">
        <f t="shared" si="109"/>
        <v>9111.5216094723291</v>
      </c>
      <c r="O44" s="7">
        <f t="shared" si="109"/>
        <v>18517.743832053493</v>
      </c>
      <c r="P44" s="7">
        <f t="shared" si="109"/>
        <v>28889.994458667457</v>
      </c>
    </row>
    <row r="45" spans="1:16" s="4" customFormat="1" ht="8.25" hidden="1" customHeight="1" outlineLevel="1" x14ac:dyDescent="0.25">
      <c r="A45" s="35"/>
      <c r="B45" s="11"/>
      <c r="C45" s="12"/>
      <c r="D45" s="12"/>
      <c r="E45" s="12"/>
      <c r="F45" s="12"/>
      <c r="G45" s="12"/>
      <c r="H45" s="12"/>
      <c r="I45" s="12"/>
      <c r="J45" s="12"/>
      <c r="K45" s="12"/>
      <c r="L45" s="12"/>
      <c r="M45" s="12"/>
      <c r="N45" s="12"/>
      <c r="O45" s="12"/>
      <c r="P45" s="12"/>
    </row>
    <row r="46" spans="1:16" s="4" customFormat="1" ht="15" hidden="1" customHeight="1" outlineLevel="1" x14ac:dyDescent="0.25">
      <c r="A46" s="276" t="s">
        <v>21</v>
      </c>
      <c r="B46" s="14"/>
      <c r="C46" s="7"/>
      <c r="D46" s="7"/>
      <c r="E46" s="7"/>
      <c r="F46" s="7"/>
      <c r="G46" s="7"/>
      <c r="H46" s="7"/>
      <c r="I46" s="7"/>
      <c r="J46" s="7"/>
      <c r="K46" s="7"/>
      <c r="L46" s="7"/>
      <c r="M46" s="7"/>
      <c r="N46" s="7"/>
      <c r="O46" s="7"/>
      <c r="P46" s="7"/>
    </row>
    <row r="47" spans="1:16" s="2" customFormat="1" ht="15" hidden="1" customHeight="1" outlineLevel="1" x14ac:dyDescent="0.25">
      <c r="A47" s="276"/>
      <c r="B47" s="14" t="s">
        <v>27</v>
      </c>
      <c r="C47" s="19">
        <v>0</v>
      </c>
      <c r="D47" s="19">
        <f>IF('M4 Allocations - TD'!C7="","",'M4 Allocations - TD'!C33)</f>
        <v>0</v>
      </c>
      <c r="E47" s="19">
        <f>IF('M4 Allocations - TD'!D7="","",'M4 Allocations - TD'!D33)</f>
        <v>339.48946556861773</v>
      </c>
      <c r="F47" s="19">
        <f>IF('M4 Allocations - TD'!E7="","",'M4 Allocations - TD'!E33)</f>
        <v>827.81293596433215</v>
      </c>
      <c r="G47" s="19">
        <f>IF('M4 Allocations - TD'!F7="","",'M4 Allocations - TD'!F33)</f>
        <v>1170.6987724523663</v>
      </c>
      <c r="H47" s="19">
        <f>IF('M4 Allocations - TD'!G7="","",'M4 Allocations - TD'!G33)</f>
        <v>6322.9093050820438</v>
      </c>
      <c r="I47" s="19">
        <f>IF('M4 Allocations - TD'!H7="","",'M4 Allocations - TD'!H33)</f>
        <v>54657.546253910303</v>
      </c>
      <c r="J47" s="19">
        <f>IF('M4 Allocations - TD'!I7="","",'M4 Allocations - TD'!I33)</f>
        <v>96336.783333137602</v>
      </c>
      <c r="K47" s="19">
        <f>IF('M4 Allocations - TD'!J7="","",'M4 Allocations - TD'!J33)</f>
        <v>123578.59271135011</v>
      </c>
      <c r="L47" s="19">
        <f>IF('M4 Allocations - TD'!K7="","",'M4 Allocations - TD'!K33)</f>
        <v>81987.174352525268</v>
      </c>
      <c r="M47" s="19">
        <f>IF('M4 Allocations - TD'!L7="","",'M4 Allocations - TD'!L33)</f>
        <v>30139.303630314869</v>
      </c>
      <c r="N47" s="19">
        <f>IF('M4 Allocations - TD'!M7="","",'M4 Allocations - TD'!M33)</f>
        <v>39628.886909395223</v>
      </c>
      <c r="O47" s="19">
        <f>IF('M4 Allocations - TD'!N7="","",'M4 Allocations - TD'!N33)</f>
        <v>62579.690436781515</v>
      </c>
      <c r="P47" s="19">
        <f>IF('M4 Allocations - TD'!O7="","",'M4 Allocations - TD'!O33)</f>
        <v>69734.148447143438</v>
      </c>
    </row>
    <row r="48" spans="1:16" s="4" customFormat="1" ht="15" hidden="1" customHeight="1" outlineLevel="1" x14ac:dyDescent="0.25">
      <c r="A48" s="276"/>
      <c r="B48" s="15" t="s">
        <v>25</v>
      </c>
      <c r="C48" s="19">
        <v>0</v>
      </c>
      <c r="D48" s="19">
        <f>IF('M4 Allocations - TD'!C53="","",'M4 Allocations - TD'!C71)</f>
        <v>0</v>
      </c>
      <c r="E48" s="19">
        <f>IF('M4 Allocations - TD'!D53="","",'M4 Allocations - TD'!D71)</f>
        <v>15590.95637649669</v>
      </c>
      <c r="F48" s="19">
        <f>IF('M4 Allocations - TD'!E53="","",'M4 Allocations - TD'!E71)</f>
        <v>38560.921382157176</v>
      </c>
      <c r="G48" s="19">
        <f>IF('M4 Allocations - TD'!F53="","",'M4 Allocations - TD'!F71)</f>
        <v>34506.403632536581</v>
      </c>
      <c r="H48" s="19">
        <f>IF('M4 Allocations - TD'!G53="","",'M4 Allocations - TD'!G71)</f>
        <v>35249.007221745858</v>
      </c>
      <c r="I48" s="19">
        <f>IF('M4 Allocations - TD'!H53="","",'M4 Allocations - TD'!H71)</f>
        <v>39254.322764000106</v>
      </c>
      <c r="J48" s="19">
        <f>IF('M4 Allocations - TD'!I53="","",'M4 Allocations - TD'!I71)</f>
        <v>47687.28334279907</v>
      </c>
      <c r="K48" s="19">
        <f>IF('M4 Allocations - TD'!J53="","",'M4 Allocations - TD'!J71)</f>
        <v>46721.476705877147</v>
      </c>
      <c r="L48" s="19">
        <f>IF('M4 Allocations - TD'!K53="","",'M4 Allocations - TD'!K71)</f>
        <v>43430.106772948377</v>
      </c>
      <c r="M48" s="19">
        <f>IF('M4 Allocations - TD'!L53="","",'M4 Allocations - TD'!L71)</f>
        <v>40811.776584878251</v>
      </c>
      <c r="N48" s="19">
        <f>IF('M4 Allocations - TD'!M53="","",'M4 Allocations - TD'!M71)</f>
        <v>37930.403206084215</v>
      </c>
      <c r="O48" s="19">
        <f>IF('M4 Allocations - TD'!N53="","",'M4 Allocations - TD'!N71)</f>
        <v>40853.212552931363</v>
      </c>
      <c r="P48" s="19">
        <f>IF('M4 Allocations - TD'!O53="","",'M4 Allocations - TD'!O71)</f>
        <v>41822.454125683973</v>
      </c>
    </row>
    <row r="49" spans="1:16" s="4" customFormat="1" ht="15" hidden="1" customHeight="1" outlineLevel="1" x14ac:dyDescent="0.25">
      <c r="A49" s="276"/>
      <c r="B49" s="15" t="s">
        <v>45</v>
      </c>
      <c r="C49" s="19">
        <v>0</v>
      </c>
      <c r="D49" s="19">
        <v>0</v>
      </c>
      <c r="E49" s="19">
        <f>IF(E48="","",-'M4 TD amort'!E22)</f>
        <v>-0.41</v>
      </c>
      <c r="F49" s="19">
        <f>IF(F48="","",-'M4 TD amort'!F22)</f>
        <v>-1.01</v>
      </c>
      <c r="G49" s="19">
        <f>IF(G48="","",-'M4 TD amort'!G22)</f>
        <v>-0.9</v>
      </c>
      <c r="H49" s="19">
        <f>IF(H48="","",-'M4 TD amort'!H22)</f>
        <v>-0.92</v>
      </c>
      <c r="I49" s="19">
        <f>IF(I48="","",-'M4 TD amort'!I22)</f>
        <v>-1.03</v>
      </c>
      <c r="J49" s="19">
        <f>IF(J48="","",-'M4 TD amort'!J22)</f>
        <v>-1.25</v>
      </c>
      <c r="K49" s="19">
        <f>IF(K48="","",-'M4 TD amort'!K22)</f>
        <v>-1.22</v>
      </c>
      <c r="L49" s="19">
        <f>IF(L48="","",-'M4 TD amort'!L22)</f>
        <v>-1.1399999999999999</v>
      </c>
      <c r="M49" s="19">
        <f>IF(M48="","",-'M4 TD amort'!M22)</f>
        <v>-1.07</v>
      </c>
      <c r="N49" s="19">
        <f>IF(N48="","",-'M4 TD amort'!N22)</f>
        <v>-0.99</v>
      </c>
      <c r="O49" s="19">
        <f>IF(O48="","",-'M4 TD amort'!O22)</f>
        <v>-1.07</v>
      </c>
      <c r="P49" s="19">
        <f>IF(P48="","",-'M4 TD amort'!P22)</f>
        <v>-1.1000000000000001</v>
      </c>
    </row>
    <row r="50" spans="1:16" s="4" customFormat="1" ht="15" hidden="1" customHeight="1" outlineLevel="1" x14ac:dyDescent="0.25">
      <c r="A50" s="276"/>
      <c r="B50" s="15" t="s">
        <v>46</v>
      </c>
      <c r="C50" s="7">
        <v>0</v>
      </c>
      <c r="D50" s="7">
        <f t="shared" ref="D50:E50" si="110">IF(OR(D49="",D48=""),"",D48+D49)</f>
        <v>0</v>
      </c>
      <c r="E50" s="7">
        <f t="shared" si="110"/>
        <v>15590.54637649669</v>
      </c>
      <c r="F50" s="7">
        <f t="shared" ref="F50:G50" si="111">IF(OR(F49="",F48=""),"",F48+F49)</f>
        <v>38559.911382157174</v>
      </c>
      <c r="G50" s="7">
        <f t="shared" si="111"/>
        <v>34505.50363253658</v>
      </c>
      <c r="H50" s="7">
        <f t="shared" ref="H50:I50" si="112">IF(OR(H49="",H48=""),"",H48+H49)</f>
        <v>35248.08722174586</v>
      </c>
      <c r="I50" s="7">
        <f t="shared" si="112"/>
        <v>39253.292764000107</v>
      </c>
      <c r="J50" s="7">
        <f t="shared" ref="J50:K50" si="113">IF(OR(J49="",J48=""),"",J48+J49)</f>
        <v>47686.03334279907</v>
      </c>
      <c r="K50" s="7">
        <f t="shared" si="113"/>
        <v>46720.256705877146</v>
      </c>
      <c r="L50" s="7">
        <f t="shared" ref="L50:M50" si="114">IF(OR(L49="",L48=""),"",L48+L49)</f>
        <v>43428.966772948377</v>
      </c>
      <c r="M50" s="7">
        <f t="shared" si="114"/>
        <v>40810.706584878251</v>
      </c>
      <c r="N50" s="7">
        <f t="shared" ref="N50:O50" si="115">IF(OR(N49="",N48=""),"",N48+N49)</f>
        <v>37929.413206084217</v>
      </c>
      <c r="O50" s="7">
        <f t="shared" si="115"/>
        <v>40852.142552931364</v>
      </c>
      <c r="P50" s="7">
        <f t="shared" ref="P50" si="116">IF(OR(P49="",P48=""),"",P48+P49)</f>
        <v>41821.354125683974</v>
      </c>
    </row>
    <row r="51" spans="1:16" s="4" customFormat="1" hidden="1" outlineLevel="1" x14ac:dyDescent="0.25">
      <c r="A51" s="276"/>
      <c r="B51" s="15" t="s">
        <v>12</v>
      </c>
      <c r="C51" s="7">
        <v>0</v>
      </c>
      <c r="D51" s="7">
        <f t="shared" ref="D51:E51" si="117">IF(OR(D50="",D47=""),"",D47-D50)</f>
        <v>0</v>
      </c>
      <c r="E51" s="7">
        <f t="shared" si="117"/>
        <v>-15251.056910928071</v>
      </c>
      <c r="F51" s="7">
        <f t="shared" ref="F51:G51" si="118">IF(OR(F50="",F47=""),"",F47-F50)</f>
        <v>-37732.098446192838</v>
      </c>
      <c r="G51" s="7">
        <f t="shared" si="118"/>
        <v>-33334.804860084216</v>
      </c>
      <c r="H51" s="7">
        <f t="shared" ref="H51:I51" si="119">IF(OR(H50="",H47=""),"",H47-H50)</f>
        <v>-28925.177916663815</v>
      </c>
      <c r="I51" s="7">
        <f t="shared" si="119"/>
        <v>15404.253489910196</v>
      </c>
      <c r="J51" s="7">
        <f t="shared" ref="J51:K51" si="120">IF(OR(J50="",J47=""),"",J47-J50)</f>
        <v>48650.749990338532</v>
      </c>
      <c r="K51" s="7">
        <f t="shared" si="120"/>
        <v>76858.336005472956</v>
      </c>
      <c r="L51" s="7">
        <f t="shared" ref="L51:M51" si="121">IF(OR(L50="",L47=""),"",L47-L50)</f>
        <v>38558.207579576891</v>
      </c>
      <c r="M51" s="7">
        <f t="shared" si="121"/>
        <v>-10671.402954563382</v>
      </c>
      <c r="N51" s="7">
        <f t="shared" ref="N51:O51" si="122">IF(OR(N50="",N47=""),"",N47-N50)</f>
        <v>1699.4737033110068</v>
      </c>
      <c r="O51" s="7">
        <f t="shared" si="122"/>
        <v>21727.547883850151</v>
      </c>
      <c r="P51" s="7">
        <f t="shared" ref="P51" si="123">IF(OR(P50="",P47=""),"",P47-P50)</f>
        <v>27912.794321459463</v>
      </c>
    </row>
    <row r="52" spans="1:16" s="4" customFormat="1" hidden="1" outlineLevel="1" x14ac:dyDescent="0.25">
      <c r="A52" s="276"/>
      <c r="B52" s="16" t="s">
        <v>7</v>
      </c>
      <c r="C52" s="7">
        <v>0</v>
      </c>
      <c r="D52" s="7">
        <f t="shared" ref="D52:P52" si="124">IF(OR(D9="",D51=""),"",ROUND((D49+D51+C54)*D9/12,2))</f>
        <v>0</v>
      </c>
      <c r="E52" s="7">
        <f t="shared" si="124"/>
        <v>-57.97</v>
      </c>
      <c r="F52" s="7">
        <f t="shared" si="124"/>
        <v>-204.17</v>
      </c>
      <c r="G52" s="7">
        <f t="shared" si="124"/>
        <v>-333.2</v>
      </c>
      <c r="H52" s="7">
        <f t="shared" si="124"/>
        <v>-443.51</v>
      </c>
      <c r="I52" s="7">
        <f t="shared" si="124"/>
        <v>-386.54</v>
      </c>
      <c r="J52" s="7">
        <f t="shared" si="124"/>
        <v>-201.84</v>
      </c>
      <c r="K52" s="7">
        <f t="shared" si="124"/>
        <v>91.51</v>
      </c>
      <c r="L52" s="7">
        <f t="shared" si="124"/>
        <v>230.2</v>
      </c>
      <c r="M52" s="7">
        <f t="shared" si="124"/>
        <v>180.45</v>
      </c>
      <c r="N52" s="7">
        <f t="shared" si="124"/>
        <v>186.94</v>
      </c>
      <c r="O52" s="7">
        <f t="shared" si="124"/>
        <v>262.64</v>
      </c>
      <c r="P52" s="7">
        <f t="shared" si="124"/>
        <v>359.95</v>
      </c>
    </row>
    <row r="53" spans="1:16" s="4" customFormat="1" hidden="1" outlineLevel="1" x14ac:dyDescent="0.25">
      <c r="A53" s="276"/>
      <c r="B53" s="15" t="s">
        <v>13</v>
      </c>
      <c r="C53" s="7">
        <v>0</v>
      </c>
      <c r="D53" s="7">
        <f t="shared" ref="D53:E53" si="125">IF(OR(D51="",D52=""),"",D51+D52)</f>
        <v>0</v>
      </c>
      <c r="E53" s="7">
        <f t="shared" si="125"/>
        <v>-15309.026910928071</v>
      </c>
      <c r="F53" s="7">
        <f t="shared" ref="F53:G53" si="126">IF(OR(F51="",F52=""),"",F51+F52)</f>
        <v>-37936.268446192837</v>
      </c>
      <c r="G53" s="7">
        <f t="shared" si="126"/>
        <v>-33668.004860084213</v>
      </c>
      <c r="H53" s="7">
        <f t="shared" ref="H53:I53" si="127">IF(OR(H51="",H52=""),"",H51+H52)</f>
        <v>-29368.687916663814</v>
      </c>
      <c r="I53" s="7">
        <f t="shared" si="127"/>
        <v>15017.713489910195</v>
      </c>
      <c r="J53" s="7">
        <f t="shared" ref="J53:K53" si="128">IF(OR(J51="",J52=""),"",J51+J52)</f>
        <v>48448.909990338536</v>
      </c>
      <c r="K53" s="7">
        <f t="shared" si="128"/>
        <v>76949.846005472951</v>
      </c>
      <c r="L53" s="7">
        <f t="shared" ref="L53:M53" si="129">IF(OR(L51="",L52=""),"",L51+L52)</f>
        <v>38788.407579576888</v>
      </c>
      <c r="M53" s="7">
        <f t="shared" si="129"/>
        <v>-10490.952954563381</v>
      </c>
      <c r="N53" s="7">
        <f t="shared" ref="N53:O53" si="130">IF(OR(N51="",N52=""),"",N51+N52)</f>
        <v>1886.4137033110069</v>
      </c>
      <c r="O53" s="7">
        <f t="shared" si="130"/>
        <v>21990.187883850151</v>
      </c>
      <c r="P53" s="7">
        <f t="shared" ref="P53" si="131">IF(OR(P51="",P52=""),"",P51+P52)</f>
        <v>28272.744321459464</v>
      </c>
    </row>
    <row r="54" spans="1:16" s="4" customFormat="1" hidden="1" outlineLevel="1" x14ac:dyDescent="0.25">
      <c r="A54" s="276"/>
      <c r="B54" s="17" t="s">
        <v>16</v>
      </c>
      <c r="C54" s="7">
        <v>0</v>
      </c>
      <c r="D54" s="7">
        <f t="shared" ref="D54:P54" si="132">IF(OR(D53="",C54=""),"",D53+D49+C54)</f>
        <v>0</v>
      </c>
      <c r="E54" s="7">
        <f t="shared" si="132"/>
        <v>-15309.436910928071</v>
      </c>
      <c r="F54" s="7">
        <f t="shared" si="132"/>
        <v>-53246.715357120906</v>
      </c>
      <c r="G54" s="7">
        <f t="shared" si="132"/>
        <v>-86915.620217205113</v>
      </c>
      <c r="H54" s="7">
        <f t="shared" si="132"/>
        <v>-116285.22813386892</v>
      </c>
      <c r="I54" s="7">
        <f t="shared" si="132"/>
        <v>-101268.54464395872</v>
      </c>
      <c r="J54" s="7">
        <f t="shared" si="132"/>
        <v>-52820.884653620189</v>
      </c>
      <c r="K54" s="7">
        <f t="shared" si="132"/>
        <v>24127.741351852761</v>
      </c>
      <c r="L54" s="7">
        <f t="shared" si="132"/>
        <v>62915.008931429649</v>
      </c>
      <c r="M54" s="7">
        <f t="shared" si="132"/>
        <v>52422.985976866272</v>
      </c>
      <c r="N54" s="7">
        <f t="shared" si="132"/>
        <v>54308.409680177276</v>
      </c>
      <c r="O54" s="7">
        <f t="shared" si="132"/>
        <v>76297.527564027434</v>
      </c>
      <c r="P54" s="7">
        <f t="shared" si="132"/>
        <v>104569.1718854869</v>
      </c>
    </row>
    <row r="55" spans="1:16" s="4" customFormat="1" ht="8.25" hidden="1" customHeight="1" outlineLevel="1" x14ac:dyDescent="0.25">
      <c r="A55" s="35"/>
      <c r="B55" s="11"/>
      <c r="C55" s="12"/>
      <c r="D55" s="12"/>
      <c r="E55" s="12"/>
      <c r="F55" s="12"/>
      <c r="G55" s="12"/>
      <c r="H55" s="12"/>
      <c r="I55" s="12"/>
      <c r="J55" s="12"/>
      <c r="K55" s="12"/>
      <c r="L55" s="12"/>
      <c r="M55" s="12"/>
      <c r="N55" s="12"/>
      <c r="O55" s="12"/>
      <c r="P55" s="12"/>
    </row>
    <row r="56" spans="1:16" s="4" customFormat="1" ht="15" hidden="1" customHeight="1" outlineLevel="1" x14ac:dyDescent="0.25">
      <c r="A56" s="276" t="s">
        <v>22</v>
      </c>
      <c r="B56" s="14"/>
      <c r="C56" s="7"/>
      <c r="D56" s="7"/>
      <c r="E56" s="7"/>
      <c r="F56" s="7"/>
      <c r="G56" s="7"/>
      <c r="H56" s="7"/>
      <c r="I56" s="7"/>
      <c r="J56" s="7"/>
      <c r="K56" s="7"/>
      <c r="L56" s="7"/>
      <c r="M56" s="7"/>
      <c r="N56" s="7"/>
      <c r="O56" s="7"/>
      <c r="P56" s="7"/>
    </row>
    <row r="57" spans="1:16" s="2" customFormat="1" ht="15" hidden="1" customHeight="1" outlineLevel="1" x14ac:dyDescent="0.25">
      <c r="A57" s="276"/>
      <c r="B57" s="14" t="s">
        <v>27</v>
      </c>
      <c r="C57" s="19">
        <v>0</v>
      </c>
      <c r="D57" s="19">
        <f>IF('M4 Allocations - TD'!C8="","",'M4 Allocations - TD'!C34)</f>
        <v>0</v>
      </c>
      <c r="E57" s="19">
        <f>IF('M4 Allocations - TD'!D8="","",'M4 Allocations - TD'!D34)</f>
        <v>137.00830846828285</v>
      </c>
      <c r="F57" s="19">
        <f>IF('M4 Allocations - TD'!E8="","",'M4 Allocations - TD'!E34)</f>
        <v>896.30242015167062</v>
      </c>
      <c r="G57" s="19">
        <f>IF('M4 Allocations - TD'!F8="","",'M4 Allocations - TD'!F34)</f>
        <v>1681.8722211227732</v>
      </c>
      <c r="H57" s="19">
        <f>IF('M4 Allocations - TD'!G8="","",'M4 Allocations - TD'!G34)</f>
        <v>3019.6351379114376</v>
      </c>
      <c r="I57" s="19">
        <f>IF('M4 Allocations - TD'!H8="","",'M4 Allocations - TD'!H34)</f>
        <v>14661.773200103846</v>
      </c>
      <c r="J57" s="19">
        <f>IF('M4 Allocations - TD'!I8="","",'M4 Allocations - TD'!I34)</f>
        <v>36678.709775324343</v>
      </c>
      <c r="K57" s="19">
        <f>IF('M4 Allocations - TD'!J8="","",'M4 Allocations - TD'!J34)</f>
        <v>52482.555511897459</v>
      </c>
      <c r="L57" s="19">
        <f>IF('M4 Allocations - TD'!K8="","",'M4 Allocations - TD'!K34)</f>
        <v>30176.006248542359</v>
      </c>
      <c r="M57" s="19">
        <f>IF('M4 Allocations - TD'!L8="","",'M4 Allocations - TD'!L34)</f>
        <v>12158.245808463234</v>
      </c>
      <c r="N57" s="19">
        <f>IF('M4 Allocations - TD'!M8="","",'M4 Allocations - TD'!M34)</f>
        <v>16749.141774910222</v>
      </c>
      <c r="O57" s="19">
        <f>IF('M4 Allocations - TD'!N8="","",'M4 Allocations - TD'!N34)</f>
        <v>27751.90203162004</v>
      </c>
      <c r="P57" s="19">
        <f>IF('M4 Allocations - TD'!O8="","",'M4 Allocations - TD'!O34)</f>
        <v>32650.254429143355</v>
      </c>
    </row>
    <row r="58" spans="1:16" s="4" customFormat="1" ht="15" hidden="1" customHeight="1" outlineLevel="1" x14ac:dyDescent="0.25">
      <c r="A58" s="276"/>
      <c r="B58" s="15" t="s">
        <v>25</v>
      </c>
      <c r="C58" s="19">
        <v>0</v>
      </c>
      <c r="D58" s="19">
        <f>IF('M4 Allocations - TD'!C54="","",'M4 Allocations - TD'!C72)</f>
        <v>0</v>
      </c>
      <c r="E58" s="19">
        <f>IF('M4 Allocations - TD'!D54="","",'M4 Allocations - TD'!D72)</f>
        <v>3305.1546958646768</v>
      </c>
      <c r="F58" s="19">
        <f>IF('M4 Allocations - TD'!E54="","",'M4 Allocations - TD'!E72)</f>
        <v>11771.983947101506</v>
      </c>
      <c r="G58" s="19">
        <f>IF('M4 Allocations - TD'!F54="","",'M4 Allocations - TD'!F72)</f>
        <v>11735.015883301332</v>
      </c>
      <c r="H58" s="19">
        <f>IF('M4 Allocations - TD'!G54="","",'M4 Allocations - TD'!G72)</f>
        <v>12241.308769762025</v>
      </c>
      <c r="I58" s="19">
        <f>IF('M4 Allocations - TD'!H54="","",'M4 Allocations - TD'!H72)</f>
        <v>12264.843263985629</v>
      </c>
      <c r="J58" s="19">
        <f>IF('M4 Allocations - TD'!I54="","",'M4 Allocations - TD'!I72)</f>
        <v>14936.186592917064</v>
      </c>
      <c r="K58" s="19">
        <f>IF('M4 Allocations - TD'!J54="","",'M4 Allocations - TD'!J72)</f>
        <v>13308.769604305617</v>
      </c>
      <c r="L58" s="19">
        <f>IF('M4 Allocations - TD'!K54="","",'M4 Allocations - TD'!K72)</f>
        <v>13283.083499495879</v>
      </c>
      <c r="M58" s="19">
        <f>IF('M4 Allocations - TD'!L54="","",'M4 Allocations - TD'!L72)</f>
        <v>13373.184446645111</v>
      </c>
      <c r="N58" s="19">
        <f>IF('M4 Allocations - TD'!M54="","",'M4 Allocations - TD'!M72)</f>
        <v>11937.999378891627</v>
      </c>
      <c r="O58" s="19">
        <f>IF('M4 Allocations - TD'!N54="","",'M4 Allocations - TD'!N72)</f>
        <v>12081.543406755636</v>
      </c>
      <c r="P58" s="19">
        <f>IF('M4 Allocations - TD'!O54="","",'M4 Allocations - TD'!O72)</f>
        <v>12770.676382505118</v>
      </c>
    </row>
    <row r="59" spans="1:16" s="4" customFormat="1" ht="15" hidden="1" customHeight="1" outlineLevel="1" x14ac:dyDescent="0.25">
      <c r="A59" s="276"/>
      <c r="B59" s="15" t="s">
        <v>45</v>
      </c>
      <c r="C59" s="19">
        <v>0</v>
      </c>
      <c r="D59" s="19">
        <v>0</v>
      </c>
      <c r="E59" s="19">
        <f>IF(E58="","",-'M4 TD amort'!E29)</f>
        <v>-0.11</v>
      </c>
      <c r="F59" s="19">
        <f>IF(F58="","",-'M4 TD amort'!F29)</f>
        <v>-0.4</v>
      </c>
      <c r="G59" s="19">
        <f>IF(G58="","",-'M4 TD amort'!G29)</f>
        <v>-0.4</v>
      </c>
      <c r="H59" s="19">
        <f>IF(H58="","",-'M4 TD amort'!H29)</f>
        <v>-0.41</v>
      </c>
      <c r="I59" s="19">
        <f>IF(I58="","",-'M4 TD amort'!I29)</f>
        <v>-0.41</v>
      </c>
      <c r="J59" s="19">
        <f>IF(J58="","",-'M4 TD amort'!J29)</f>
        <v>-0.51</v>
      </c>
      <c r="K59" s="19">
        <f>IF(K58="","",-'M4 TD amort'!K29)</f>
        <v>-0.45</v>
      </c>
      <c r="L59" s="19">
        <f>IF(L58="","",-'M4 TD amort'!L29)</f>
        <v>-0.45</v>
      </c>
      <c r="M59" s="19">
        <f>IF(M58="","",-'M4 TD amort'!M29)</f>
        <v>-0.45</v>
      </c>
      <c r="N59" s="19">
        <f>IF(N58="","",-'M4 TD amort'!N29)</f>
        <v>-0.4</v>
      </c>
      <c r="O59" s="19">
        <f>IF(O58="","",-'M4 TD amort'!O29)</f>
        <v>-0.41</v>
      </c>
      <c r="P59" s="19">
        <f>IF(P58="","",-'M4 TD amort'!P29)</f>
        <v>-0.43</v>
      </c>
    </row>
    <row r="60" spans="1:16" s="4" customFormat="1" ht="15" hidden="1" customHeight="1" outlineLevel="1" x14ac:dyDescent="0.25">
      <c r="A60" s="276"/>
      <c r="B60" s="15" t="s">
        <v>46</v>
      </c>
      <c r="C60" s="7">
        <v>0</v>
      </c>
      <c r="D60" s="7">
        <f t="shared" ref="D60" si="133">IF(OR(D59="",D58=""),"",D58+D59)</f>
        <v>0</v>
      </c>
      <c r="E60" s="7">
        <f t="shared" ref="E60:J60" si="134">IF(OR(E59="",E58=""),"",E58+E59)</f>
        <v>3305.0446958646767</v>
      </c>
      <c r="F60" s="7">
        <f t="shared" si="134"/>
        <v>11771.583947101506</v>
      </c>
      <c r="G60" s="7">
        <f t="shared" si="134"/>
        <v>11734.615883301332</v>
      </c>
      <c r="H60" s="7">
        <f t="shared" si="134"/>
        <v>12240.898769762025</v>
      </c>
      <c r="I60" s="7">
        <f t="shared" si="134"/>
        <v>12264.433263985629</v>
      </c>
      <c r="J60" s="7">
        <f t="shared" si="134"/>
        <v>14935.676592917063</v>
      </c>
      <c r="K60" s="7">
        <f t="shared" ref="K60:L60" si="135">IF(OR(K59="",K58=""),"",K58+K59)</f>
        <v>13308.319604305616</v>
      </c>
      <c r="L60" s="7">
        <f t="shared" si="135"/>
        <v>13282.633499495878</v>
      </c>
      <c r="M60" s="7">
        <f t="shared" ref="M60:N60" si="136">IF(OR(M59="",M58=""),"",M58+M59)</f>
        <v>13372.73444664511</v>
      </c>
      <c r="N60" s="7">
        <f t="shared" si="136"/>
        <v>11937.599378891628</v>
      </c>
      <c r="O60" s="7">
        <f t="shared" ref="O60:P60" si="137">IF(OR(O59="",O58=""),"",O58+O59)</f>
        <v>12081.133406755636</v>
      </c>
      <c r="P60" s="7">
        <f t="shared" si="137"/>
        <v>12770.246382505118</v>
      </c>
    </row>
    <row r="61" spans="1:16" s="4" customFormat="1" hidden="1" outlineLevel="1" x14ac:dyDescent="0.25">
      <c r="A61" s="276"/>
      <c r="B61" s="15" t="s">
        <v>12</v>
      </c>
      <c r="C61" s="7">
        <v>0</v>
      </c>
      <c r="D61" s="7">
        <f t="shared" ref="D61" si="138">IF(OR(D60="",D57=""),"",D57-D60)</f>
        <v>0</v>
      </c>
      <c r="E61" s="7">
        <f t="shared" ref="E61:J61" si="139">IF(OR(E60="",E57=""),"",E57-E60)</f>
        <v>-3168.0363873963938</v>
      </c>
      <c r="F61" s="7">
        <f t="shared" si="139"/>
        <v>-10875.281526949835</v>
      </c>
      <c r="G61" s="7">
        <f t="shared" si="139"/>
        <v>-10052.74366217856</v>
      </c>
      <c r="H61" s="7">
        <f t="shared" si="139"/>
        <v>-9221.2636318505865</v>
      </c>
      <c r="I61" s="7">
        <f t="shared" si="139"/>
        <v>2397.3399361182164</v>
      </c>
      <c r="J61" s="7">
        <f t="shared" si="139"/>
        <v>21743.033182407278</v>
      </c>
      <c r="K61" s="7">
        <f t="shared" ref="K61:L61" si="140">IF(OR(K60="",K57=""),"",K57-K60)</f>
        <v>39174.235907591843</v>
      </c>
      <c r="L61" s="7">
        <f t="shared" si="140"/>
        <v>16893.372749046481</v>
      </c>
      <c r="M61" s="7">
        <f t="shared" ref="M61:N61" si="141">IF(OR(M60="",M57=""),"",M57-M60)</f>
        <v>-1214.488638181876</v>
      </c>
      <c r="N61" s="7">
        <f t="shared" si="141"/>
        <v>4811.5423960185944</v>
      </c>
      <c r="O61" s="7">
        <f t="shared" ref="O61:P61" si="142">IF(OR(O60="",O57=""),"",O57-O60)</f>
        <v>15670.768624864404</v>
      </c>
      <c r="P61" s="7">
        <f t="shared" si="142"/>
        <v>19880.008046638235</v>
      </c>
    </row>
    <row r="62" spans="1:16" s="4" customFormat="1" hidden="1" outlineLevel="1" x14ac:dyDescent="0.25">
      <c r="A62" s="276"/>
      <c r="B62" s="16" t="s">
        <v>7</v>
      </c>
      <c r="C62" s="7">
        <v>0</v>
      </c>
      <c r="D62" s="7">
        <f t="shared" ref="D62" si="143">IF(OR(D9="",D61=""),"",ROUND((D59+D61+C64)*D9/12,2))</f>
        <v>0</v>
      </c>
      <c r="E62" s="7">
        <f t="shared" ref="E62:P62" si="144">IF(OR(E9="",E61=""),"",ROUND((E59+E61+D64)*E9/12,2))</f>
        <v>-12.04</v>
      </c>
      <c r="F62" s="7">
        <f t="shared" si="144"/>
        <v>-54.1</v>
      </c>
      <c r="G62" s="7">
        <f t="shared" si="144"/>
        <v>-92.99</v>
      </c>
      <c r="H62" s="7">
        <f t="shared" si="144"/>
        <v>-128.16999999999999</v>
      </c>
      <c r="I62" s="7">
        <f t="shared" si="144"/>
        <v>-119.58</v>
      </c>
      <c r="J62" s="7">
        <f t="shared" si="144"/>
        <v>-36.770000000000003</v>
      </c>
      <c r="K62" s="7">
        <f t="shared" si="144"/>
        <v>112.5</v>
      </c>
      <c r="L62" s="7">
        <f t="shared" si="144"/>
        <v>170.97</v>
      </c>
      <c r="M62" s="7">
        <f t="shared" si="144"/>
        <v>157.21</v>
      </c>
      <c r="N62" s="7">
        <f t="shared" si="144"/>
        <v>174.37</v>
      </c>
      <c r="O62" s="7">
        <f t="shared" si="144"/>
        <v>229.1</v>
      </c>
      <c r="P62" s="7">
        <f t="shared" si="144"/>
        <v>298.56</v>
      </c>
    </row>
    <row r="63" spans="1:16" s="4" customFormat="1" hidden="1" outlineLevel="1" x14ac:dyDescent="0.25">
      <c r="A63" s="276"/>
      <c r="B63" s="15" t="s">
        <v>13</v>
      </c>
      <c r="C63" s="7">
        <v>0</v>
      </c>
      <c r="D63" s="7">
        <f t="shared" ref="D63:E63" si="145">IF(OR(D61="",D62=""),"",D61+D62)</f>
        <v>0</v>
      </c>
      <c r="E63" s="7">
        <f t="shared" si="145"/>
        <v>-3180.0763873963938</v>
      </c>
      <c r="F63" s="7">
        <f t="shared" ref="F63:G63" si="146">IF(OR(F61="",F62=""),"",F61+F62)</f>
        <v>-10929.381526949835</v>
      </c>
      <c r="G63" s="7">
        <f t="shared" si="146"/>
        <v>-10145.73366217856</v>
      </c>
      <c r="H63" s="7">
        <f t="shared" ref="H63:I63" si="147">IF(OR(H61="",H62=""),"",H61+H62)</f>
        <v>-9349.4336318505866</v>
      </c>
      <c r="I63" s="7">
        <f t="shared" si="147"/>
        <v>2277.7599361182165</v>
      </c>
      <c r="J63" s="7">
        <f t="shared" ref="J63:K63" si="148">IF(OR(J61="",J62=""),"",J61+J62)</f>
        <v>21706.263182407278</v>
      </c>
      <c r="K63" s="7">
        <f t="shared" si="148"/>
        <v>39286.735907591843</v>
      </c>
      <c r="L63" s="7">
        <f t="shared" ref="L63:M63" si="149">IF(OR(L61="",L62=""),"",L61+L62)</f>
        <v>17064.342749046482</v>
      </c>
      <c r="M63" s="7">
        <f t="shared" si="149"/>
        <v>-1057.278638181876</v>
      </c>
      <c r="N63" s="7">
        <f t="shared" ref="N63:O63" si="150">IF(OR(N61="",N62=""),"",N61+N62)</f>
        <v>4985.9123960185943</v>
      </c>
      <c r="O63" s="7">
        <f t="shared" si="150"/>
        <v>15899.868624864404</v>
      </c>
      <c r="P63" s="7">
        <f t="shared" ref="P63" si="151">IF(OR(P61="",P62=""),"",P61+P62)</f>
        <v>20178.568046638236</v>
      </c>
    </row>
    <row r="64" spans="1:16" s="4" customFormat="1" hidden="1" outlineLevel="1" x14ac:dyDescent="0.25">
      <c r="A64" s="276"/>
      <c r="B64" s="17" t="s">
        <v>17</v>
      </c>
      <c r="C64" s="7">
        <v>0</v>
      </c>
      <c r="D64" s="7">
        <f t="shared" ref="D64:P64" si="152">IF(OR(D63="",C64=""),"",D63+D59+C64)</f>
        <v>0</v>
      </c>
      <c r="E64" s="7">
        <f t="shared" si="152"/>
        <v>-3180.1863873963939</v>
      </c>
      <c r="F64" s="7">
        <f t="shared" si="152"/>
        <v>-14109.967914346229</v>
      </c>
      <c r="G64" s="7">
        <f t="shared" si="152"/>
        <v>-24256.101576524787</v>
      </c>
      <c r="H64" s="7">
        <f t="shared" si="152"/>
        <v>-33605.945208375371</v>
      </c>
      <c r="I64" s="7">
        <f t="shared" si="152"/>
        <v>-31328.595272257153</v>
      </c>
      <c r="J64" s="7">
        <f t="shared" si="152"/>
        <v>-9622.8420898498734</v>
      </c>
      <c r="K64" s="7">
        <f t="shared" si="152"/>
        <v>29663.443817741972</v>
      </c>
      <c r="L64" s="7">
        <f t="shared" si="152"/>
        <v>46727.33656678845</v>
      </c>
      <c r="M64" s="7">
        <f t="shared" si="152"/>
        <v>45669.607928606572</v>
      </c>
      <c r="N64" s="7">
        <f t="shared" si="152"/>
        <v>50655.120324625168</v>
      </c>
      <c r="O64" s="7">
        <f t="shared" si="152"/>
        <v>66554.578949489573</v>
      </c>
      <c r="P64" s="7">
        <f t="shared" si="152"/>
        <v>86732.716996127812</v>
      </c>
    </row>
    <row r="65" spans="1:16" s="4" customFormat="1" ht="8.25" hidden="1" customHeight="1" outlineLevel="1" x14ac:dyDescent="0.25">
      <c r="A65" s="35"/>
      <c r="B65" s="11"/>
      <c r="C65" s="12"/>
      <c r="D65" s="12"/>
      <c r="E65" s="12"/>
      <c r="F65" s="12"/>
      <c r="G65" s="12"/>
      <c r="H65" s="12"/>
      <c r="I65" s="12"/>
      <c r="J65" s="12"/>
      <c r="K65" s="12"/>
      <c r="L65" s="12"/>
      <c r="M65" s="12"/>
      <c r="N65" s="12"/>
      <c r="O65" s="12"/>
      <c r="P65" s="12"/>
    </row>
    <row r="66" spans="1:16" s="4" customFormat="1" ht="15" hidden="1" customHeight="1" outlineLevel="1" x14ac:dyDescent="0.25">
      <c r="A66" s="276" t="s">
        <v>23</v>
      </c>
      <c r="B66" s="14"/>
      <c r="C66" s="7"/>
      <c r="D66" s="7"/>
      <c r="E66" s="7"/>
      <c r="F66" s="7"/>
      <c r="G66" s="7"/>
      <c r="H66" s="7"/>
      <c r="I66" s="7"/>
      <c r="J66" s="7"/>
      <c r="K66" s="7"/>
      <c r="L66" s="7"/>
      <c r="M66" s="7"/>
      <c r="N66" s="7"/>
      <c r="O66" s="7"/>
      <c r="P66" s="7"/>
    </row>
    <row r="67" spans="1:16" s="2" customFormat="1" ht="15" hidden="1" customHeight="1" outlineLevel="1" x14ac:dyDescent="0.25">
      <c r="A67" s="276"/>
      <c r="B67" s="14" t="s">
        <v>27</v>
      </c>
      <c r="C67" s="19">
        <v>0</v>
      </c>
      <c r="D67" s="19">
        <f>IF('M4 Allocations - TD'!C9="","",'M4 Allocations - TD'!C35)</f>
        <v>0</v>
      </c>
      <c r="E67" s="19">
        <f>IF('M4 Allocations - TD'!D9="","",'M4 Allocations - TD'!D35)</f>
        <v>37.795112791223808</v>
      </c>
      <c r="F67" s="19">
        <f>IF('M4 Allocations - TD'!E9="","",'M4 Allocations - TD'!E35)</f>
        <v>85.440161764004898</v>
      </c>
      <c r="G67" s="19">
        <f>IF('M4 Allocations - TD'!F9="","",'M4 Allocations - TD'!F35)</f>
        <v>285.23715928351965</v>
      </c>
      <c r="H67" s="19">
        <f>IF('M4 Allocations - TD'!G9="","",'M4 Allocations - TD'!G35)</f>
        <v>1229.5862985607218</v>
      </c>
      <c r="I67" s="19">
        <f>IF('M4 Allocations - TD'!H9="","",'M4 Allocations - TD'!H35)</f>
        <v>7760.6165933413813</v>
      </c>
      <c r="J67" s="19">
        <f>IF('M4 Allocations - TD'!I9="","",'M4 Allocations - TD'!I35)</f>
        <v>9094.0330708316069</v>
      </c>
      <c r="K67" s="19">
        <f>IF('M4 Allocations - TD'!J9="","",'M4 Allocations - TD'!J35)</f>
        <v>9384.348580624066</v>
      </c>
      <c r="L67" s="19">
        <f>IF('M4 Allocations - TD'!K9="","",'M4 Allocations - TD'!K35)</f>
        <v>5394.5069366972748</v>
      </c>
      <c r="M67" s="19">
        <f>IF('M4 Allocations - TD'!L9="","",'M4 Allocations - TD'!L35)</f>
        <v>1641.3957852944982</v>
      </c>
      <c r="N67" s="19">
        <f>IF('M4 Allocations - TD'!M9="","",'M4 Allocations - TD'!M35)</f>
        <v>1935.6379849196264</v>
      </c>
      <c r="O67" s="19">
        <f>IF('M4 Allocations - TD'!N9="","",'M4 Allocations - TD'!N35)</f>
        <v>2853.7875177618348</v>
      </c>
      <c r="P67" s="19">
        <f>IF('M4 Allocations - TD'!O9="","",'M4 Allocations - TD'!O35)</f>
        <v>2724.7167166733038</v>
      </c>
    </row>
    <row r="68" spans="1:16" s="4" customFormat="1" ht="15" hidden="1" customHeight="1" outlineLevel="1" x14ac:dyDescent="0.25">
      <c r="A68" s="276"/>
      <c r="B68" s="15" t="s">
        <v>25</v>
      </c>
      <c r="C68" s="19">
        <v>0</v>
      </c>
      <c r="D68" s="19">
        <f>IF('M4 Allocations - TD'!C55="","",'M4 Allocations - TD'!C73)</f>
        <v>0</v>
      </c>
      <c r="E68" s="19">
        <f>IF('M4 Allocations - TD'!D55="","",'M4 Allocations - TD'!D73)</f>
        <v>326.59466363573557</v>
      </c>
      <c r="F68" s="19">
        <f>IF('M4 Allocations - TD'!E55="","",'M4 Allocations - TD'!E73)</f>
        <v>1990.8684532687007</v>
      </c>
      <c r="G68" s="19">
        <f>IF('M4 Allocations - TD'!F55="","",'M4 Allocations - TD'!F73)</f>
        <v>2281.3723254377928</v>
      </c>
      <c r="H68" s="19">
        <f>IF('M4 Allocations - TD'!G55="","",'M4 Allocations - TD'!G73)</f>
        <v>2199.2501903387933</v>
      </c>
      <c r="I68" s="19">
        <f>IF('M4 Allocations - TD'!H55="","",'M4 Allocations - TD'!H73)</f>
        <v>2737.325875019023</v>
      </c>
      <c r="J68" s="19">
        <f>IF('M4 Allocations - TD'!I55="","",'M4 Allocations - TD'!I73)</f>
        <v>3230.0501142003127</v>
      </c>
      <c r="K68" s="19">
        <f>IF('M4 Allocations - TD'!J55="","",'M4 Allocations - TD'!J73)</f>
        <v>3110.5536220647691</v>
      </c>
      <c r="L68" s="19">
        <f>IF('M4 Allocations - TD'!K55="","",'M4 Allocations - TD'!K73)</f>
        <v>2908.7512724171379</v>
      </c>
      <c r="M68" s="19">
        <f>IF('M4 Allocations - TD'!L55="","",'M4 Allocations - TD'!L73)</f>
        <v>2863.925840159312</v>
      </c>
      <c r="N68" s="19">
        <f>IF('M4 Allocations - TD'!M55="","",'M4 Allocations - TD'!M73)</f>
        <v>2314.4165127291467</v>
      </c>
      <c r="O68" s="19">
        <f>IF('M4 Allocations - TD'!N55="","",'M4 Allocations - TD'!N73)</f>
        <v>2235.8788209417753</v>
      </c>
      <c r="P68" s="19">
        <f>IF('M4 Allocations - TD'!O55="","",'M4 Allocations - TD'!O73)</f>
        <v>2162.7963313501996</v>
      </c>
    </row>
    <row r="69" spans="1:16" s="4" customFormat="1" ht="15" hidden="1" customHeight="1" outlineLevel="1" x14ac:dyDescent="0.25">
      <c r="A69" s="276"/>
      <c r="B69" s="15" t="s">
        <v>45</v>
      </c>
      <c r="C69" s="19">
        <v>0</v>
      </c>
      <c r="D69" s="19">
        <v>0</v>
      </c>
      <c r="E69" s="19">
        <f>IF(E68="","",-'M4 TD amort'!E36)</f>
        <v>-0.02</v>
      </c>
      <c r="F69" s="19">
        <f>IF(F68="","",-'M4 TD amort'!F36)</f>
        <v>-0.1</v>
      </c>
      <c r="G69" s="19">
        <f>IF(G68="","",-'M4 TD amort'!G36)</f>
        <v>-0.12</v>
      </c>
      <c r="H69" s="19">
        <f>IF(H68="","",-'M4 TD amort'!H36)</f>
        <v>-0.11</v>
      </c>
      <c r="I69" s="19">
        <f>IF(I68="","",-'M4 TD amort'!I36)</f>
        <v>-0.14000000000000001</v>
      </c>
      <c r="J69" s="19">
        <f>IF(J68="","",-'M4 TD amort'!J36)</f>
        <v>-0.16</v>
      </c>
      <c r="K69" s="19">
        <f>IF(K68="","",-'M4 TD amort'!K36)</f>
        <v>-0.16</v>
      </c>
      <c r="L69" s="19">
        <f>IF(L68="","",-'M4 TD amort'!L36)</f>
        <v>-0.15</v>
      </c>
      <c r="M69" s="19">
        <f>IF(M68="","",-'M4 TD amort'!M36)</f>
        <v>-0.14000000000000001</v>
      </c>
      <c r="N69" s="19">
        <f>IF(N68="","",-'M4 TD amort'!N36)</f>
        <v>-0.12</v>
      </c>
      <c r="O69" s="19">
        <f>IF(O68="","",-'M4 TD amort'!O36)</f>
        <v>-0.11</v>
      </c>
      <c r="P69" s="19">
        <f>IF(P68="","",-'M4 TD amort'!P36)</f>
        <v>-0.11</v>
      </c>
    </row>
    <row r="70" spans="1:16" s="4" customFormat="1" ht="15" hidden="1" customHeight="1" outlineLevel="1" x14ac:dyDescent="0.25">
      <c r="A70" s="276"/>
      <c r="B70" s="15" t="s">
        <v>46</v>
      </c>
      <c r="C70" s="7">
        <v>0</v>
      </c>
      <c r="D70" s="7">
        <f t="shared" ref="D70:E70" si="153">IF(OR(D69="",D68=""),"",D68+D69)</f>
        <v>0</v>
      </c>
      <c r="E70" s="7">
        <f t="shared" si="153"/>
        <v>326.57466363573559</v>
      </c>
      <c r="F70" s="7">
        <f t="shared" ref="F70:G70" si="154">IF(OR(F69="",F68=""),"",F68+F69)</f>
        <v>1990.7684532687008</v>
      </c>
      <c r="G70" s="7">
        <f t="shared" si="154"/>
        <v>2281.2523254377929</v>
      </c>
      <c r="H70" s="7">
        <f t="shared" ref="H70:I70" si="155">IF(OR(H69="",H68=""),"",H68+H69)</f>
        <v>2199.1401903387932</v>
      </c>
      <c r="I70" s="7">
        <f t="shared" si="155"/>
        <v>2737.1858750190231</v>
      </c>
      <c r="J70" s="7">
        <f t="shared" ref="J70:K70" si="156">IF(OR(J69="",J68=""),"",J68+J69)</f>
        <v>3229.8901142003128</v>
      </c>
      <c r="K70" s="7">
        <f t="shared" si="156"/>
        <v>3110.3936220647693</v>
      </c>
      <c r="L70" s="7">
        <f t="shared" ref="L70:M70" si="157">IF(OR(L69="",L68=""),"",L68+L69)</f>
        <v>2908.6012724171378</v>
      </c>
      <c r="M70" s="7">
        <f t="shared" si="157"/>
        <v>2863.7858401593121</v>
      </c>
      <c r="N70" s="7">
        <f t="shared" ref="N70:O70" si="158">IF(OR(N69="",N68=""),"",N68+N69)</f>
        <v>2314.2965127291468</v>
      </c>
      <c r="O70" s="7">
        <f t="shared" si="158"/>
        <v>2235.7688209417752</v>
      </c>
      <c r="P70" s="7">
        <f t="shared" ref="P70" si="159">IF(OR(P69="",P68=""),"",P68+P69)</f>
        <v>2162.6863313501995</v>
      </c>
    </row>
    <row r="71" spans="1:16" s="4" customFormat="1" hidden="1" outlineLevel="1" x14ac:dyDescent="0.25">
      <c r="A71" s="276"/>
      <c r="B71" s="15" t="s">
        <v>12</v>
      </c>
      <c r="C71" s="7">
        <v>0</v>
      </c>
      <c r="D71" s="7">
        <f t="shared" ref="D71:E71" si="160">IF(OR(D70="",D67=""),"",D67-D70)</f>
        <v>0</v>
      </c>
      <c r="E71" s="7">
        <f t="shared" si="160"/>
        <v>-288.77955084451179</v>
      </c>
      <c r="F71" s="7">
        <f t="shared" ref="F71:G71" si="161">IF(OR(F70="",F67=""),"",F67-F70)</f>
        <v>-1905.3282915046959</v>
      </c>
      <c r="G71" s="7">
        <f t="shared" si="161"/>
        <v>-1996.0151661542732</v>
      </c>
      <c r="H71" s="7">
        <f t="shared" ref="H71:I71" si="162">IF(OR(H70="",H67=""),"",H67-H70)</f>
        <v>-969.55389177807137</v>
      </c>
      <c r="I71" s="7">
        <f t="shared" si="162"/>
        <v>5023.4307183223582</v>
      </c>
      <c r="J71" s="7">
        <f t="shared" ref="J71:K71" si="163">IF(OR(J70="",J67=""),"",J67-J70)</f>
        <v>5864.1429566312945</v>
      </c>
      <c r="K71" s="7">
        <f t="shared" si="163"/>
        <v>6273.9549585592968</v>
      </c>
      <c r="L71" s="7">
        <f t="shared" ref="L71:M71" si="164">IF(OR(L70="",L67=""),"",L67-L70)</f>
        <v>2485.905664280137</v>
      </c>
      <c r="M71" s="7">
        <f t="shared" si="164"/>
        <v>-1222.3900548648139</v>
      </c>
      <c r="N71" s="7">
        <f t="shared" ref="N71:O71" si="165">IF(OR(N70="",N67=""),"",N67-N70)</f>
        <v>-378.65852780952036</v>
      </c>
      <c r="O71" s="7">
        <f t="shared" si="165"/>
        <v>618.01869682005963</v>
      </c>
      <c r="P71" s="7">
        <f t="shared" ref="P71" si="166">IF(OR(P70="",P67=""),"",P67-P70)</f>
        <v>562.03038532310438</v>
      </c>
    </row>
    <row r="72" spans="1:16" s="4" customFormat="1" hidden="1" outlineLevel="1" x14ac:dyDescent="0.25">
      <c r="A72" s="276"/>
      <c r="B72" s="16" t="s">
        <v>7</v>
      </c>
      <c r="C72" s="7">
        <v>0</v>
      </c>
      <c r="D72" s="7">
        <f t="shared" ref="D72:P72" si="167">IF(OR(D9="",D71=""),"",ROUND((D69+D71+C74)*D9/12,2))</f>
        <v>0</v>
      </c>
      <c r="E72" s="7">
        <f t="shared" si="167"/>
        <v>-1.1000000000000001</v>
      </c>
      <c r="F72" s="7">
        <f t="shared" si="167"/>
        <v>-8.4499999999999993</v>
      </c>
      <c r="G72" s="7">
        <f t="shared" si="167"/>
        <v>-16.16</v>
      </c>
      <c r="H72" s="7">
        <f t="shared" si="167"/>
        <v>-19.850000000000001</v>
      </c>
      <c r="I72" s="7">
        <f t="shared" si="167"/>
        <v>-0.7</v>
      </c>
      <c r="J72" s="7">
        <f t="shared" si="167"/>
        <v>21.79</v>
      </c>
      <c r="K72" s="7">
        <f t="shared" si="167"/>
        <v>45.59</v>
      </c>
      <c r="L72" s="7">
        <f t="shared" si="167"/>
        <v>53.28</v>
      </c>
      <c r="M72" s="7">
        <f t="shared" si="167"/>
        <v>46.07</v>
      </c>
      <c r="N72" s="99">
        <f t="shared" si="167"/>
        <v>44.92</v>
      </c>
      <c r="O72" s="99">
        <f t="shared" si="167"/>
        <v>47.21</v>
      </c>
      <c r="P72" s="99">
        <f t="shared" si="167"/>
        <v>49.32</v>
      </c>
    </row>
    <row r="73" spans="1:16" s="4" customFormat="1" hidden="1" outlineLevel="1" x14ac:dyDescent="0.25">
      <c r="A73" s="276"/>
      <c r="B73" s="15" t="s">
        <v>13</v>
      </c>
      <c r="C73" s="7">
        <v>0</v>
      </c>
      <c r="D73" s="7">
        <f t="shared" ref="D73:E73" si="168">IF(OR(D71="",D72=""),"",D71+D72)</f>
        <v>0</v>
      </c>
      <c r="E73" s="7">
        <f t="shared" si="168"/>
        <v>-289.87955084451181</v>
      </c>
      <c r="F73" s="7">
        <f t="shared" ref="F73:G73" si="169">IF(OR(F71="",F72=""),"",F71+F72)</f>
        <v>-1913.778291504696</v>
      </c>
      <c r="G73" s="7">
        <f t="shared" si="169"/>
        <v>-2012.1751661542733</v>
      </c>
      <c r="H73" s="7">
        <f t="shared" ref="H73:I73" si="170">IF(OR(H71="",H72=""),"",H71+H72)</f>
        <v>-989.4038917780714</v>
      </c>
      <c r="I73" s="7">
        <f t="shared" si="170"/>
        <v>5022.7307183223584</v>
      </c>
      <c r="J73" s="7">
        <f t="shared" ref="J73:K73" si="171">IF(OR(J71="",J72=""),"",J71+J72)</f>
        <v>5885.9329566312945</v>
      </c>
      <c r="K73" s="7">
        <f t="shared" si="171"/>
        <v>6319.5449585592969</v>
      </c>
      <c r="L73" s="7">
        <f t="shared" ref="L73:M73" si="172">IF(OR(L71="",L72=""),"",L71+L72)</f>
        <v>2539.1856642801372</v>
      </c>
      <c r="M73" s="7">
        <f t="shared" si="172"/>
        <v>-1176.320054864814</v>
      </c>
      <c r="N73" s="7">
        <f t="shared" ref="N73:O73" si="173">IF(OR(N71="",N72=""),"",N71+N72)</f>
        <v>-333.73852780952035</v>
      </c>
      <c r="O73" s="7">
        <f t="shared" si="173"/>
        <v>665.22869682005967</v>
      </c>
      <c r="P73" s="7">
        <f t="shared" ref="P73" si="174">IF(OR(P71="",P72=""),"",P71+P72)</f>
        <v>611.35038532310443</v>
      </c>
    </row>
    <row r="74" spans="1:16" s="4" customFormat="1" hidden="1" outlineLevel="1" x14ac:dyDescent="0.25">
      <c r="A74" s="276"/>
      <c r="B74" s="17" t="s">
        <v>18</v>
      </c>
      <c r="C74" s="7">
        <v>0</v>
      </c>
      <c r="D74" s="7">
        <f t="shared" ref="D74:P74" si="175">IF(OR(D73="",C74=""),"",D73+D69+C74)</f>
        <v>0</v>
      </c>
      <c r="E74" s="7">
        <f t="shared" si="175"/>
        <v>-289.89955084451179</v>
      </c>
      <c r="F74" s="7">
        <f t="shared" si="175"/>
        <v>-2203.7778423492077</v>
      </c>
      <c r="G74" s="7">
        <f t="shared" si="175"/>
        <v>-4216.0730085034811</v>
      </c>
      <c r="H74" s="7">
        <f t="shared" si="175"/>
        <v>-5205.5869002815525</v>
      </c>
      <c r="I74" s="7">
        <f t="shared" si="175"/>
        <v>-182.99618195919447</v>
      </c>
      <c r="J74" s="7">
        <f t="shared" si="175"/>
        <v>5702.7767746721001</v>
      </c>
      <c r="K74" s="7">
        <f t="shared" si="175"/>
        <v>12022.161733231398</v>
      </c>
      <c r="L74" s="7">
        <f t="shared" si="175"/>
        <v>14561.197397511536</v>
      </c>
      <c r="M74" s="7">
        <f t="shared" si="175"/>
        <v>13384.737342646722</v>
      </c>
      <c r="N74" s="7">
        <f t="shared" si="175"/>
        <v>13050.878814837202</v>
      </c>
      <c r="O74" s="7">
        <f t="shared" si="175"/>
        <v>13715.997511657262</v>
      </c>
      <c r="P74" s="7">
        <f t="shared" si="175"/>
        <v>14327.237896980367</v>
      </c>
    </row>
    <row r="75" spans="1:16" s="4" customFormat="1" ht="8.25" hidden="1" customHeight="1" outlineLevel="1" x14ac:dyDescent="0.25">
      <c r="A75" s="35"/>
      <c r="B75" s="11"/>
      <c r="C75" s="12"/>
      <c r="D75" s="12"/>
      <c r="E75" s="12"/>
      <c r="F75" s="12"/>
      <c r="G75" s="12"/>
      <c r="H75" s="12"/>
      <c r="I75" s="12"/>
      <c r="J75" s="12"/>
      <c r="K75" s="12"/>
      <c r="L75" s="12"/>
      <c r="M75" s="12"/>
      <c r="N75" s="12"/>
      <c r="O75" s="12"/>
      <c r="P75" s="12"/>
    </row>
    <row r="76" spans="1:16" ht="15" customHeight="1" collapsed="1" x14ac:dyDescent="0.25">
      <c r="A76" s="277" t="s">
        <v>58</v>
      </c>
      <c r="B76" s="75"/>
      <c r="C76" s="202"/>
      <c r="D76" s="202"/>
      <c r="E76" s="202"/>
      <c r="F76" s="202"/>
      <c r="G76" s="202"/>
      <c r="H76" s="202"/>
      <c r="I76" s="202"/>
      <c r="J76" s="202"/>
      <c r="K76" s="202"/>
      <c r="L76" s="202"/>
      <c r="M76" s="202"/>
      <c r="N76" s="202"/>
      <c r="O76" s="202"/>
      <c r="P76" s="202"/>
    </row>
    <row r="77" spans="1:16" s="3" customFormat="1" x14ac:dyDescent="0.25">
      <c r="A77" s="277"/>
      <c r="B77" s="75" t="s">
        <v>59</v>
      </c>
      <c r="C77" s="21">
        <v>0</v>
      </c>
      <c r="D77" s="21">
        <v>0</v>
      </c>
      <c r="E77" s="21">
        <v>0</v>
      </c>
      <c r="F77" s="21">
        <v>0</v>
      </c>
      <c r="G77" s="21">
        <v>0</v>
      </c>
      <c r="H77" s="21">
        <v>0</v>
      </c>
      <c r="I77" s="21">
        <v>0</v>
      </c>
      <c r="J77" s="21">
        <v>0</v>
      </c>
      <c r="K77" s="21">
        <v>0</v>
      </c>
      <c r="L77" s="21">
        <v>0</v>
      </c>
      <c r="M77" s="21">
        <v>0</v>
      </c>
      <c r="N77" s="108">
        <v>0</v>
      </c>
      <c r="O77" s="108">
        <v>0</v>
      </c>
      <c r="P77" s="108">
        <v>0</v>
      </c>
    </row>
    <row r="78" spans="1:16" s="3" customFormat="1" x14ac:dyDescent="0.25">
      <c r="A78" s="277"/>
      <c r="B78" s="75" t="s">
        <v>60</v>
      </c>
      <c r="C78" s="8">
        <v>0</v>
      </c>
      <c r="D78" s="8">
        <f t="shared" ref="D78:E78" si="176">IF(OR(D77=""),"",D76-D77)</f>
        <v>0</v>
      </c>
      <c r="E78" s="8">
        <f t="shared" si="176"/>
        <v>0</v>
      </c>
      <c r="F78" s="8">
        <f t="shared" ref="F78:G78" si="177">IF(OR(F77=""),"",F76-F77)</f>
        <v>0</v>
      </c>
      <c r="G78" s="8">
        <f t="shared" si="177"/>
        <v>0</v>
      </c>
      <c r="H78" s="8">
        <f t="shared" ref="H78:I78" si="178">IF(OR(H77=""),"",H76-H77)</f>
        <v>0</v>
      </c>
      <c r="I78" s="8">
        <f t="shared" si="178"/>
        <v>0</v>
      </c>
      <c r="J78" s="8">
        <f t="shared" ref="J78:K78" si="179">IF(OR(J77=""),"",J76-J77)</f>
        <v>0</v>
      </c>
      <c r="K78" s="8">
        <f t="shared" si="179"/>
        <v>0</v>
      </c>
      <c r="L78" s="8">
        <f t="shared" ref="L78:M78" si="180">IF(OR(L77=""),"",L76-L77)</f>
        <v>0</v>
      </c>
      <c r="M78" s="8">
        <f t="shared" si="180"/>
        <v>0</v>
      </c>
      <c r="N78" s="8">
        <f t="shared" ref="N78:O78" si="181">IF(OR(N77=""),"",N76-N77)</f>
        <v>0</v>
      </c>
      <c r="O78" s="8">
        <f t="shared" si="181"/>
        <v>0</v>
      </c>
      <c r="P78" s="8">
        <f t="shared" ref="P78" si="182">IF(OR(P77=""),"",P76-P77)</f>
        <v>0</v>
      </c>
    </row>
    <row r="79" spans="1:16" s="3" customFormat="1" x14ac:dyDescent="0.25">
      <c r="A79" s="277"/>
      <c r="B79" s="76" t="s">
        <v>7</v>
      </c>
      <c r="C79" s="8">
        <v>0</v>
      </c>
      <c r="D79" s="8">
        <f t="shared" ref="D79:P79" si="183">IF(OR(D9="",D78=""),"",((D78+C82)*D9)/12)</f>
        <v>0</v>
      </c>
      <c r="E79" s="8">
        <f t="shared" si="183"/>
        <v>0</v>
      </c>
      <c r="F79" s="8">
        <f t="shared" si="183"/>
        <v>0</v>
      </c>
      <c r="G79" s="8">
        <f t="shared" si="183"/>
        <v>0</v>
      </c>
      <c r="H79" s="8">
        <f t="shared" si="183"/>
        <v>0</v>
      </c>
      <c r="I79" s="8">
        <f t="shared" si="183"/>
        <v>0</v>
      </c>
      <c r="J79" s="8">
        <f t="shared" si="183"/>
        <v>0</v>
      </c>
      <c r="K79" s="8">
        <f t="shared" si="183"/>
        <v>0</v>
      </c>
      <c r="L79" s="8">
        <f t="shared" si="183"/>
        <v>0</v>
      </c>
      <c r="M79" s="8">
        <f t="shared" si="183"/>
        <v>0</v>
      </c>
      <c r="N79" s="108">
        <f t="shared" si="183"/>
        <v>0</v>
      </c>
      <c r="O79" s="108">
        <f t="shared" si="183"/>
        <v>0</v>
      </c>
      <c r="P79" s="108">
        <f t="shared" si="183"/>
        <v>0</v>
      </c>
    </row>
    <row r="80" spans="1:16" s="3" customFormat="1" x14ac:dyDescent="0.25">
      <c r="A80" s="277"/>
      <c r="B80" s="76" t="s">
        <v>5</v>
      </c>
      <c r="C80" s="8">
        <v>0</v>
      </c>
      <c r="D80" s="8">
        <f t="shared" ref="D80:P80" si="184">IF(OR(C80="",D79=""),"",C80+D79)</f>
        <v>0</v>
      </c>
      <c r="E80" s="8">
        <f t="shared" si="184"/>
        <v>0</v>
      </c>
      <c r="F80" s="8">
        <f t="shared" si="184"/>
        <v>0</v>
      </c>
      <c r="G80" s="8">
        <f t="shared" si="184"/>
        <v>0</v>
      </c>
      <c r="H80" s="8">
        <f t="shared" si="184"/>
        <v>0</v>
      </c>
      <c r="I80" s="8">
        <f t="shared" si="184"/>
        <v>0</v>
      </c>
      <c r="J80" s="8">
        <f t="shared" si="184"/>
        <v>0</v>
      </c>
      <c r="K80" s="8">
        <f t="shared" si="184"/>
        <v>0</v>
      </c>
      <c r="L80" s="8">
        <f t="shared" si="184"/>
        <v>0</v>
      </c>
      <c r="M80" s="8">
        <f t="shared" si="184"/>
        <v>0</v>
      </c>
      <c r="N80" s="8">
        <f t="shared" si="184"/>
        <v>0</v>
      </c>
      <c r="O80" s="8">
        <f t="shared" si="184"/>
        <v>0</v>
      </c>
      <c r="P80" s="8">
        <f t="shared" si="184"/>
        <v>0</v>
      </c>
    </row>
    <row r="81" spans="1:16" s="3" customFormat="1" x14ac:dyDescent="0.25">
      <c r="A81" s="277"/>
      <c r="B81" s="75" t="s">
        <v>61</v>
      </c>
      <c r="C81" s="8">
        <v>0</v>
      </c>
      <c r="D81" s="8">
        <f t="shared" ref="D81:E81" si="185">IF(OR(D79="",D78=""),"",D78+D79)</f>
        <v>0</v>
      </c>
      <c r="E81" s="8">
        <f t="shared" si="185"/>
        <v>0</v>
      </c>
      <c r="F81" s="8">
        <f t="shared" ref="F81:G81" si="186">IF(OR(F79="",F78=""),"",F78+F79)</f>
        <v>0</v>
      </c>
      <c r="G81" s="8">
        <f t="shared" si="186"/>
        <v>0</v>
      </c>
      <c r="H81" s="8">
        <f t="shared" ref="H81:I81" si="187">IF(OR(H79="",H78=""),"",H78+H79)</f>
        <v>0</v>
      </c>
      <c r="I81" s="8">
        <f t="shared" si="187"/>
        <v>0</v>
      </c>
      <c r="J81" s="8">
        <f t="shared" ref="J81:K81" si="188">IF(OR(J79="",J78=""),"",J78+J79)</f>
        <v>0</v>
      </c>
      <c r="K81" s="8">
        <f t="shared" si="188"/>
        <v>0</v>
      </c>
      <c r="L81" s="8">
        <f t="shared" ref="L81:M81" si="189">IF(OR(L79="",L78=""),"",L78+L79)</f>
        <v>0</v>
      </c>
      <c r="M81" s="8">
        <f t="shared" si="189"/>
        <v>0</v>
      </c>
      <c r="N81" s="8">
        <f t="shared" ref="N81:O81" si="190">IF(OR(N79="",N78=""),"",N78+N79)</f>
        <v>0</v>
      </c>
      <c r="O81" s="8">
        <f t="shared" si="190"/>
        <v>0</v>
      </c>
      <c r="P81" s="8">
        <f t="shared" ref="P81" si="191">IF(OR(P79="",P78=""),"",P78+P79)</f>
        <v>0</v>
      </c>
    </row>
    <row r="82" spans="1:16" s="3" customFormat="1" x14ac:dyDescent="0.25">
      <c r="A82" s="277"/>
      <c r="B82" s="77" t="s">
        <v>62</v>
      </c>
      <c r="C82" s="8">
        <v>0</v>
      </c>
      <c r="D82" s="8">
        <f t="shared" ref="D82:P82" si="192">IF(OR(D81="",C82=""),"",D81+C82)</f>
        <v>0</v>
      </c>
      <c r="E82" s="8">
        <f t="shared" si="192"/>
        <v>0</v>
      </c>
      <c r="F82" s="8">
        <f t="shared" si="192"/>
        <v>0</v>
      </c>
      <c r="G82" s="8">
        <f t="shared" si="192"/>
        <v>0</v>
      </c>
      <c r="H82" s="8">
        <f t="shared" si="192"/>
        <v>0</v>
      </c>
      <c r="I82" s="8">
        <f t="shared" si="192"/>
        <v>0</v>
      </c>
      <c r="J82" s="8">
        <f t="shared" si="192"/>
        <v>0</v>
      </c>
      <c r="K82" s="8">
        <f t="shared" si="192"/>
        <v>0</v>
      </c>
      <c r="L82" s="8">
        <f t="shared" si="192"/>
        <v>0</v>
      </c>
      <c r="M82" s="8">
        <f t="shared" si="192"/>
        <v>0</v>
      </c>
      <c r="N82" s="8">
        <f t="shared" si="192"/>
        <v>0</v>
      </c>
      <c r="O82" s="8">
        <f t="shared" si="192"/>
        <v>0</v>
      </c>
      <c r="P82" s="8">
        <f t="shared" si="192"/>
        <v>0</v>
      </c>
    </row>
    <row r="83" spans="1:16" s="4" customFormat="1" ht="8.25" customHeight="1" x14ac:dyDescent="0.25">
      <c r="A83" s="35"/>
      <c r="B83" s="11"/>
      <c r="C83" s="12"/>
      <c r="D83" s="12"/>
      <c r="E83" s="12"/>
      <c r="F83" s="12"/>
      <c r="G83" s="12"/>
      <c r="H83" s="12"/>
      <c r="I83" s="12"/>
      <c r="J83" s="12"/>
      <c r="K83" s="12"/>
      <c r="L83" s="12"/>
      <c r="M83" s="12"/>
      <c r="N83" s="12"/>
      <c r="O83" s="12"/>
      <c r="P83" s="12"/>
    </row>
    <row r="84" spans="1:16" s="4" customFormat="1" x14ac:dyDescent="0.25">
      <c r="A84" s="105"/>
      <c r="B84" s="45"/>
      <c r="C84" s="7"/>
      <c r="D84" s="7"/>
      <c r="E84" s="7"/>
      <c r="F84" s="97">
        <v>379915.26999999996</v>
      </c>
      <c r="G84" s="7"/>
      <c r="H84" s="7"/>
      <c r="I84" s="97">
        <v>717090.49</v>
      </c>
      <c r="J84" s="7"/>
      <c r="K84" s="7"/>
      <c r="L84" s="97">
        <v>2698495.67</v>
      </c>
      <c r="M84" s="7"/>
      <c r="N84" s="7"/>
      <c r="O84" s="7"/>
      <c r="P84" s="7"/>
    </row>
    <row r="85" spans="1:16" x14ac:dyDescent="0.25">
      <c r="A85" s="278" t="s">
        <v>71</v>
      </c>
      <c r="B85" s="45" t="s">
        <v>64</v>
      </c>
      <c r="C85" s="53">
        <v>0</v>
      </c>
      <c r="D85" s="53"/>
      <c r="E85" s="53">
        <f t="shared" ref="E85:M85" si="193">0/12</f>
        <v>0</v>
      </c>
      <c r="F85" s="53">
        <f t="shared" si="193"/>
        <v>0</v>
      </c>
      <c r="G85" s="53">
        <f t="shared" si="193"/>
        <v>0</v>
      </c>
      <c r="H85" s="53">
        <f t="shared" si="193"/>
        <v>0</v>
      </c>
      <c r="I85" s="53">
        <f t="shared" si="193"/>
        <v>0</v>
      </c>
      <c r="J85" s="53">
        <f t="shared" si="193"/>
        <v>0</v>
      </c>
      <c r="K85" s="53">
        <f t="shared" si="193"/>
        <v>0</v>
      </c>
      <c r="L85" s="53">
        <f t="shared" si="193"/>
        <v>0</v>
      </c>
      <c r="M85" s="53">
        <f t="shared" si="193"/>
        <v>0</v>
      </c>
      <c r="N85" s="53">
        <v>0</v>
      </c>
      <c r="O85" s="53">
        <v>0</v>
      </c>
      <c r="P85" s="53">
        <v>0</v>
      </c>
    </row>
    <row r="86" spans="1:16" x14ac:dyDescent="0.25">
      <c r="A86" s="278"/>
      <c r="B86" s="45" t="s">
        <v>65</v>
      </c>
      <c r="C86" s="21">
        <v>0</v>
      </c>
      <c r="D86" s="21">
        <v>0</v>
      </c>
      <c r="E86" s="21">
        <v>0</v>
      </c>
      <c r="F86" s="21">
        <v>0</v>
      </c>
      <c r="G86" s="21">
        <v>0</v>
      </c>
      <c r="H86" s="21">
        <v>0</v>
      </c>
      <c r="I86" s="21">
        <v>0</v>
      </c>
      <c r="J86" s="21">
        <v>0</v>
      </c>
      <c r="K86" s="21">
        <v>0</v>
      </c>
      <c r="L86" s="21">
        <v>0</v>
      </c>
      <c r="M86" s="21">
        <v>0</v>
      </c>
      <c r="N86" s="108">
        <v>0</v>
      </c>
      <c r="O86" s="108">
        <v>0</v>
      </c>
      <c r="P86" s="108">
        <v>0</v>
      </c>
    </row>
    <row r="87" spans="1:16" x14ac:dyDescent="0.25">
      <c r="A87" s="278"/>
      <c r="B87" s="45" t="s">
        <v>66</v>
      </c>
      <c r="C87" s="7">
        <v>0</v>
      </c>
      <c r="D87" s="7" t="str">
        <f t="shared" ref="D87:I87" si="194">IF(OR(D85="",D86=""),"",D85-D86)</f>
        <v/>
      </c>
      <c r="E87" s="7">
        <f t="shared" si="194"/>
        <v>0</v>
      </c>
      <c r="F87" s="7">
        <f t="shared" si="194"/>
        <v>0</v>
      </c>
      <c r="G87" s="7">
        <f t="shared" si="194"/>
        <v>0</v>
      </c>
      <c r="H87" s="7">
        <f t="shared" si="194"/>
        <v>0</v>
      </c>
      <c r="I87" s="7">
        <f t="shared" si="194"/>
        <v>0</v>
      </c>
      <c r="J87" s="7">
        <f t="shared" ref="J87:K87" si="195">IF(OR(J85="",J86=""),"",J85-J86)</f>
        <v>0</v>
      </c>
      <c r="K87" s="7">
        <f t="shared" si="195"/>
        <v>0</v>
      </c>
      <c r="L87" s="7">
        <f t="shared" ref="L87:M87" si="196">IF(OR(L85="",L86=""),"",L85-L86)</f>
        <v>0</v>
      </c>
      <c r="M87" s="7">
        <f t="shared" si="196"/>
        <v>0</v>
      </c>
      <c r="N87" s="7">
        <f t="shared" ref="N87:O87" si="197">IF(OR(N85="",N86=""),"",N85-N86)</f>
        <v>0</v>
      </c>
      <c r="O87" s="7">
        <f t="shared" si="197"/>
        <v>0</v>
      </c>
      <c r="P87" s="7">
        <f t="shared" ref="P87" si="198">IF(OR(P85="",P86=""),"",P85-P86)</f>
        <v>0</v>
      </c>
    </row>
    <row r="88" spans="1:16" x14ac:dyDescent="0.25">
      <c r="A88" s="278"/>
      <c r="B88" s="45" t="s">
        <v>3</v>
      </c>
      <c r="C88" s="54">
        <v>0</v>
      </c>
      <c r="D88" s="54">
        <v>0</v>
      </c>
      <c r="E88" s="54">
        <f t="shared" ref="E88:I88" si="199">IF(E87="","",E9)</f>
        <v>4.5607639999999998E-2</v>
      </c>
      <c r="F88" s="54">
        <f t="shared" si="199"/>
        <v>4.6190130000000003E-2</v>
      </c>
      <c r="G88" s="54">
        <f t="shared" si="199"/>
        <v>4.6179980000000002E-2</v>
      </c>
      <c r="H88" s="54">
        <f t="shared" si="199"/>
        <v>4.5943270000000001E-2</v>
      </c>
      <c r="I88" s="54">
        <f t="shared" si="199"/>
        <v>4.5978989999999997E-2</v>
      </c>
      <c r="J88" s="54">
        <f t="shared" ref="J88:K88" si="200">IF(J87="","",J9)</f>
        <v>4.6030420000000002E-2</v>
      </c>
      <c r="K88" s="54">
        <f t="shared" si="200"/>
        <v>4.5683689999999999E-2</v>
      </c>
      <c r="L88" s="54">
        <f t="shared" ref="L88:M88" si="201">IF(L87="","",L9)</f>
        <v>4.4067750000000003E-2</v>
      </c>
      <c r="M88" s="54">
        <f t="shared" si="201"/>
        <v>4.1449880000000001E-2</v>
      </c>
      <c r="N88" s="54">
        <f t="shared" ref="N88:O88" si="202">IF(N87="","",N9)</f>
        <v>4.1449880000000001E-2</v>
      </c>
      <c r="O88" s="54">
        <f t="shared" si="202"/>
        <v>4.1449880000000001E-2</v>
      </c>
      <c r="P88" s="54">
        <f t="shared" ref="P88" si="203">IF(P87="","",P9)</f>
        <v>4.1449880000000001E-2</v>
      </c>
    </row>
    <row r="89" spans="1:16" x14ac:dyDescent="0.25">
      <c r="A89" s="278"/>
      <c r="B89" s="45" t="s">
        <v>44</v>
      </c>
      <c r="C89" s="8">
        <v>0</v>
      </c>
      <c r="D89" s="8" t="str">
        <f>IF(OR(D88="",D87="",C92=""),"",((C92+D87)*D88)/12)</f>
        <v/>
      </c>
      <c r="E89" s="8">
        <v>0</v>
      </c>
      <c r="F89" s="8">
        <f t="shared" ref="F89:P89" si="204">IF(OR(F88="",F87="",E92=""),"",((E92+F87)*F88)/12)</f>
        <v>0</v>
      </c>
      <c r="G89" s="8">
        <f t="shared" si="204"/>
        <v>0</v>
      </c>
      <c r="H89" s="8">
        <f t="shared" si="204"/>
        <v>0</v>
      </c>
      <c r="I89" s="8">
        <f t="shared" si="204"/>
        <v>0</v>
      </c>
      <c r="J89" s="8">
        <f t="shared" si="204"/>
        <v>0</v>
      </c>
      <c r="K89" s="8">
        <f t="shared" si="204"/>
        <v>0</v>
      </c>
      <c r="L89" s="8">
        <f t="shared" si="204"/>
        <v>0</v>
      </c>
      <c r="M89" s="8">
        <f t="shared" si="204"/>
        <v>0</v>
      </c>
      <c r="N89" s="108">
        <f t="shared" si="204"/>
        <v>0</v>
      </c>
      <c r="O89" s="108">
        <f t="shared" si="204"/>
        <v>0</v>
      </c>
      <c r="P89" s="108">
        <f t="shared" si="204"/>
        <v>0</v>
      </c>
    </row>
    <row r="90" spans="1:16" x14ac:dyDescent="0.25">
      <c r="A90" s="278"/>
      <c r="B90" s="46" t="s">
        <v>5</v>
      </c>
      <c r="C90" s="8">
        <v>0</v>
      </c>
      <c r="D90" s="8" t="str">
        <f>IF(OR(C90="",D89=""),"",C90+D89)</f>
        <v/>
      </c>
      <c r="E90" s="8">
        <v>0</v>
      </c>
      <c r="F90" s="8">
        <f t="shared" ref="F90:P90" si="205">IF(OR(E90="",F89=""),"",E90+F89)</f>
        <v>0</v>
      </c>
      <c r="G90" s="8">
        <f t="shared" si="205"/>
        <v>0</v>
      </c>
      <c r="H90" s="8">
        <f t="shared" si="205"/>
        <v>0</v>
      </c>
      <c r="I90" s="8">
        <f t="shared" si="205"/>
        <v>0</v>
      </c>
      <c r="J90" s="8">
        <f t="shared" si="205"/>
        <v>0</v>
      </c>
      <c r="K90" s="8">
        <f t="shared" si="205"/>
        <v>0</v>
      </c>
      <c r="L90" s="8">
        <f t="shared" si="205"/>
        <v>0</v>
      </c>
      <c r="M90" s="8">
        <f t="shared" si="205"/>
        <v>0</v>
      </c>
      <c r="N90" s="8">
        <f t="shared" si="205"/>
        <v>0</v>
      </c>
      <c r="O90" s="8">
        <f t="shared" si="205"/>
        <v>0</v>
      </c>
      <c r="P90" s="8">
        <f t="shared" si="205"/>
        <v>0</v>
      </c>
    </row>
    <row r="91" spans="1:16" x14ac:dyDescent="0.25">
      <c r="A91" s="278"/>
      <c r="B91" s="61" t="s">
        <v>67</v>
      </c>
      <c r="C91" s="8">
        <v>0</v>
      </c>
      <c r="D91" s="8" t="str">
        <f>IF(OR(D89="",D87=""),"",D87+D89)</f>
        <v/>
      </c>
      <c r="E91" s="8">
        <v>0</v>
      </c>
      <c r="F91" s="8">
        <f t="shared" ref="F91:K91" si="206">IF(OR(F89="",F87=""),"",F87+F89)</f>
        <v>0</v>
      </c>
      <c r="G91" s="8">
        <f t="shared" si="206"/>
        <v>0</v>
      </c>
      <c r="H91" s="8">
        <f t="shared" si="206"/>
        <v>0</v>
      </c>
      <c r="I91" s="8">
        <f t="shared" si="206"/>
        <v>0</v>
      </c>
      <c r="J91" s="8">
        <f t="shared" si="206"/>
        <v>0</v>
      </c>
      <c r="K91" s="8">
        <f t="shared" si="206"/>
        <v>0</v>
      </c>
      <c r="L91" s="8">
        <f t="shared" ref="L91:M91" si="207">IF(OR(L89="",L87=""),"",L87+L89)</f>
        <v>0</v>
      </c>
      <c r="M91" s="8">
        <f t="shared" si="207"/>
        <v>0</v>
      </c>
      <c r="N91" s="8">
        <f t="shared" ref="N91:O91" si="208">IF(OR(N89="",N87=""),"",N87+N89)</f>
        <v>0</v>
      </c>
      <c r="O91" s="8">
        <f t="shared" si="208"/>
        <v>0</v>
      </c>
      <c r="P91" s="8">
        <f t="shared" ref="P91" si="209">IF(OR(P89="",P87=""),"",P87+P89)</f>
        <v>0</v>
      </c>
    </row>
    <row r="92" spans="1:16" x14ac:dyDescent="0.25">
      <c r="A92" s="278"/>
      <c r="B92" s="45" t="s">
        <v>68</v>
      </c>
      <c r="C92" s="8">
        <v>0</v>
      </c>
      <c r="D92" s="8" t="str">
        <f>IF(OR(D91="",C92=""),"",C92+D91)</f>
        <v/>
      </c>
      <c r="E92" s="8">
        <v>0</v>
      </c>
      <c r="F92" s="8">
        <f t="shared" ref="F92:P92" si="210">IF(OR(F91="",E92=""),"",E92+F91)</f>
        <v>0</v>
      </c>
      <c r="G92" s="8">
        <f t="shared" si="210"/>
        <v>0</v>
      </c>
      <c r="H92" s="8">
        <f t="shared" si="210"/>
        <v>0</v>
      </c>
      <c r="I92" s="8">
        <f t="shared" si="210"/>
        <v>0</v>
      </c>
      <c r="J92" s="8">
        <f t="shared" si="210"/>
        <v>0</v>
      </c>
      <c r="K92" s="8">
        <f t="shared" si="210"/>
        <v>0</v>
      </c>
      <c r="L92" s="8">
        <f t="shared" si="210"/>
        <v>0</v>
      </c>
      <c r="M92" s="8">
        <f t="shared" si="210"/>
        <v>0</v>
      </c>
      <c r="N92" s="8">
        <f t="shared" si="210"/>
        <v>0</v>
      </c>
      <c r="O92" s="8">
        <f t="shared" si="210"/>
        <v>0</v>
      </c>
      <c r="P92" s="8">
        <f t="shared" si="210"/>
        <v>0</v>
      </c>
    </row>
    <row r="93" spans="1:16" x14ac:dyDescent="0.25">
      <c r="A93" s="278"/>
      <c r="B93" s="47" t="s">
        <v>69</v>
      </c>
      <c r="C93" s="8">
        <v>0</v>
      </c>
      <c r="D93" s="8">
        <v>0</v>
      </c>
      <c r="E93" s="8">
        <v>0</v>
      </c>
      <c r="F93" s="8">
        <f>IF(F86="","",E93-F86+F89+F84)</f>
        <v>379915.26999999996</v>
      </c>
      <c r="G93" s="8">
        <f>IF(G86="","",F93-G86+G89)</f>
        <v>379915.26999999996</v>
      </c>
      <c r="H93" s="8">
        <f>IF(H86="","",G93-H86+H89)</f>
        <v>379915.26999999996</v>
      </c>
      <c r="I93" s="8">
        <f>IF(I86="","",H93-I86+I89+I84)</f>
        <v>1097005.76</v>
      </c>
      <c r="J93" s="8">
        <f>IF(J86="","",I93-J86+J89)</f>
        <v>1097005.76</v>
      </c>
      <c r="K93" s="8">
        <f>IF(K86="","",J93-K86+K89)</f>
        <v>1097005.76</v>
      </c>
      <c r="L93" s="8">
        <f>IF(L86="","",K93-L86+L89+L84)</f>
        <v>3795501.4299999997</v>
      </c>
      <c r="M93" s="8">
        <f>IF(M86="","",L93-M86+M89)</f>
        <v>3795501.4299999997</v>
      </c>
      <c r="N93" s="8">
        <f>IF(N86="","",M93-N86+N89)</f>
        <v>3795501.4299999997</v>
      </c>
      <c r="O93" s="8">
        <f>IF(O86="","",N93-O86+O89)</f>
        <v>3795501.4299999997</v>
      </c>
      <c r="P93" s="8">
        <f>IF(P86="","",O93-P86+P89)</f>
        <v>3795501.4299999997</v>
      </c>
    </row>
    <row r="94" spans="1:16" s="4" customFormat="1" ht="8.25" customHeight="1" x14ac:dyDescent="0.25">
      <c r="A94" s="35"/>
      <c r="B94" s="11"/>
      <c r="C94" s="12"/>
      <c r="D94" s="12"/>
      <c r="E94" s="12"/>
      <c r="F94" s="12"/>
      <c r="G94" s="12"/>
      <c r="H94" s="12"/>
      <c r="I94" s="12"/>
      <c r="J94" s="12"/>
      <c r="K94" s="12"/>
      <c r="L94" s="12"/>
      <c r="M94" s="12"/>
      <c r="N94" s="12"/>
      <c r="O94" s="12"/>
      <c r="P94" s="12"/>
    </row>
    <row r="95" spans="1:16" x14ac:dyDescent="0.25">
      <c r="A95"/>
    </row>
    <row r="96" spans="1:16" x14ac:dyDescent="0.25">
      <c r="A96"/>
    </row>
    <row r="97" spans="1:16" x14ac:dyDescent="0.25">
      <c r="A97"/>
    </row>
    <row r="98" spans="1:16" x14ac:dyDescent="0.25">
      <c r="A98"/>
    </row>
    <row r="99" spans="1:16" x14ac:dyDescent="0.25">
      <c r="A99"/>
    </row>
    <row r="100" spans="1:16" x14ac:dyDescent="0.25">
      <c r="A100"/>
    </row>
    <row r="101" spans="1:16" x14ac:dyDescent="0.25">
      <c r="A101"/>
      <c r="H101" s="34"/>
      <c r="I101" s="34"/>
      <c r="J101" s="34"/>
      <c r="K101" s="34"/>
      <c r="L101" s="34"/>
      <c r="M101" s="34"/>
      <c r="N101" s="34"/>
      <c r="O101" s="34"/>
      <c r="P101" s="34"/>
    </row>
    <row r="102" spans="1:16" x14ac:dyDescent="0.25">
      <c r="A102"/>
      <c r="H102" s="34"/>
      <c r="I102" s="34"/>
      <c r="J102" s="34"/>
      <c r="K102" s="34"/>
      <c r="L102" s="34"/>
      <c r="M102" s="34"/>
      <c r="N102" s="34"/>
      <c r="O102" s="34"/>
      <c r="P102" s="34"/>
    </row>
    <row r="103" spans="1:16" x14ac:dyDescent="0.25">
      <c r="A103"/>
    </row>
    <row r="104" spans="1:16" x14ac:dyDescent="0.25">
      <c r="A104"/>
    </row>
    <row r="105" spans="1:16" x14ac:dyDescent="0.25">
      <c r="A105"/>
    </row>
    <row r="106" spans="1:16" x14ac:dyDescent="0.25">
      <c r="A106"/>
    </row>
    <row r="107" spans="1:16" x14ac:dyDescent="0.25">
      <c r="A107"/>
    </row>
    <row r="108" spans="1:16" x14ac:dyDescent="0.25">
      <c r="A108"/>
    </row>
    <row r="109" spans="1:16" x14ac:dyDescent="0.25">
      <c r="A109"/>
    </row>
    <row r="110" spans="1:16" x14ac:dyDescent="0.25">
      <c r="A110"/>
    </row>
    <row r="111" spans="1:16" x14ac:dyDescent="0.25">
      <c r="A111"/>
    </row>
    <row r="112" spans="1:16"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row r="175" spans="1:1" x14ac:dyDescent="0.25"/>
    <row r="176" spans="1:1" x14ac:dyDescent="0.25"/>
    <row r="177" x14ac:dyDescent="0.25"/>
    <row r="178" x14ac:dyDescent="0.25"/>
    <row r="179" x14ac:dyDescent="0.25"/>
    <row r="180" x14ac:dyDescent="0.25"/>
    <row r="181" x14ac:dyDescent="0.25"/>
    <row r="182" x14ac:dyDescent="0.25"/>
    <row r="183" x14ac:dyDescent="0.25"/>
  </sheetData>
  <mergeCells count="9">
    <mergeCell ref="A66:A74"/>
    <mergeCell ref="A76:A82"/>
    <mergeCell ref="A85:A93"/>
    <mergeCell ref="A5:A13"/>
    <mergeCell ref="A15:A24"/>
    <mergeCell ref="A26:A34"/>
    <mergeCell ref="A36:A44"/>
    <mergeCell ref="A46:A54"/>
    <mergeCell ref="A56:A64"/>
  </mergeCells>
  <printOptions headings="1"/>
  <pageMargins left="0.2" right="0.2" top="0.5" bottom="0.5" header="0.3" footer="0.3"/>
  <pageSetup orientation="landscape" cellComments="asDisplayed" r:id="rId1"/>
  <headerFooter>
    <oddHeader>&amp;C&amp;A</oddHeader>
    <oddFooter>&amp;RSchedule JNG-D3</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F1E5F-DE03-448D-81B2-AF3543494AC1}">
  <sheetPr>
    <pageSetUpPr fitToPage="1"/>
  </sheetPr>
  <dimension ref="A1:AA74"/>
  <sheetViews>
    <sheetView tabSelected="1" zoomScaleNormal="100" workbookViewId="0">
      <pane xSplit="1" ySplit="3" topLeftCell="D4" activePane="bottomRight" state="frozen"/>
      <selection activeCell="E29" sqref="E29"/>
      <selection pane="topRight" activeCell="E29" sqref="E29"/>
      <selection pane="bottomLeft" activeCell="E29" sqref="E29"/>
      <selection pane="bottomRight" activeCell="J13" sqref="J13"/>
    </sheetView>
  </sheetViews>
  <sheetFormatPr defaultRowHeight="15" x14ac:dyDescent="0.25"/>
  <cols>
    <col min="1" max="1" width="39.140625" customWidth="1"/>
    <col min="2" max="27" width="16" bestFit="1" customWidth="1"/>
  </cols>
  <sheetData>
    <row r="1" spans="1:27" x14ac:dyDescent="0.25">
      <c r="A1" s="28" t="s">
        <v>29</v>
      </c>
    </row>
    <row r="2" spans="1:27" x14ac:dyDescent="0.25">
      <c r="A2" s="23"/>
      <c r="B2" s="42"/>
      <c r="C2" s="42"/>
      <c r="D2" s="42"/>
      <c r="E2" s="42"/>
      <c r="F2" s="42"/>
      <c r="G2" s="42"/>
      <c r="H2" s="42"/>
      <c r="I2" s="42"/>
      <c r="J2" s="42"/>
      <c r="K2" s="42"/>
      <c r="L2" s="42"/>
      <c r="M2" s="42"/>
      <c r="N2" s="42"/>
      <c r="O2" s="42"/>
      <c r="P2" s="42"/>
      <c r="Q2" s="42"/>
      <c r="R2" s="42"/>
      <c r="S2" s="42"/>
      <c r="T2" s="42"/>
      <c r="U2" s="42"/>
      <c r="V2" s="42"/>
      <c r="W2" s="42"/>
      <c r="X2" s="42"/>
      <c r="Y2" s="42"/>
      <c r="Z2" s="42"/>
      <c r="AA2" s="42"/>
    </row>
    <row r="3" spans="1:27" x14ac:dyDescent="0.25">
      <c r="B3" s="10">
        <v>45627</v>
      </c>
      <c r="C3" s="10">
        <v>45658</v>
      </c>
      <c r="D3" s="10">
        <v>45689</v>
      </c>
      <c r="E3" s="10">
        <v>45717</v>
      </c>
      <c r="F3" s="10">
        <v>45748</v>
      </c>
      <c r="G3" s="10">
        <v>45778</v>
      </c>
      <c r="H3" s="10">
        <v>45809</v>
      </c>
      <c r="I3" s="10">
        <v>45839</v>
      </c>
      <c r="J3" s="10">
        <v>45870</v>
      </c>
      <c r="K3" s="10">
        <v>45901</v>
      </c>
      <c r="L3" s="10">
        <v>45931</v>
      </c>
      <c r="M3" s="10">
        <v>45962</v>
      </c>
      <c r="N3" s="10">
        <v>45992</v>
      </c>
      <c r="O3" s="10">
        <v>46023</v>
      </c>
      <c r="P3" s="10">
        <v>46054</v>
      </c>
      <c r="Q3" s="10">
        <v>46082</v>
      </c>
      <c r="R3" s="10">
        <v>46113</v>
      </c>
      <c r="S3" s="10">
        <v>46143</v>
      </c>
      <c r="T3" s="10">
        <v>46174</v>
      </c>
      <c r="U3" s="10">
        <v>46204</v>
      </c>
      <c r="V3" s="10">
        <v>46235</v>
      </c>
      <c r="W3" s="10">
        <v>46266</v>
      </c>
      <c r="X3" s="10">
        <v>46296</v>
      </c>
      <c r="Y3" s="10">
        <v>46327</v>
      </c>
      <c r="Z3" s="10">
        <v>46357</v>
      </c>
      <c r="AA3" s="10">
        <v>46388</v>
      </c>
    </row>
    <row r="4" spans="1:27" x14ac:dyDescent="0.25">
      <c r="A4" s="31" t="s">
        <v>37</v>
      </c>
      <c r="B4" s="25"/>
      <c r="C4" s="25"/>
      <c r="D4" s="25"/>
      <c r="E4" s="25"/>
      <c r="F4" s="25"/>
      <c r="G4" s="25"/>
      <c r="H4" s="25"/>
      <c r="I4" s="25"/>
      <c r="J4" s="25"/>
      <c r="K4" s="25"/>
      <c r="L4" s="25"/>
      <c r="M4" s="25"/>
      <c r="N4" s="25"/>
      <c r="O4" s="25"/>
      <c r="P4" s="25"/>
      <c r="Q4" s="25"/>
      <c r="R4" s="25"/>
      <c r="S4" s="25"/>
      <c r="T4" s="25"/>
      <c r="U4" s="25"/>
      <c r="V4" s="25"/>
      <c r="W4" s="25"/>
      <c r="X4" s="25"/>
      <c r="Y4" s="25"/>
      <c r="Z4" s="25"/>
      <c r="AA4" s="25"/>
    </row>
    <row r="5" spans="1:27" x14ac:dyDescent="0.25">
      <c r="A5" t="s">
        <v>32</v>
      </c>
      <c r="B5" s="37">
        <v>0</v>
      </c>
      <c r="C5" s="37">
        <v>0</v>
      </c>
      <c r="D5" s="37">
        <v>27.8734432963311</v>
      </c>
      <c r="E5" s="37">
        <v>225.56240128027324</v>
      </c>
      <c r="F5" s="37">
        <v>583.86324334147503</v>
      </c>
      <c r="G5" s="37">
        <v>1134.8918523925913</v>
      </c>
      <c r="H5" s="37">
        <f>3993.3692693992</f>
        <v>3993.3692693992002</v>
      </c>
      <c r="I5" s="37">
        <v>8555.9616950966629</v>
      </c>
      <c r="J5" s="37">
        <f>14118.2262670229</f>
        <v>14118.226267022899</v>
      </c>
      <c r="K5" s="37">
        <v>18450.298513245143</v>
      </c>
      <c r="L5" s="37">
        <v>20490.12256784704</v>
      </c>
      <c r="M5" s="256">
        <f>L5+M14</f>
        <v>24484.427087842614</v>
      </c>
      <c r="N5" s="256">
        <f t="shared" ref="N5:Z5" si="0">M5+N14</f>
        <v>31922.087605651093</v>
      </c>
      <c r="O5" s="256">
        <f t="shared" si="0"/>
        <v>39976.387749633694</v>
      </c>
      <c r="P5" s="256">
        <f t="shared" si="0"/>
        <v>46874.961680370325</v>
      </c>
      <c r="Q5" s="256">
        <f t="shared" si="0"/>
        <v>53160.901489197866</v>
      </c>
      <c r="R5" s="256">
        <f t="shared" si="0"/>
        <v>57489.782426836377</v>
      </c>
      <c r="S5" s="256">
        <f t="shared" si="0"/>
        <v>62374.255058232411</v>
      </c>
      <c r="T5" s="256">
        <f t="shared" si="0"/>
        <v>81694.489277252302</v>
      </c>
      <c r="U5" s="256">
        <f t="shared" si="0"/>
        <v>107927.32986043268</v>
      </c>
      <c r="V5" s="256">
        <f t="shared" si="0"/>
        <v>134956.50634329792</v>
      </c>
      <c r="W5" s="256">
        <f t="shared" si="0"/>
        <v>152355.68410832869</v>
      </c>
      <c r="X5" s="256">
        <f t="shared" si="0"/>
        <v>159234.0009629555</v>
      </c>
      <c r="Y5" s="256">
        <f t="shared" si="0"/>
        <v>171000.74329766928</v>
      </c>
      <c r="Z5" s="256">
        <f t="shared" si="0"/>
        <v>190849.26021238154</v>
      </c>
      <c r="AA5" s="256">
        <f>Z5+AA14</f>
        <v>211599.95729005587</v>
      </c>
    </row>
    <row r="6" spans="1:27" x14ac:dyDescent="0.25">
      <c r="A6" t="s">
        <v>33</v>
      </c>
      <c r="B6" s="37">
        <v>0</v>
      </c>
      <c r="C6" s="37">
        <v>0</v>
      </c>
      <c r="D6" s="37">
        <v>0</v>
      </c>
      <c r="E6" s="37">
        <v>306.82929138314881</v>
      </c>
      <c r="F6" s="37">
        <v>1068.41086678687</v>
      </c>
      <c r="G6" s="37">
        <v>2073.9025671915351</v>
      </c>
      <c r="H6" s="37">
        <v>4558.8191374305798</v>
      </c>
      <c r="I6" s="37">
        <v>10430.266910148554</v>
      </c>
      <c r="J6" s="37">
        <f>18963.741053271</f>
        <v>18963.741053270998</v>
      </c>
      <c r="K6" s="37">
        <v>26957.684222026328</v>
      </c>
      <c r="L6" s="37">
        <v>31311.759617785865</v>
      </c>
      <c r="M6" s="256">
        <f t="shared" ref="M6:AA9" si="1">L6+M15</f>
        <v>35222.836323672222</v>
      </c>
      <c r="N6" s="256">
        <f t="shared" si="1"/>
        <v>41085.716538843648</v>
      </c>
      <c r="O6" s="256">
        <f t="shared" si="1"/>
        <v>47724.681837172771</v>
      </c>
      <c r="P6" s="256">
        <f t="shared" si="1"/>
        <v>53508.780453781459</v>
      </c>
      <c r="Q6" s="256">
        <f t="shared" si="1"/>
        <v>60025.45024124912</v>
      </c>
      <c r="R6" s="256">
        <f t="shared" si="1"/>
        <v>66443.505780325984</v>
      </c>
      <c r="S6" s="256">
        <f t="shared" si="1"/>
        <v>75571.82103029314</v>
      </c>
      <c r="T6" s="256">
        <f t="shared" si="1"/>
        <v>101596.57557193347</v>
      </c>
      <c r="U6" s="256">
        <f t="shared" si="1"/>
        <v>136681.28019492677</v>
      </c>
      <c r="V6" s="256">
        <f t="shared" si="1"/>
        <v>173639.73988089061</v>
      </c>
      <c r="W6" s="256">
        <f t="shared" si="1"/>
        <v>196435.49408754706</v>
      </c>
      <c r="X6" s="256">
        <f t="shared" si="1"/>
        <v>206248.60233560868</v>
      </c>
      <c r="Y6" s="256">
        <f t="shared" si="1"/>
        <v>217300.69662323801</v>
      </c>
      <c r="Z6" s="256">
        <f t="shared" si="1"/>
        <v>232042.76494644096</v>
      </c>
      <c r="AA6" s="256">
        <f t="shared" si="1"/>
        <v>247463.40922724406</v>
      </c>
    </row>
    <row r="7" spans="1:27" x14ac:dyDescent="0.25">
      <c r="A7" t="s">
        <v>34</v>
      </c>
      <c r="B7" s="37">
        <v>0</v>
      </c>
      <c r="C7" s="37">
        <v>0</v>
      </c>
      <c r="D7" s="37">
        <v>0</v>
      </c>
      <c r="E7" s="37">
        <v>237.50977800082751</v>
      </c>
      <c r="F7" s="37">
        <v>765.41264407573203</v>
      </c>
      <c r="G7" s="37">
        <v>4902.720598387803</v>
      </c>
      <c r="H7" s="37">
        <v>46135.5899876568</v>
      </c>
      <c r="I7" s="37">
        <v>122049.29313887993</v>
      </c>
      <c r="J7" s="37">
        <f>223980.473869457</f>
        <v>223980.473869457</v>
      </c>
      <c r="K7" s="37">
        <v>288758.2112415111</v>
      </c>
      <c r="L7" s="37">
        <v>309592.64118721825</v>
      </c>
      <c r="M7" s="256">
        <f t="shared" si="1"/>
        <v>335186.87196741207</v>
      </c>
      <c r="N7" s="256">
        <f t="shared" si="1"/>
        <v>374270.52542562672</v>
      </c>
      <c r="O7" s="256">
        <f t="shared" si="1"/>
        <v>420467.5967411871</v>
      </c>
      <c r="P7" s="256">
        <f t="shared" si="1"/>
        <v>461738.439294276</v>
      </c>
      <c r="Q7" s="256">
        <f t="shared" si="1"/>
        <v>503081.66603488784</v>
      </c>
      <c r="R7" s="256">
        <f t="shared" si="1"/>
        <v>538017.72282294836</v>
      </c>
      <c r="S7" s="256">
        <f t="shared" si="1"/>
        <v>593941.91442699905</v>
      </c>
      <c r="T7" s="256">
        <f t="shared" si="1"/>
        <v>845917.37371816987</v>
      </c>
      <c r="U7" s="256">
        <f t="shared" si="1"/>
        <v>1186034.6564894109</v>
      </c>
      <c r="V7" s="256">
        <f t="shared" si="1"/>
        <v>1556485.9529904956</v>
      </c>
      <c r="W7" s="256">
        <f t="shared" si="1"/>
        <v>1763313.7426033821</v>
      </c>
      <c r="X7" s="256">
        <f t="shared" si="1"/>
        <v>1825899.0577884035</v>
      </c>
      <c r="Y7" s="256">
        <f t="shared" si="1"/>
        <v>1898224.3720366037</v>
      </c>
      <c r="Z7" s="256">
        <f t="shared" si="1"/>
        <v>1996499.2588593666</v>
      </c>
      <c r="AA7" s="256">
        <f t="shared" si="1"/>
        <v>2103803.4202098469</v>
      </c>
    </row>
    <row r="8" spans="1:27" x14ac:dyDescent="0.25">
      <c r="A8" t="s">
        <v>35</v>
      </c>
      <c r="B8" s="37">
        <v>0</v>
      </c>
      <c r="C8" s="37">
        <v>0</v>
      </c>
      <c r="D8" s="37">
        <v>0</v>
      </c>
      <c r="E8" s="37">
        <v>655.42233136807556</v>
      </c>
      <c r="F8" s="37">
        <v>2041.85416224139</v>
      </c>
      <c r="G8" s="37">
        <v>4081.6756711263256</v>
      </c>
      <c r="H8" s="37">
        <v>13195.3315274367</v>
      </c>
      <c r="I8" s="37">
        <v>41424.086250747045</v>
      </c>
      <c r="J8" s="37">
        <f>85791.1518035961</f>
        <v>85791.151803596105</v>
      </c>
      <c r="K8" s="37">
        <v>109004.13701568023</v>
      </c>
      <c r="L8" s="37">
        <v>117130.28424484006</v>
      </c>
      <c r="M8" s="256">
        <f t="shared" si="1"/>
        <v>128034.08416297335</v>
      </c>
      <c r="N8" s="256">
        <f t="shared" si="1"/>
        <v>146587.03577548941</v>
      </c>
      <c r="O8" s="256">
        <f t="shared" si="1"/>
        <v>169716.68802681152</v>
      </c>
      <c r="P8" s="256">
        <f t="shared" si="1"/>
        <v>189535.10439356152</v>
      </c>
      <c r="Q8" s="256">
        <f t="shared" si="1"/>
        <v>208633.21084874257</v>
      </c>
      <c r="R8" s="256">
        <f t="shared" si="1"/>
        <v>224118.08979505554</v>
      </c>
      <c r="S8" s="256">
        <f t="shared" si="1"/>
        <v>245568.16058284722</v>
      </c>
      <c r="T8" s="256">
        <f t="shared" si="1"/>
        <v>330888.25339573587</v>
      </c>
      <c r="U8" s="256">
        <f t="shared" si="1"/>
        <v>457452.6724372165</v>
      </c>
      <c r="V8" s="256">
        <f t="shared" si="1"/>
        <v>604113.14940237557</v>
      </c>
      <c r="W8" s="256">
        <f t="shared" si="1"/>
        <v>680642.61426603375</v>
      </c>
      <c r="X8" s="256">
        <f t="shared" si="1"/>
        <v>705954.23965009896</v>
      </c>
      <c r="Y8" s="256">
        <f t="shared" si="1"/>
        <v>736766.68181143038</v>
      </c>
      <c r="Z8" s="256">
        <f t="shared" si="1"/>
        <v>783417.62302647147</v>
      </c>
      <c r="AA8" s="256">
        <f t="shared" si="1"/>
        <v>837141.97971140267</v>
      </c>
    </row>
    <row r="9" spans="1:27" x14ac:dyDescent="0.25">
      <c r="A9" t="s">
        <v>36</v>
      </c>
      <c r="B9" s="37">
        <v>0</v>
      </c>
      <c r="C9" s="37">
        <v>0</v>
      </c>
      <c r="D9" s="37">
        <v>0</v>
      </c>
      <c r="E9" s="37">
        <v>19.242485315990997</v>
      </c>
      <c r="F9" s="37">
        <v>209.44814784360599</v>
      </c>
      <c r="G9" s="37">
        <v>1148.4138180500579</v>
      </c>
      <c r="H9" s="37">
        <v>6865.4617861367296</v>
      </c>
      <c r="I9" s="37">
        <v>12940.165092675546</v>
      </c>
      <c r="J9" s="37">
        <f>19190.9746445893</f>
        <v>19190.9746445893</v>
      </c>
      <c r="K9" s="37">
        <v>22066.743452061597</v>
      </c>
      <c r="L9" s="37">
        <v>22283.140710186828</v>
      </c>
      <c r="M9" s="256">
        <f t="shared" si="1"/>
        <v>22345.149945879642</v>
      </c>
      <c r="N9" s="256">
        <f t="shared" si="1"/>
        <v>22381.082620965808</v>
      </c>
      <c r="O9" s="256">
        <f t="shared" si="1"/>
        <v>22432.682909725951</v>
      </c>
      <c r="P9" s="256">
        <f t="shared" si="1"/>
        <v>22474.803332763742</v>
      </c>
      <c r="Q9" s="256">
        <f t="shared" si="1"/>
        <v>22605.607208673198</v>
      </c>
      <c r="R9" s="256">
        <f t="shared" si="1"/>
        <v>23171.218759639592</v>
      </c>
      <c r="S9" s="256">
        <f t="shared" si="1"/>
        <v>25784.500912839154</v>
      </c>
      <c r="T9" s="256">
        <f t="shared" si="1"/>
        <v>42263.019657740355</v>
      </c>
      <c r="U9" s="256">
        <f t="shared" si="1"/>
        <v>59610.346247218928</v>
      </c>
      <c r="V9" s="256">
        <f t="shared" si="1"/>
        <v>77460.573537983888</v>
      </c>
      <c r="W9" s="256">
        <f t="shared" si="1"/>
        <v>85672.810116741515</v>
      </c>
      <c r="X9" s="256">
        <f t="shared" si="1"/>
        <v>86290.768512458613</v>
      </c>
      <c r="Y9" s="256">
        <f t="shared" si="1"/>
        <v>86465.996965163038</v>
      </c>
      <c r="Z9" s="256">
        <f t="shared" si="1"/>
        <v>86556.348794249527</v>
      </c>
      <c r="AA9" s="256">
        <f t="shared" si="1"/>
        <v>86676.203268855257</v>
      </c>
    </row>
    <row r="10" spans="1:27" x14ac:dyDescent="0.25">
      <c r="A10" t="s">
        <v>28</v>
      </c>
      <c r="B10" s="37">
        <v>0</v>
      </c>
      <c r="C10" s="37">
        <v>0</v>
      </c>
      <c r="D10" s="37">
        <v>1614.5794960811611</v>
      </c>
      <c r="E10" s="37">
        <v>4125.7979196559454</v>
      </c>
      <c r="F10" s="37">
        <v>6574.1595592677304</v>
      </c>
      <c r="G10" s="37">
        <v>14296.643058244645</v>
      </c>
      <c r="H10" s="37">
        <v>64350.916390428603</v>
      </c>
      <c r="I10" s="37">
        <v>151397.06870491925</v>
      </c>
      <c r="J10" s="37">
        <f>244914.749671818</f>
        <v>244914.74967181799</v>
      </c>
      <c r="K10" s="37">
        <v>314110.68557382573</v>
      </c>
      <c r="L10" s="37">
        <v>349257.34552957502</v>
      </c>
      <c r="M10" s="256">
        <f>L10+M19</f>
        <v>402514.88011365058</v>
      </c>
      <c r="N10" s="256">
        <f t="shared" ref="N10:Z10" si="2">M10+N19</f>
        <v>499180.67617596081</v>
      </c>
      <c r="O10" s="256">
        <f t="shared" si="2"/>
        <v>609592.94715869171</v>
      </c>
      <c r="P10" s="256">
        <f t="shared" si="2"/>
        <v>702540.07297715684</v>
      </c>
      <c r="Q10" s="256">
        <f t="shared" si="2"/>
        <v>787389.58086858003</v>
      </c>
      <c r="R10" s="256">
        <f t="shared" si="2"/>
        <v>843524.23528343893</v>
      </c>
      <c r="S10" s="256">
        <f t="shared" si="2"/>
        <v>904646.1108899375</v>
      </c>
      <c r="T10" s="256">
        <f t="shared" si="2"/>
        <v>1075318.9224672331</v>
      </c>
      <c r="U10" s="256">
        <f t="shared" si="2"/>
        <v>1312708.0804300506</v>
      </c>
      <c r="V10" s="256">
        <f t="shared" si="2"/>
        <v>1535411.8557280595</v>
      </c>
      <c r="W10" s="256">
        <f t="shared" si="2"/>
        <v>1698556.2243085934</v>
      </c>
      <c r="X10" s="256">
        <f t="shared" si="2"/>
        <v>1789404.4532599021</v>
      </c>
      <c r="Y10" s="256">
        <f t="shared" si="2"/>
        <v>1911085.7472193108</v>
      </c>
      <c r="Z10" s="256">
        <f t="shared" si="2"/>
        <v>2102434.966651679</v>
      </c>
      <c r="AA10" s="256">
        <f>Z10+AA19</f>
        <v>2308435.0473006298</v>
      </c>
    </row>
    <row r="11" spans="1:27" x14ac:dyDescent="0.25">
      <c r="A11" s="28" t="s">
        <v>30</v>
      </c>
      <c r="B11" s="39">
        <f t="shared" ref="B11:G11" si="3">SUM(B5:B10)</f>
        <v>0</v>
      </c>
      <c r="C11" s="39">
        <f t="shared" si="3"/>
        <v>0</v>
      </c>
      <c r="D11" s="39">
        <f t="shared" si="3"/>
        <v>1642.4529393774922</v>
      </c>
      <c r="E11" s="39">
        <f t="shared" si="3"/>
        <v>5570.3642070042615</v>
      </c>
      <c r="F11" s="39">
        <f t="shared" si="3"/>
        <v>11243.148623556805</v>
      </c>
      <c r="G11" s="39">
        <f t="shared" si="3"/>
        <v>27638.247565392958</v>
      </c>
      <c r="H11" s="39">
        <f t="shared" ref="H11:I11" si="4">SUM(H5:H10)</f>
        <v>139099.48809848863</v>
      </c>
      <c r="I11" s="39">
        <f t="shared" si="4"/>
        <v>346796.84179246699</v>
      </c>
      <c r="J11" s="39">
        <f t="shared" ref="J11:K11" si="5">SUM(J5:J10)</f>
        <v>606959.31730975432</v>
      </c>
      <c r="K11" s="39">
        <f t="shared" si="5"/>
        <v>779347.76001835009</v>
      </c>
      <c r="L11" s="39">
        <f t="shared" ref="L11:M11" si="6">SUM(L5:L10)</f>
        <v>850065.29385745316</v>
      </c>
      <c r="M11" s="39">
        <f t="shared" si="6"/>
        <v>947788.24960143038</v>
      </c>
      <c r="N11" s="39">
        <f t="shared" ref="N11:O11" si="7">SUM(N5:N10)</f>
        <v>1115427.1241425374</v>
      </c>
      <c r="O11" s="39">
        <f t="shared" si="7"/>
        <v>1309910.9844232227</v>
      </c>
      <c r="P11" s="39">
        <f t="shared" ref="P11:Q11" si="8">SUM(P5:P10)</f>
        <v>1476672.1621319097</v>
      </c>
      <c r="Q11" s="39">
        <f t="shared" si="8"/>
        <v>1634896.4166913307</v>
      </c>
      <c r="R11" s="39">
        <f t="shared" ref="R11:S11" si="9">SUM(R5:R10)</f>
        <v>1752764.5548682448</v>
      </c>
      <c r="S11" s="39">
        <f t="shared" si="9"/>
        <v>1907886.7629011485</v>
      </c>
      <c r="T11" s="39">
        <f t="shared" ref="T11:U11" si="10">SUM(T5:T10)</f>
        <v>2477678.634088065</v>
      </c>
      <c r="U11" s="39">
        <f t="shared" si="10"/>
        <v>3260414.3656592565</v>
      </c>
      <c r="V11" s="39">
        <f t="shared" ref="V11:W11" si="11">SUM(V5:V10)</f>
        <v>4082067.7778831031</v>
      </c>
      <c r="W11" s="39">
        <f t="shared" si="11"/>
        <v>4576976.5694906265</v>
      </c>
      <c r="X11" s="39">
        <f t="shared" ref="X11:Y11" si="12">SUM(X5:X10)</f>
        <v>4773031.1225094274</v>
      </c>
      <c r="Y11" s="39">
        <f t="shared" si="12"/>
        <v>5020844.2379534151</v>
      </c>
      <c r="Z11" s="39">
        <f t="shared" ref="Z11:AA11" si="13">SUM(Z5:Z10)</f>
        <v>5391800.2224905891</v>
      </c>
      <c r="AA11" s="39">
        <f t="shared" si="13"/>
        <v>5795120.0170080345</v>
      </c>
    </row>
    <row r="12" spans="1:27" x14ac:dyDescent="0.25">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row>
    <row r="13" spans="1:27" x14ac:dyDescent="0.25">
      <c r="A13" s="31" t="s">
        <v>38</v>
      </c>
      <c r="B13" s="40"/>
      <c r="C13" s="40"/>
      <c r="D13" s="40"/>
      <c r="E13" s="40"/>
      <c r="F13" s="40"/>
      <c r="G13" s="40"/>
      <c r="H13" s="40"/>
      <c r="I13" s="40"/>
      <c r="J13" s="40"/>
      <c r="K13" s="40"/>
      <c r="L13" s="40"/>
      <c r="M13" s="257" t="s">
        <v>142</v>
      </c>
      <c r="N13" s="258"/>
      <c r="O13" s="40"/>
      <c r="P13" s="40"/>
      <c r="Q13" s="40"/>
      <c r="R13" s="40"/>
      <c r="S13" s="40"/>
      <c r="T13" s="40"/>
      <c r="U13" s="40"/>
      <c r="V13" s="40"/>
      <c r="W13" s="40"/>
      <c r="X13" s="40"/>
      <c r="Y13" s="40"/>
      <c r="Z13" s="40"/>
      <c r="AA13" s="40"/>
    </row>
    <row r="14" spans="1:27" x14ac:dyDescent="0.25">
      <c r="A14" s="33" t="s">
        <v>32</v>
      </c>
      <c r="B14" s="40">
        <v>0</v>
      </c>
      <c r="C14" s="40">
        <f t="shared" ref="C14:L19" si="14">IF(C5="","",C5-B5)</f>
        <v>0</v>
      </c>
      <c r="D14" s="40">
        <f t="shared" si="14"/>
        <v>27.8734432963311</v>
      </c>
      <c r="E14" s="40">
        <f t="shared" si="14"/>
        <v>197.68895798394215</v>
      </c>
      <c r="F14" s="40">
        <f t="shared" si="14"/>
        <v>358.30084206120182</v>
      </c>
      <c r="G14" s="40">
        <f t="shared" si="14"/>
        <v>551.02860905111629</v>
      </c>
      <c r="H14" s="40">
        <f t="shared" si="14"/>
        <v>2858.4774170066089</v>
      </c>
      <c r="I14" s="40">
        <f t="shared" si="14"/>
        <v>4562.5924256974631</v>
      </c>
      <c r="J14" s="40">
        <f t="shared" si="14"/>
        <v>5562.2645719262364</v>
      </c>
      <c r="K14" s="40">
        <f t="shared" si="14"/>
        <v>4332.0722462222438</v>
      </c>
      <c r="L14" s="40">
        <f t="shared" si="14"/>
        <v>2039.8240546018969</v>
      </c>
      <c r="M14" s="258">
        <v>3994.3045199955754</v>
      </c>
      <c r="N14" s="258">
        <v>7437.6605178084783</v>
      </c>
      <c r="O14" s="258">
        <v>8054.300143982603</v>
      </c>
      <c r="P14" s="258">
        <v>6898.5739307366321</v>
      </c>
      <c r="Q14" s="258">
        <v>6285.9398088275402</v>
      </c>
      <c r="R14" s="258">
        <v>4328.8809376385116</v>
      </c>
      <c r="S14" s="258">
        <v>4884.4726313960336</v>
      </c>
      <c r="T14" s="258">
        <v>19320.234219019891</v>
      </c>
      <c r="U14" s="258">
        <v>26232.840583180376</v>
      </c>
      <c r="V14" s="258">
        <v>27029.17648286523</v>
      </c>
      <c r="W14" s="258">
        <v>17399.177765030763</v>
      </c>
      <c r="X14" s="258">
        <v>6878.3168546268207</v>
      </c>
      <c r="Y14" s="258">
        <v>11766.742334713777</v>
      </c>
      <c r="Z14" s="258">
        <v>19848.516914712272</v>
      </c>
      <c r="AA14" s="258">
        <v>20750.697077674315</v>
      </c>
    </row>
    <row r="15" spans="1:27" x14ac:dyDescent="0.25">
      <c r="A15" s="33" t="s">
        <v>33</v>
      </c>
      <c r="B15" s="40">
        <v>0</v>
      </c>
      <c r="C15" s="40">
        <f t="shared" si="14"/>
        <v>0</v>
      </c>
      <c r="D15" s="40">
        <f t="shared" si="14"/>
        <v>0</v>
      </c>
      <c r="E15" s="40">
        <f t="shared" si="14"/>
        <v>306.82929138314881</v>
      </c>
      <c r="F15" s="40">
        <f t="shared" si="14"/>
        <v>761.58157540372122</v>
      </c>
      <c r="G15" s="40">
        <f t="shared" si="14"/>
        <v>1005.4917004046652</v>
      </c>
      <c r="H15" s="40">
        <f t="shared" si="14"/>
        <v>2484.9165702390446</v>
      </c>
      <c r="I15" s="40">
        <f t="shared" si="14"/>
        <v>5871.4477727179737</v>
      </c>
      <c r="J15" s="40">
        <f t="shared" si="14"/>
        <v>8533.4741431224447</v>
      </c>
      <c r="K15" s="40">
        <f t="shared" si="14"/>
        <v>7993.9431687553297</v>
      </c>
      <c r="L15" s="40">
        <f t="shared" si="14"/>
        <v>4354.0753957595371</v>
      </c>
      <c r="M15" s="258">
        <v>3911.076705886353</v>
      </c>
      <c r="N15" s="258">
        <v>5862.8802151714272</v>
      </c>
      <c r="O15" s="258">
        <v>6638.9652983291253</v>
      </c>
      <c r="P15" s="258">
        <v>5784.0986166086859</v>
      </c>
      <c r="Q15" s="258">
        <v>6516.669787467662</v>
      </c>
      <c r="R15" s="258">
        <v>6418.0555390768577</v>
      </c>
      <c r="S15" s="258">
        <v>9128.315249967156</v>
      </c>
      <c r="T15" s="258">
        <v>26024.754541640326</v>
      </c>
      <c r="U15" s="258">
        <v>35084.704622993304</v>
      </c>
      <c r="V15" s="258">
        <v>36958.459685963848</v>
      </c>
      <c r="W15" s="258">
        <v>22795.754206656435</v>
      </c>
      <c r="X15" s="258">
        <v>9813.1082480616133</v>
      </c>
      <c r="Y15" s="258">
        <v>11052.094287629323</v>
      </c>
      <c r="Z15" s="258">
        <v>14742.068323202948</v>
      </c>
      <c r="AA15" s="258">
        <v>15420.644280803088</v>
      </c>
    </row>
    <row r="16" spans="1:27" x14ac:dyDescent="0.25">
      <c r="A16" s="33" t="s">
        <v>34</v>
      </c>
      <c r="B16" s="40">
        <v>0</v>
      </c>
      <c r="C16" s="40">
        <f t="shared" si="14"/>
        <v>0</v>
      </c>
      <c r="D16" s="40">
        <f t="shared" si="14"/>
        <v>0</v>
      </c>
      <c r="E16" s="40">
        <f t="shared" si="14"/>
        <v>237.50977800082751</v>
      </c>
      <c r="F16" s="40">
        <f t="shared" si="14"/>
        <v>527.90286607490452</v>
      </c>
      <c r="G16" s="40">
        <f t="shared" si="14"/>
        <v>4137.3079543120712</v>
      </c>
      <c r="H16" s="40">
        <f t="shared" si="14"/>
        <v>41232.869389268999</v>
      </c>
      <c r="I16" s="40">
        <f t="shared" si="14"/>
        <v>75913.703151223133</v>
      </c>
      <c r="J16" s="40">
        <f t="shared" si="14"/>
        <v>101931.18073057706</v>
      </c>
      <c r="K16" s="40">
        <f t="shared" si="14"/>
        <v>64777.737372054107</v>
      </c>
      <c r="L16" s="40">
        <f t="shared" si="14"/>
        <v>20834.429945707147</v>
      </c>
      <c r="M16" s="258">
        <v>25594.2307801938</v>
      </c>
      <c r="N16" s="258">
        <v>39083.653458214663</v>
      </c>
      <c r="O16" s="258">
        <v>46197.071315560381</v>
      </c>
      <c r="P16" s="258">
        <v>41270.842553088885</v>
      </c>
      <c r="Q16" s="258">
        <v>41343.226740611855</v>
      </c>
      <c r="R16" s="258">
        <v>34936.056788060494</v>
      </c>
      <c r="S16" s="258">
        <v>55924.191604050691</v>
      </c>
      <c r="T16" s="258">
        <v>251975.45929117085</v>
      </c>
      <c r="U16" s="258">
        <v>340117.28277124104</v>
      </c>
      <c r="V16" s="258">
        <v>370451.2965010847</v>
      </c>
      <c r="W16" s="258">
        <v>206827.78961288644</v>
      </c>
      <c r="X16" s="258">
        <v>62585.315185021391</v>
      </c>
      <c r="Y16" s="258">
        <v>72325.314248200288</v>
      </c>
      <c r="Z16" s="258">
        <v>98274.886822762899</v>
      </c>
      <c r="AA16" s="258">
        <v>107304.1613504804</v>
      </c>
    </row>
    <row r="17" spans="1:27" x14ac:dyDescent="0.25">
      <c r="A17" s="33" t="s">
        <v>35</v>
      </c>
      <c r="B17" s="40">
        <v>0</v>
      </c>
      <c r="C17" s="40">
        <f t="shared" ref="C17:L17" si="15">IF(C8="","",C8-B8)</f>
        <v>0</v>
      </c>
      <c r="D17" s="40">
        <f t="shared" si="15"/>
        <v>0</v>
      </c>
      <c r="E17" s="40">
        <f t="shared" si="15"/>
        <v>655.42233136807556</v>
      </c>
      <c r="F17" s="40">
        <f t="shared" si="15"/>
        <v>1386.4318308733145</v>
      </c>
      <c r="G17" s="40">
        <f t="shared" si="15"/>
        <v>2039.8215088849356</v>
      </c>
      <c r="H17" s="40">
        <f t="shared" si="15"/>
        <v>9113.6558563103736</v>
      </c>
      <c r="I17" s="40">
        <f t="shared" si="15"/>
        <v>28228.754723310347</v>
      </c>
      <c r="J17" s="40">
        <f t="shared" si="15"/>
        <v>44367.065552849061</v>
      </c>
      <c r="K17" s="40">
        <f t="shared" si="15"/>
        <v>23212.985212084124</v>
      </c>
      <c r="L17" s="40">
        <f t="shared" si="15"/>
        <v>8126.1472291598329</v>
      </c>
      <c r="M17" s="258">
        <v>10903.799918133282</v>
      </c>
      <c r="N17" s="258">
        <v>18552.951612516048</v>
      </c>
      <c r="O17" s="258">
        <v>23129.652251322103</v>
      </c>
      <c r="P17" s="258">
        <v>19818.416366749992</v>
      </c>
      <c r="Q17" s="258">
        <v>19098.106455181052</v>
      </c>
      <c r="R17" s="258">
        <v>15484.878946312954</v>
      </c>
      <c r="S17" s="258">
        <v>21450.070787791698</v>
      </c>
      <c r="T17" s="258">
        <v>85320.092812888659</v>
      </c>
      <c r="U17" s="258">
        <v>126564.41904148061</v>
      </c>
      <c r="V17" s="258">
        <v>146660.47696515903</v>
      </c>
      <c r="W17" s="258">
        <v>76529.464863658184</v>
      </c>
      <c r="X17" s="258">
        <v>25311.625384065155</v>
      </c>
      <c r="Y17" s="258">
        <v>30812.442161331441</v>
      </c>
      <c r="Z17" s="258">
        <v>46650.941215041123</v>
      </c>
      <c r="AA17" s="258">
        <v>53724.356684931168</v>
      </c>
    </row>
    <row r="18" spans="1:27" x14ac:dyDescent="0.25">
      <c r="A18" s="33" t="s">
        <v>36</v>
      </c>
      <c r="B18" s="40">
        <v>0</v>
      </c>
      <c r="C18" s="40">
        <f t="shared" si="14"/>
        <v>0</v>
      </c>
      <c r="D18" s="40">
        <f t="shared" si="14"/>
        <v>0</v>
      </c>
      <c r="E18" s="40">
        <f t="shared" si="14"/>
        <v>19.242485315990997</v>
      </c>
      <c r="F18" s="40">
        <f t="shared" si="14"/>
        <v>190.205662527615</v>
      </c>
      <c r="G18" s="40">
        <f t="shared" si="14"/>
        <v>938.96567020645193</v>
      </c>
      <c r="H18" s="40">
        <f t="shared" si="14"/>
        <v>5717.047968086672</v>
      </c>
      <c r="I18" s="40">
        <f t="shared" si="14"/>
        <v>6074.7033065388168</v>
      </c>
      <c r="J18" s="40">
        <f t="shared" si="14"/>
        <v>6250.8095519137532</v>
      </c>
      <c r="K18" s="40">
        <f t="shared" si="14"/>
        <v>2875.7688074722973</v>
      </c>
      <c r="L18" s="40">
        <f t="shared" si="14"/>
        <v>216.39725812523102</v>
      </c>
      <c r="M18" s="258">
        <v>62.009235692813832</v>
      </c>
      <c r="N18" s="258">
        <v>35.932675086163968</v>
      </c>
      <c r="O18" s="258">
        <v>51.600288760143336</v>
      </c>
      <c r="P18" s="258">
        <v>42.120423037791284</v>
      </c>
      <c r="Q18" s="258">
        <v>130.8038759094577</v>
      </c>
      <c r="R18" s="258">
        <v>565.6115509663955</v>
      </c>
      <c r="S18" s="258">
        <v>2613.2821531995601</v>
      </c>
      <c r="T18" s="258">
        <v>16478.518744901205</v>
      </c>
      <c r="U18" s="258">
        <v>17347.326589478569</v>
      </c>
      <c r="V18" s="258">
        <v>17850.227290764964</v>
      </c>
      <c r="W18" s="258">
        <v>8212.23657875762</v>
      </c>
      <c r="X18" s="258">
        <v>617.95839571709507</v>
      </c>
      <c r="Y18" s="258">
        <v>175.22845270443088</v>
      </c>
      <c r="Z18" s="258">
        <v>90.351829086481359</v>
      </c>
      <c r="AA18" s="258">
        <v>119.85447460572718</v>
      </c>
    </row>
    <row r="19" spans="1:27" x14ac:dyDescent="0.25">
      <c r="A19" s="33" t="s">
        <v>28</v>
      </c>
      <c r="B19" s="40">
        <v>0</v>
      </c>
      <c r="C19" s="40">
        <f t="shared" si="14"/>
        <v>0</v>
      </c>
      <c r="D19" s="40">
        <f t="shared" si="14"/>
        <v>1614.5794960811611</v>
      </c>
      <c r="E19" s="40">
        <f t="shared" si="14"/>
        <v>2511.2184235747845</v>
      </c>
      <c r="F19" s="40">
        <f t="shared" si="14"/>
        <v>2448.361639611785</v>
      </c>
      <c r="G19" s="40">
        <f t="shared" si="14"/>
        <v>7722.4834989769142</v>
      </c>
      <c r="H19" s="40">
        <f t="shared" si="14"/>
        <v>50054.273332183962</v>
      </c>
      <c r="I19" s="40">
        <f t="shared" si="14"/>
        <v>87046.152314490639</v>
      </c>
      <c r="J19" s="40">
        <f t="shared" si="14"/>
        <v>93517.680966898741</v>
      </c>
      <c r="K19" s="40">
        <f t="shared" si="14"/>
        <v>69195.935902007739</v>
      </c>
      <c r="L19" s="40">
        <f t="shared" si="14"/>
        <v>35146.659955749288</v>
      </c>
      <c r="M19" s="258">
        <v>53257.534584075569</v>
      </c>
      <c r="N19" s="258">
        <v>96665.796062310226</v>
      </c>
      <c r="O19" s="258">
        <v>110412.27098273096</v>
      </c>
      <c r="P19" s="258">
        <v>92947.125818465182</v>
      </c>
      <c r="Q19" s="258">
        <v>84849.507891423214</v>
      </c>
      <c r="R19" s="258">
        <v>56134.654414858946</v>
      </c>
      <c r="S19" s="258">
        <v>61121.875606498514</v>
      </c>
      <c r="T19" s="258">
        <v>170672.81157729554</v>
      </c>
      <c r="U19" s="258">
        <v>237389.15796281741</v>
      </c>
      <c r="V19" s="258">
        <v>222703.77529800893</v>
      </c>
      <c r="W19" s="258">
        <v>163144.36858053392</v>
      </c>
      <c r="X19" s="258">
        <v>90848.228951308585</v>
      </c>
      <c r="Y19" s="258">
        <v>121681.29395940869</v>
      </c>
      <c r="Z19" s="258">
        <v>191349.21943236797</v>
      </c>
      <c r="AA19" s="258">
        <v>206000.08064895094</v>
      </c>
    </row>
    <row r="20" spans="1:27" x14ac:dyDescent="0.25">
      <c r="A20" s="30" t="s">
        <v>30</v>
      </c>
      <c r="B20" s="39">
        <f t="shared" ref="B20:G20" si="16">SUM(B14:B19)</f>
        <v>0</v>
      </c>
      <c r="C20" s="39">
        <f t="shared" si="16"/>
        <v>0</v>
      </c>
      <c r="D20" s="39">
        <f t="shared" si="16"/>
        <v>1642.4529393774922</v>
      </c>
      <c r="E20" s="39">
        <f t="shared" si="16"/>
        <v>3927.9112676267696</v>
      </c>
      <c r="F20" s="39">
        <f t="shared" si="16"/>
        <v>5672.7844165525421</v>
      </c>
      <c r="G20" s="39">
        <f t="shared" si="16"/>
        <v>16395.098941836153</v>
      </c>
      <c r="H20" s="39">
        <f t="shared" ref="H20:I20" si="17">SUM(H14:H19)</f>
        <v>111461.24053309567</v>
      </c>
      <c r="I20" s="39">
        <f t="shared" si="17"/>
        <v>207697.35369397837</v>
      </c>
      <c r="J20" s="39">
        <f t="shared" ref="J20:K20" si="18">SUM(J14:J19)</f>
        <v>260162.4755172873</v>
      </c>
      <c r="K20" s="39">
        <f t="shared" si="18"/>
        <v>172388.44270859583</v>
      </c>
      <c r="L20" s="39">
        <f t="shared" ref="L20:M20" si="19">SUM(L14:L19)</f>
        <v>70717.533839102936</v>
      </c>
      <c r="M20" s="39">
        <f t="shared" si="19"/>
        <v>97722.955743977393</v>
      </c>
      <c r="N20" s="39">
        <f t="shared" ref="N20:O20" si="20">SUM(N14:N19)</f>
        <v>167638.87454110701</v>
      </c>
      <c r="O20" s="39">
        <f t="shared" si="20"/>
        <v>194483.8602806853</v>
      </c>
      <c r="P20" s="39">
        <f t="shared" ref="P20:Q20" si="21">SUM(P14:P19)</f>
        <v>166761.17770868717</v>
      </c>
      <c r="Q20" s="39">
        <f t="shared" si="21"/>
        <v>158224.25455942081</v>
      </c>
      <c r="R20" s="39">
        <f t="shared" ref="R20:S20" si="22">SUM(R14:R19)</f>
        <v>117868.13817691416</v>
      </c>
      <c r="S20" s="39">
        <f t="shared" si="22"/>
        <v>155122.20803290364</v>
      </c>
      <c r="T20" s="39">
        <f t="shared" ref="T20:U20" si="23">SUM(T14:T19)</f>
        <v>569791.87118691648</v>
      </c>
      <c r="U20" s="39">
        <f t="shared" si="23"/>
        <v>782735.73157119122</v>
      </c>
      <c r="V20" s="39">
        <f t="shared" ref="V20:W20" si="24">SUM(V14:V19)</f>
        <v>821653.41222384665</v>
      </c>
      <c r="W20" s="39">
        <f t="shared" si="24"/>
        <v>494908.79160752334</v>
      </c>
      <c r="X20" s="39">
        <f t="shared" ref="X20:Y20" si="25">SUM(X14:X19)</f>
        <v>196054.55301880068</v>
      </c>
      <c r="Y20" s="39">
        <f t="shared" si="25"/>
        <v>247813.11544398795</v>
      </c>
      <c r="Z20" s="39">
        <f t="shared" ref="Z20:AA20" si="26">SUM(Z14:Z19)</f>
        <v>370955.9845371737</v>
      </c>
      <c r="AA20" s="39">
        <f t="shared" si="26"/>
        <v>403319.79451744561</v>
      </c>
    </row>
    <row r="21" spans="1:27" x14ac:dyDescent="0.25">
      <c r="A21" s="30"/>
    </row>
    <row r="22" spans="1:27" x14ac:dyDescent="0.25">
      <c r="A22" s="24" t="s">
        <v>31</v>
      </c>
      <c r="M22" s="259" t="s">
        <v>143</v>
      </c>
      <c r="N22" s="260"/>
    </row>
    <row r="23" spans="1:27" x14ac:dyDescent="0.25">
      <c r="A23" t="s">
        <v>32</v>
      </c>
      <c r="B23" s="38">
        <v>0</v>
      </c>
      <c r="C23" s="38">
        <v>1519085073</v>
      </c>
      <c r="D23" s="38">
        <v>1469680772</v>
      </c>
      <c r="E23" s="38">
        <v>1182786264</v>
      </c>
      <c r="F23" s="38">
        <v>792914133</v>
      </c>
      <c r="G23" s="38">
        <v>741131906</v>
      </c>
      <c r="H23" s="38">
        <v>902805020</v>
      </c>
      <c r="I23" s="38">
        <v>1422740932</v>
      </c>
      <c r="J23" s="38">
        <v>1467241325</v>
      </c>
      <c r="K23" s="38">
        <v>1164098928</v>
      </c>
      <c r="L23" s="38">
        <v>953236301</v>
      </c>
      <c r="M23" s="261">
        <f>'[2]PPC.1, PCR.2F, EO.5'!B27</f>
        <v>934691409.66474664</v>
      </c>
      <c r="N23" s="261">
        <f>'[2]PPC.1, PCR.2F, EO.5'!C27</f>
        <v>1172004013.6804736</v>
      </c>
      <c r="O23" s="261">
        <f>'[2]PPC.1, PCR.2F, EO.5'!D27</f>
        <v>1501280534.9402111</v>
      </c>
      <c r="P23" s="261">
        <f>'[2]PPC.1, PCR.2F, EO.5'!E27</f>
        <v>1229492845.5535142</v>
      </c>
      <c r="Q23" s="261">
        <f>'[2]PPC.1, PCR.2F, EO.5'!F27</f>
        <v>1055841056.4788648</v>
      </c>
      <c r="R23" s="261">
        <f>'[2]PPC.1, PCR.2F, EO.5'!G27</f>
        <v>782160106.46270216</v>
      </c>
      <c r="S23" s="261">
        <f>'[2]PPC.1, PCR.2F, EO.5'!H27</f>
        <v>808422808.60364091</v>
      </c>
      <c r="T23" s="261">
        <f>'[2]PPC.1, PCR.2F, EO.5'!I27</f>
        <v>1138736144.245827</v>
      </c>
      <c r="U23" s="261">
        <f>'[2]PPC.1, PCR.2F, EO.5'!J27</f>
        <v>1365029337.8153753</v>
      </c>
      <c r="V23" s="261">
        <f>'[2]PPC.1, PCR.2F, EO.5'!K27</f>
        <v>1309003114.2814729</v>
      </c>
      <c r="W23" s="261">
        <f>'[2]PPC.1, PCR.2F, EO.5'!L27</f>
        <v>887344499.20834303</v>
      </c>
      <c r="X23" s="261">
        <f>'[2]PPC.1, PCR.2F, EO.5'!M27</f>
        <v>724028085.19755471</v>
      </c>
      <c r="Y23" s="261">
        <f>'[2]PPC.1, PCR.2F, EO.5'!N27</f>
        <v>965743639.04302931</v>
      </c>
      <c r="Z23" s="261">
        <f>'[2]PPC.1, PCR.2F, EO.5'!O27</f>
        <v>1382595622.7453718</v>
      </c>
      <c r="AA23" s="261">
        <f>'[2]PPC.1, PCR.2F, EO.5'!P27</f>
        <v>1415185124.8536115</v>
      </c>
    </row>
    <row r="24" spans="1:27" x14ac:dyDescent="0.25">
      <c r="A24" t="s">
        <v>33</v>
      </c>
      <c r="B24" s="38">
        <v>0</v>
      </c>
      <c r="C24" s="38">
        <v>326375475</v>
      </c>
      <c r="D24" s="38">
        <v>314016169</v>
      </c>
      <c r="E24" s="38">
        <v>275429142</v>
      </c>
      <c r="F24" s="38">
        <v>217486182</v>
      </c>
      <c r="G24" s="38">
        <v>214202707</v>
      </c>
      <c r="H24" s="38">
        <v>247031646</v>
      </c>
      <c r="I24" s="38">
        <v>326672425</v>
      </c>
      <c r="J24" s="38">
        <v>319059845</v>
      </c>
      <c r="K24" s="38">
        <v>290372246</v>
      </c>
      <c r="L24" s="38">
        <v>257719313</v>
      </c>
      <c r="M24" s="261">
        <f>'[2]PPC.1, PCR.2F, EO.5'!B28</f>
        <v>221002259.01149774</v>
      </c>
      <c r="N24" s="261">
        <f>'[2]PPC.1, PCR.2F, EO.5'!C28</f>
        <v>273131062.94405389</v>
      </c>
      <c r="O24" s="261">
        <f>'[2]PPC.1, PCR.2F, EO.5'!D28</f>
        <v>305607376.55643886</v>
      </c>
      <c r="P24" s="261">
        <f>'[2]PPC.1, PCR.2F, EO.5'!E28</f>
        <v>267588488.0846718</v>
      </c>
      <c r="Q24" s="261">
        <f>'[2]PPC.1, PCR.2F, EO.5'!F28</f>
        <v>249244473.51618513</v>
      </c>
      <c r="R24" s="261">
        <f>'[2]PPC.1, PCR.2F, EO.5'!G28</f>
        <v>220407039.52407867</v>
      </c>
      <c r="S24" s="261">
        <f>'[2]PPC.1, PCR.2F, EO.5'!H28</f>
        <v>235148961.40706077</v>
      </c>
      <c r="T24" s="261">
        <f>'[2]PPC.1, PCR.2F, EO.5'!I28</f>
        <v>265150781.4668892</v>
      </c>
      <c r="U24" s="261">
        <f>'[2]PPC.1, PCR.2F, EO.5'!J28</f>
        <v>301490667.39570183</v>
      </c>
      <c r="V24" s="261">
        <f>'[2]PPC.1, PCR.2F, EO.5'!K28</f>
        <v>296938882.8489812</v>
      </c>
      <c r="W24" s="261">
        <f>'[2]PPC.1, PCR.2F, EO.5'!L28</f>
        <v>249340706.45416617</v>
      </c>
      <c r="X24" s="261">
        <f>'[2]PPC.1, PCR.2F, EO.5'!M28</f>
        <v>211125845.92878258</v>
      </c>
      <c r="Y24" s="261">
        <f>'[2]PPC.1, PCR.2F, EO.5'!N28</f>
        <v>222444969.71227011</v>
      </c>
      <c r="Z24" s="261">
        <f>'[2]PPC.1, PCR.2F, EO.5'!O28</f>
        <v>273508394.59864038</v>
      </c>
      <c r="AA24" s="261">
        <f>'[2]PPC.1, PCR.2F, EO.5'!P28</f>
        <v>303763193.76725805</v>
      </c>
    </row>
    <row r="25" spans="1:27" x14ac:dyDescent="0.25">
      <c r="A25" t="s">
        <v>34</v>
      </c>
      <c r="B25" s="38">
        <v>0</v>
      </c>
      <c r="C25" s="38">
        <v>581934696</v>
      </c>
      <c r="D25" s="38">
        <v>550353259</v>
      </c>
      <c r="E25" s="38">
        <v>533380318</v>
      </c>
      <c r="F25" s="38">
        <v>458966865</v>
      </c>
      <c r="G25" s="38">
        <v>489395552</v>
      </c>
      <c r="H25" s="38">
        <v>531587343</v>
      </c>
      <c r="I25" s="38">
        <v>647796117</v>
      </c>
      <c r="J25" s="38">
        <v>637875394</v>
      </c>
      <c r="K25" s="38">
        <v>588890325</v>
      </c>
      <c r="L25" s="38">
        <v>552757461</v>
      </c>
      <c r="M25" s="261">
        <f>'[2]PPC.1, PCR.2F, EO.5'!B29</f>
        <v>514849246.9053455</v>
      </c>
      <c r="N25" s="261">
        <f>'[2]PPC.1, PCR.2F, EO.5'!C29</f>
        <v>555246232.23021936</v>
      </c>
      <c r="O25" s="261">
        <f>'[2]PPC.1, PCR.2F, EO.5'!D29</f>
        <v>569470005.798172</v>
      </c>
      <c r="P25" s="261">
        <f>'[2]PPC.1, PCR.2F, EO.5'!E29</f>
        <v>513339293.13988298</v>
      </c>
      <c r="Q25" s="261">
        <f>'[2]PPC.1, PCR.2F, EO.5'!F29</f>
        <v>529773957.10116965</v>
      </c>
      <c r="R25" s="261">
        <f>'[2]PPC.1, PCR.2F, EO.5'!G29</f>
        <v>498074378.57082307</v>
      </c>
      <c r="S25" s="261">
        <f>'[2]PPC.1, PCR.2F, EO.5'!H29</f>
        <v>546830054.36345434</v>
      </c>
      <c r="T25" s="261">
        <f>'[2]PPC.1, PCR.2F, EO.5'!I29</f>
        <v>587831042.81094801</v>
      </c>
      <c r="U25" s="261">
        <f>'[2]PPC.1, PCR.2F, EO.5'!J29</f>
        <v>645414823.62084246</v>
      </c>
      <c r="V25" s="261">
        <f>'[2]PPC.1, PCR.2F, EO.5'!K29</f>
        <v>645343124.9017036</v>
      </c>
      <c r="W25" s="261">
        <f>'[2]PPC.1, PCR.2F, EO.5'!L29</f>
        <v>568043556.04628742</v>
      </c>
      <c r="X25" s="261">
        <f>'[2]PPC.1, PCR.2F, EO.5'!M29</f>
        <v>522887907.84986055</v>
      </c>
      <c r="Y25" s="261">
        <f>'[2]PPC.1, PCR.2F, EO.5'!N29</f>
        <v>518531056.28073186</v>
      </c>
      <c r="Z25" s="261">
        <f>'[2]PPC.1, PCR.2F, EO.5'!O29</f>
        <v>552297998.54118049</v>
      </c>
      <c r="AA25" s="261">
        <f>'[2]PPC.1, PCR.2F, EO.5'!P29</f>
        <v>567177592.63575089</v>
      </c>
    </row>
    <row r="26" spans="1:27" x14ac:dyDescent="0.25">
      <c r="A26" t="s">
        <v>35</v>
      </c>
      <c r="B26" s="38">
        <v>0</v>
      </c>
      <c r="C26" s="38">
        <v>224894811</v>
      </c>
      <c r="D26" s="38">
        <v>222106948</v>
      </c>
      <c r="E26" s="38">
        <v>217652060</v>
      </c>
      <c r="F26" s="38">
        <v>210949305</v>
      </c>
      <c r="G26" s="38">
        <v>219397939</v>
      </c>
      <c r="H26" s="38">
        <v>219693106</v>
      </c>
      <c r="I26" s="38">
        <v>268022650</v>
      </c>
      <c r="J26" s="38">
        <v>239135808</v>
      </c>
      <c r="K26" s="38">
        <v>238267860</v>
      </c>
      <c r="L26" s="38">
        <v>239527440</v>
      </c>
      <c r="M26" s="261">
        <f>'[2]PPC.1, PCR.2F, EO.5'!B30</f>
        <v>214431320.95015869</v>
      </c>
      <c r="N26" s="261">
        <f>'[2]PPC.1, PCR.2F, EO.5'!C30</f>
        <v>217384853.68146685</v>
      </c>
      <c r="O26" s="261">
        <f>'[2]PPC.1, PCR.2F, EO.5'!D30</f>
        <v>230347096.50209251</v>
      </c>
      <c r="P26" s="261">
        <f>'[2]PPC.1, PCR.2F, EO.5'!E30</f>
        <v>214489729.15033561</v>
      </c>
      <c r="Q26" s="261">
        <f>'[2]PPC.1, PCR.2F, EO.5'!F30</f>
        <v>221162258.07722431</v>
      </c>
      <c r="R26" s="261">
        <f>'[2]PPC.1, PCR.2F, EO.5'!G30</f>
        <v>215629113.92205966</v>
      </c>
      <c r="S26" s="261">
        <f>'[2]PPC.1, PCR.2F, EO.5'!H30</f>
        <v>229274563.69153032</v>
      </c>
      <c r="T26" s="261">
        <f>'[2]PPC.1, PCR.2F, EO.5'!I30</f>
        <v>244218506.25143638</v>
      </c>
      <c r="U26" s="261">
        <f>'[2]PPC.1, PCR.2F, EO.5'!J30</f>
        <v>260988724.27065736</v>
      </c>
      <c r="V26" s="261">
        <f>'[2]PPC.1, PCR.2F, EO.5'!K30</f>
        <v>261012483.04431123</v>
      </c>
      <c r="W26" s="261">
        <f>'[2]PPC.1, PCR.2F, EO.5'!L30</f>
        <v>240184037.87684086</v>
      </c>
      <c r="X26" s="261">
        <f>'[2]PPC.1, PCR.2F, EO.5'!M30</f>
        <v>233225536.00191772</v>
      </c>
      <c r="Y26" s="261">
        <f>'[2]PPC.1, PCR.2F, EO.5'!N30</f>
        <v>221473129.69808137</v>
      </c>
      <c r="Z26" s="261">
        <f>'[2]PPC.1, PCR.2F, EO.5'!O30</f>
        <v>226260309.79809558</v>
      </c>
      <c r="AA26" s="261">
        <f>'[2]PPC.1, PCR.2F, EO.5'!P30</f>
        <v>232705197.22525746</v>
      </c>
    </row>
    <row r="27" spans="1:27" x14ac:dyDescent="0.25">
      <c r="A27" t="s">
        <v>36</v>
      </c>
      <c r="B27" s="38">
        <v>0</v>
      </c>
      <c r="C27" s="38">
        <v>69346877</v>
      </c>
      <c r="D27" s="38">
        <v>61270424</v>
      </c>
      <c r="E27" s="38">
        <v>59814245</v>
      </c>
      <c r="F27" s="38">
        <v>67854054</v>
      </c>
      <c r="G27" s="38">
        <v>65075199</v>
      </c>
      <c r="H27" s="38">
        <v>80920772</v>
      </c>
      <c r="I27" s="38">
        <v>95769594</v>
      </c>
      <c r="J27" s="38">
        <v>92334707</v>
      </c>
      <c r="K27" s="38">
        <v>86188788</v>
      </c>
      <c r="L27" s="38">
        <v>84652258</v>
      </c>
      <c r="M27" s="261">
        <f>'[2]PPC.1, PCR.2F, EO.5'!B31</f>
        <v>68732453.552071258</v>
      </c>
      <c r="N27" s="261">
        <f>'[2]PPC.1, PCR.2F, EO.5'!C31</f>
        <v>66590092.865217187</v>
      </c>
      <c r="O27" s="261">
        <f>'[2]PPC.1, PCR.2F, EO.5'!D31</f>
        <v>64674964.490822993</v>
      </c>
      <c r="P27" s="261">
        <f>'[2]PPC.1, PCR.2F, EO.5'!E31</f>
        <v>58573848.850580357</v>
      </c>
      <c r="Q27" s="261">
        <f>'[2]PPC.1, PCR.2F, EO.5'!F31</f>
        <v>65494560.92136158</v>
      </c>
      <c r="R27" s="261">
        <f>'[2]PPC.1, PCR.2F, EO.5'!G31</f>
        <v>66861478.801501341</v>
      </c>
      <c r="S27" s="261">
        <f>'[2]PPC.1, PCR.2F, EO.5'!H31</f>
        <v>74288764.887821615</v>
      </c>
      <c r="T27" s="261">
        <f>'[2]PPC.1, PCR.2F, EO.5'!I31</f>
        <v>74563120.373582616</v>
      </c>
      <c r="U27" s="261">
        <f>'[2]PPC.1, PCR.2F, EO.5'!J31</f>
        <v>80252631.814296842</v>
      </c>
      <c r="V27" s="261">
        <f>'[2]PPC.1, PCR.2F, EO.5'!K31</f>
        <v>81110234.966044441</v>
      </c>
      <c r="W27" s="261">
        <f>'[2]PPC.1, PCR.2F, EO.5'!L31</f>
        <v>72851088.581060141</v>
      </c>
      <c r="X27" s="261">
        <f>'[2]PPC.1, PCR.2F, EO.5'!M31</f>
        <v>74551445.964260712</v>
      </c>
      <c r="Y27" s="261">
        <f>'[2]PPC.1, PCR.2F, EO.5'!N31</f>
        <v>68203809.021018788</v>
      </c>
      <c r="Z27" s="261">
        <f>'[2]PPC.1, PCR.2F, EO.5'!O31</f>
        <v>66435422.697305597</v>
      </c>
      <c r="AA27" s="261">
        <f>'[2]PPC.1, PCR.2F, EO.5'!P31</f>
        <v>68450508.413569331</v>
      </c>
    </row>
    <row r="28" spans="1:27" x14ac:dyDescent="0.25">
      <c r="A28" s="28" t="s">
        <v>30</v>
      </c>
      <c r="B28" s="29">
        <f t="shared" ref="B28:C28" si="27">SUM(B23:B27)</f>
        <v>0</v>
      </c>
      <c r="C28" s="29">
        <f t="shared" si="27"/>
        <v>2721636932</v>
      </c>
      <c r="D28" s="29">
        <f t="shared" ref="D28:E28" si="28">SUM(D23:D27)</f>
        <v>2617427572</v>
      </c>
      <c r="E28" s="29">
        <f t="shared" si="28"/>
        <v>2269062029</v>
      </c>
      <c r="F28" s="29">
        <f t="shared" ref="F28:G28" si="29">SUM(F23:F27)</f>
        <v>1748170539</v>
      </c>
      <c r="G28" s="29">
        <f t="shared" si="29"/>
        <v>1729203303</v>
      </c>
      <c r="H28" s="29">
        <f t="shared" ref="H28:I28" si="30">SUM(H23:H27)</f>
        <v>1982037887</v>
      </c>
      <c r="I28" s="29">
        <f t="shared" si="30"/>
        <v>2761001718</v>
      </c>
      <c r="J28" s="29">
        <f t="shared" ref="J28:K28" si="31">SUM(J23:J27)</f>
        <v>2755647079</v>
      </c>
      <c r="K28" s="29">
        <f t="shared" si="31"/>
        <v>2367818147</v>
      </c>
      <c r="L28" s="29">
        <f t="shared" ref="L28:M28" si="32">SUM(L23:L27)</f>
        <v>2087892773</v>
      </c>
      <c r="M28" s="29">
        <f t="shared" si="32"/>
        <v>1953706690.0838196</v>
      </c>
      <c r="N28" s="29">
        <f t="shared" ref="N28:O28" si="33">SUM(N23:N27)</f>
        <v>2284356255.4014311</v>
      </c>
      <c r="O28" s="29">
        <f t="shared" si="33"/>
        <v>2671379978.2877369</v>
      </c>
      <c r="P28" s="29">
        <f t="shared" ref="P28:Q28" si="34">SUM(P23:P27)</f>
        <v>2283484204.778985</v>
      </c>
      <c r="Q28" s="29">
        <f t="shared" si="34"/>
        <v>2121516306.0948055</v>
      </c>
      <c r="R28" s="29">
        <f t="shared" ref="R28:S28" si="35">SUM(R23:R27)</f>
        <v>1783132117.2811646</v>
      </c>
      <c r="S28" s="29">
        <f t="shared" si="35"/>
        <v>1893965152.9535079</v>
      </c>
      <c r="T28" s="29">
        <f t="shared" ref="T28:U28" si="36">SUM(T23:T27)</f>
        <v>2310499595.1486831</v>
      </c>
      <c r="U28" s="29">
        <f t="shared" si="36"/>
        <v>2653176184.9168739</v>
      </c>
      <c r="V28" s="29">
        <f t="shared" ref="V28:W28" si="37">SUM(V23:V27)</f>
        <v>2593407840.0425134</v>
      </c>
      <c r="W28" s="29">
        <f t="shared" si="37"/>
        <v>2017763888.1666975</v>
      </c>
      <c r="X28" s="29">
        <f t="shared" ref="X28:Y28" si="38">SUM(X23:X27)</f>
        <v>1765818820.9423764</v>
      </c>
      <c r="Y28" s="29">
        <f t="shared" si="38"/>
        <v>1996396603.7551315</v>
      </c>
      <c r="Z28" s="29">
        <f t="shared" ref="Z28:AA28" si="39">SUM(Z23:Z27)</f>
        <v>2501097748.3805943</v>
      </c>
      <c r="AA28" s="29">
        <f t="shared" si="39"/>
        <v>2587281616.8954473</v>
      </c>
    </row>
    <row r="30" spans="1:27" x14ac:dyDescent="0.25">
      <c r="A30" s="24" t="s">
        <v>39</v>
      </c>
    </row>
    <row r="31" spans="1:27" x14ac:dyDescent="0.25">
      <c r="A31" t="s">
        <v>32</v>
      </c>
      <c r="B31" s="40">
        <v>0</v>
      </c>
      <c r="C31" s="40">
        <f t="shared" ref="C31:H31" si="40">IF(C14="","",C14+(C$19*(C23/C$28)))</f>
        <v>0</v>
      </c>
      <c r="D31" s="40">
        <f t="shared" si="40"/>
        <v>934.45686346056698</v>
      </c>
      <c r="E31" s="40">
        <f t="shared" si="40"/>
        <v>1506.7032640481104</v>
      </c>
      <c r="F31" s="40">
        <f t="shared" si="40"/>
        <v>1468.7992193269206</v>
      </c>
      <c r="G31" s="40">
        <f t="shared" si="40"/>
        <v>3860.8643609958426</v>
      </c>
      <c r="H31" s="40">
        <f t="shared" si="40"/>
        <v>25657.86462001612</v>
      </c>
      <c r="I31" s="40">
        <f t="shared" ref="I31:J31" si="41">IF(I14="","",I14+(I$19*(I23/I$28)))</f>
        <v>49417.372146965405</v>
      </c>
      <c r="J31" s="40">
        <f t="shared" si="41"/>
        <v>55355.653274877695</v>
      </c>
      <c r="K31" s="40">
        <f t="shared" ref="K31:L31" si="42">IF(K14="","",K14+(K$19*(K23/K$28)))</f>
        <v>38351.118391105061</v>
      </c>
      <c r="L31" s="40">
        <f t="shared" si="42"/>
        <v>18086.180726733197</v>
      </c>
      <c r="M31" s="262">
        <f t="shared" ref="M31:N31" si="43">IF(M14="","",M14+(M$19*(M23/M$28)))</f>
        <v>29473.748455115085</v>
      </c>
      <c r="N31" s="262">
        <f t="shared" si="43"/>
        <v>57032.683493214172</v>
      </c>
      <c r="O31" s="262">
        <f t="shared" ref="O31:P31" si="44">IF(O14="","",O14+(O$19*(O23/O$28)))</f>
        <v>70104.549300661616</v>
      </c>
      <c r="P31" s="263">
        <f t="shared" si="44"/>
        <v>56943.950189262599</v>
      </c>
      <c r="Q31" s="263">
        <f t="shared" ref="Q31:R31" si="45">IF(Q14="","",Q14+(Q$19*(Q23/Q$28)))</f>
        <v>48514.035721368979</v>
      </c>
      <c r="R31" s="263">
        <f t="shared" si="45"/>
        <v>28952.007203974452</v>
      </c>
      <c r="S31" s="263">
        <f t="shared" ref="S31:T31" si="46">IF(S14="","",S14+(S$19*(S23/S$28)))</f>
        <v>30973.821882554534</v>
      </c>
      <c r="T31" s="263">
        <f t="shared" si="46"/>
        <v>103436.80354939337</v>
      </c>
      <c r="U31" s="263">
        <f t="shared" ref="U31:V31" si="47">IF(U14="","",U14+(U$19*(U23/U$28)))</f>
        <v>148366.895208236</v>
      </c>
      <c r="V31" s="263">
        <f t="shared" si="47"/>
        <v>139437.233143385</v>
      </c>
      <c r="W31" s="263">
        <f t="shared" ref="W31:X31" si="48">IF(W14="","",W14+(W$19*(W23/W$28)))</f>
        <v>89144.568236998326</v>
      </c>
      <c r="X31" s="263">
        <f t="shared" si="48"/>
        <v>44128.270514142991</v>
      </c>
      <c r="Y31" s="263">
        <f t="shared" ref="Y31:Z31" si="49">IF(Y14="","",Y14+(Y$19*(Y23/Y$28)))</f>
        <v>70629.262642946836</v>
      </c>
      <c r="Z31" s="263">
        <f t="shared" si="49"/>
        <v>125625.5075878003</v>
      </c>
      <c r="AA31" s="263">
        <f t="shared" ref="AA31" si="50">IF(AA14="","",AA14+(AA$19*(AA23/AA$28)))</f>
        <v>133428.12961895784</v>
      </c>
    </row>
    <row r="32" spans="1:27" x14ac:dyDescent="0.25">
      <c r="A32" t="s">
        <v>33</v>
      </c>
      <c r="B32" s="40">
        <v>0</v>
      </c>
      <c r="C32" s="40">
        <f t="shared" ref="C32:D34" si="51">IF(C15="","",C15+(C$19*(C24/C$28)))</f>
        <v>0</v>
      </c>
      <c r="D32" s="40">
        <f t="shared" si="51"/>
        <v>193.70318908880077</v>
      </c>
      <c r="E32" s="40">
        <f t="shared" ref="E32:F32" si="52">IF(E15="","",E15+(E$19*(E24/E$28)))</f>
        <v>611.65248569865139</v>
      </c>
      <c r="F32" s="40">
        <f t="shared" si="52"/>
        <v>1066.1770443669625</v>
      </c>
      <c r="G32" s="40">
        <f t="shared" ref="G32:H32" si="53">IF(G15="","",G15+(G$19*(G24/G$28)))</f>
        <v>1962.1038392861087</v>
      </c>
      <c r="H32" s="40">
        <f t="shared" si="53"/>
        <v>8723.4398657240163</v>
      </c>
      <c r="I32" s="40">
        <f t="shared" ref="I32:J32" si="54">IF(I15="","",I15+(I$19*(I24/I$28)))</f>
        <v>16170.455367719413</v>
      </c>
      <c r="J32" s="40">
        <f t="shared" si="54"/>
        <v>19361.32543853797</v>
      </c>
      <c r="K32" s="40">
        <f t="shared" ref="K32:L32" si="55">IF(K15="","",K15+(K$19*(K24/K$28)))</f>
        <v>16479.636779725879</v>
      </c>
      <c r="L32" s="40">
        <f t="shared" si="55"/>
        <v>8692.4078882971298</v>
      </c>
      <c r="M32" s="262">
        <f t="shared" ref="M32:N32" si="56">IF(M15="","",M15+(M$19*(M24/M$28)))</f>
        <v>9935.5406196372442</v>
      </c>
      <c r="N32" s="262">
        <f t="shared" si="56"/>
        <v>17420.81106172943</v>
      </c>
      <c r="O32" s="262">
        <f t="shared" ref="O32:P32" si="57">IF(O15="","",O15+(O$19*(O24/O$28)))</f>
        <v>19270.191387063613</v>
      </c>
      <c r="P32" s="263">
        <f t="shared" si="57"/>
        <v>16676.042085070796</v>
      </c>
      <c r="Q32" s="263">
        <f t="shared" ref="Q32:R32" si="58">IF(Q15="","",Q15+(Q$19*(Q24/Q$28)))</f>
        <v>16485.139443698583</v>
      </c>
      <c r="R32" s="263">
        <f t="shared" si="58"/>
        <v>13356.673757199289</v>
      </c>
      <c r="S32" s="263">
        <f t="shared" ref="S32:T32" si="59">IF(S15="","",S15+(S$19*(S24/S$28)))</f>
        <v>16717.021697763401</v>
      </c>
      <c r="T32" s="263">
        <f t="shared" si="59"/>
        <v>45611.007428197918</v>
      </c>
      <c r="U32" s="263">
        <f t="shared" ref="U32:V32" si="60">IF(U15="","",U15+(U$19*(U24/U$28)))</f>
        <v>62060.152417824109</v>
      </c>
      <c r="V32" s="263">
        <f t="shared" si="60"/>
        <v>62457.499683528309</v>
      </c>
      <c r="W32" s="263">
        <f t="shared" ref="W32:X32" si="61">IF(W15="","",W15+(W$19*(W24/W$28)))</f>
        <v>42955.958457734072</v>
      </c>
      <c r="X32" s="263">
        <f t="shared" si="61"/>
        <v>20675.156472375253</v>
      </c>
      <c r="Y32" s="263">
        <f t="shared" ref="Y32:Z32" si="62">IF(Y15="","",Y15+(Y$19*(Y24/Y$28)))</f>
        <v>24610.217807994948</v>
      </c>
      <c r="Z32" s="263">
        <f t="shared" si="62"/>
        <v>35667.127269234181</v>
      </c>
      <c r="AA32" s="263">
        <f t="shared" ref="AA32" si="63">IF(AA15="","",AA15+(AA$19*(AA24/AA$28)))</f>
        <v>39606.354102884179</v>
      </c>
    </row>
    <row r="33" spans="1:27" x14ac:dyDescent="0.25">
      <c r="A33" t="s">
        <v>34</v>
      </c>
      <c r="B33" s="40">
        <v>0</v>
      </c>
      <c r="C33" s="40">
        <f t="shared" si="51"/>
        <v>0</v>
      </c>
      <c r="D33" s="40">
        <f t="shared" si="51"/>
        <v>339.48946556861773</v>
      </c>
      <c r="E33" s="40">
        <f t="shared" ref="E33:F33" si="64">IF(E16="","",E16+(E$19*(E25/E$28)))</f>
        <v>827.81293596433215</v>
      </c>
      <c r="F33" s="40">
        <f t="shared" si="64"/>
        <v>1170.6987724523663</v>
      </c>
      <c r="G33" s="40">
        <f t="shared" ref="G33:H33" si="65">IF(G16="","",G16+(G$19*(G25/G$28)))</f>
        <v>6322.9093050820438</v>
      </c>
      <c r="H33" s="40">
        <f t="shared" si="65"/>
        <v>54657.546253910303</v>
      </c>
      <c r="I33" s="40">
        <f t="shared" ref="I33:J33" si="66">IF(I16="","",I16+(I$19*(I25/I$28)))</f>
        <v>96336.783333137602</v>
      </c>
      <c r="J33" s="40">
        <f t="shared" si="66"/>
        <v>123578.59271135011</v>
      </c>
      <c r="K33" s="40">
        <f t="shared" ref="K33:L33" si="67">IF(K16="","",K16+(K$19*(K25/K$28)))</f>
        <v>81987.174352525268</v>
      </c>
      <c r="L33" s="40">
        <f t="shared" si="67"/>
        <v>30139.303630314869</v>
      </c>
      <c r="M33" s="262">
        <f t="shared" ref="M33:N33" si="68">IF(M16="","",M16+(M$19*(M25/M$28)))</f>
        <v>39628.886909395223</v>
      </c>
      <c r="N33" s="262">
        <f t="shared" si="68"/>
        <v>62579.690436781515</v>
      </c>
      <c r="O33" s="262">
        <f t="shared" ref="O33:P33" si="69">IF(O16="","",O16+(O$19*(O25/O$28)))</f>
        <v>69734.148447143438</v>
      </c>
      <c r="P33" s="263">
        <f t="shared" si="69"/>
        <v>62165.84667318649</v>
      </c>
      <c r="Q33" s="263">
        <f t="shared" ref="Q33:R33" si="70">IF(Q16="","",Q16+(Q$19*(Q25/Q$28)))</f>
        <v>62531.402115266479</v>
      </c>
      <c r="R33" s="263">
        <f t="shared" si="70"/>
        <v>50615.900610625751</v>
      </c>
      <c r="S33" s="263">
        <f t="shared" ref="S33:T33" si="71">IF(S16="","",S16+(S$19*(S25/S$28)))</f>
        <v>73571.442668082454</v>
      </c>
      <c r="T33" s="263">
        <f t="shared" si="71"/>
        <v>295397.57328747388</v>
      </c>
      <c r="U33" s="263">
        <f t="shared" ref="U33:V33" si="72">IF(U16="","",U16+(U$19*(U25/U$28)))</f>
        <v>397864.85429969284</v>
      </c>
      <c r="V33" s="263">
        <f t="shared" si="72"/>
        <v>425868.86255420034</v>
      </c>
      <c r="W33" s="263">
        <f t="shared" ref="W33:X33" si="73">IF(W16="","",W16+(W$19*(W25/W$28)))</f>
        <v>252756.40783273859</v>
      </c>
      <c r="X33" s="263">
        <f t="shared" si="73"/>
        <v>89486.965459007828</v>
      </c>
      <c r="Y33" s="263">
        <f t="shared" ref="Y33:Z33" si="74">IF(Y16="","",Y16+(Y$19*(Y25/Y$28)))</f>
        <v>103930.02133280391</v>
      </c>
      <c r="Z33" s="263">
        <f t="shared" si="74"/>
        <v>140529.04941330565</v>
      </c>
      <c r="AA33" s="263">
        <f t="shared" ref="AA33" si="75">IF(AA16="","",AA16+(AA$19*(AA25/AA$28)))</f>
        <v>152462.99874269305</v>
      </c>
    </row>
    <row r="34" spans="1:27" x14ac:dyDescent="0.25">
      <c r="A34" t="s">
        <v>35</v>
      </c>
      <c r="B34" s="40">
        <v>0</v>
      </c>
      <c r="C34" s="40">
        <f t="shared" si="51"/>
        <v>0</v>
      </c>
      <c r="D34" s="40">
        <f t="shared" si="51"/>
        <v>137.00830846828285</v>
      </c>
      <c r="E34" s="40">
        <f t="shared" ref="E34:F34" si="76">IF(E17="","",E17+(E$19*(E26/E$28)))</f>
        <v>896.30242015167062</v>
      </c>
      <c r="F34" s="40">
        <f t="shared" si="76"/>
        <v>1681.8722211227732</v>
      </c>
      <c r="G34" s="40">
        <f t="shared" ref="G34:H34" si="77">IF(G17="","",G17+(G$19*(G26/G$28)))</f>
        <v>3019.6351379114376</v>
      </c>
      <c r="H34" s="40">
        <f t="shared" si="77"/>
        <v>14661.773200103846</v>
      </c>
      <c r="I34" s="40">
        <f t="shared" ref="I34:J34" si="78">IF(I17="","",I17+(I$19*(I26/I$28)))</f>
        <v>36678.709775324343</v>
      </c>
      <c r="J34" s="40">
        <f t="shared" si="78"/>
        <v>52482.555511897459</v>
      </c>
      <c r="K34" s="40">
        <f t="shared" ref="K34:L34" si="79">IF(K17="","",K17+(K$19*(K26/K$28)))</f>
        <v>30176.006248542359</v>
      </c>
      <c r="L34" s="40">
        <f t="shared" si="79"/>
        <v>12158.245808463234</v>
      </c>
      <c r="M34" s="262">
        <f t="shared" ref="M34:N34" si="80">IF(M17="","",M17+(M$19*(M26/M$28)))</f>
        <v>16749.141774910222</v>
      </c>
      <c r="N34" s="262">
        <f t="shared" si="80"/>
        <v>27751.90203162004</v>
      </c>
      <c r="O34" s="262">
        <f t="shared" ref="O34:P34" si="81">IF(O17="","",O17+(O$19*(O26/O$28)))</f>
        <v>32650.254429143355</v>
      </c>
      <c r="P34" s="263">
        <f t="shared" si="81"/>
        <v>28549.023655550729</v>
      </c>
      <c r="Q34" s="263">
        <f t="shared" ref="Q34:R34" si="82">IF(Q17="","",Q17+(Q$19*(Q26/Q$28)))</f>
        <v>27943.435010091456</v>
      </c>
      <c r="R34" s="263">
        <f t="shared" si="82"/>
        <v>22273.083630917637</v>
      </c>
      <c r="S34" s="263">
        <f t="shared" ref="S34:T34" si="83">IF(S17="","",S17+(S$19*(S26/S$28)))</f>
        <v>28849.199192997334</v>
      </c>
      <c r="T34" s="263">
        <f t="shared" si="83"/>
        <v>103360.11289714136</v>
      </c>
      <c r="U34" s="263">
        <f t="shared" ref="U34:V34" si="84">IF(U17="","",U17+(U$19*(U26/U$28)))</f>
        <v>149916.01319667327</v>
      </c>
      <c r="V34" s="263">
        <f t="shared" si="84"/>
        <v>169074.40834778443</v>
      </c>
      <c r="W34" s="263">
        <f t="shared" ref="W34:X34" si="85">IF(W17="","",W17+(W$19*(W26/W$28)))</f>
        <v>95949.315438019839</v>
      </c>
      <c r="X34" s="263">
        <f t="shared" si="85"/>
        <v>37310.663247239747</v>
      </c>
      <c r="Y34" s="263">
        <f t="shared" ref="Y34:Z34" si="86">IF(Y17="","",Y17+(Y$19*(Y26/Y$28)))</f>
        <v>44311.331584511376</v>
      </c>
      <c r="Z34" s="263">
        <f t="shared" si="86"/>
        <v>63961.23374416108</v>
      </c>
      <c r="AA34" s="263">
        <f t="shared" ref="AA34" si="87">IF(AA17="","",AA17+(AA$19*(AA26/AA$28)))</f>
        <v>72252.409094376402</v>
      </c>
    </row>
    <row r="35" spans="1:27" x14ac:dyDescent="0.25">
      <c r="A35" t="s">
        <v>36</v>
      </c>
      <c r="B35" s="40">
        <v>0</v>
      </c>
      <c r="C35" s="40">
        <f t="shared" ref="C35:H35" si="88">IF(C18="","",C18+(C$19*(C27/C$28)))</f>
        <v>0</v>
      </c>
      <c r="D35" s="40">
        <f t="shared" si="88"/>
        <v>37.795112791223808</v>
      </c>
      <c r="E35" s="40">
        <f t="shared" si="88"/>
        <v>85.440161764004898</v>
      </c>
      <c r="F35" s="40">
        <f t="shared" si="88"/>
        <v>285.23715928351965</v>
      </c>
      <c r="G35" s="40">
        <f t="shared" si="88"/>
        <v>1229.5862985607218</v>
      </c>
      <c r="H35" s="40">
        <f t="shared" si="88"/>
        <v>7760.6165933413813</v>
      </c>
      <c r="I35" s="40">
        <f t="shared" ref="I35:J35" si="89">IF(I18="","",I18+(I$19*(I27/I$28)))</f>
        <v>9094.0330708316069</v>
      </c>
      <c r="J35" s="40">
        <f t="shared" si="89"/>
        <v>9384.348580624066</v>
      </c>
      <c r="K35" s="40">
        <f t="shared" ref="K35:L35" si="90">IF(K18="","",K18+(K$19*(K27/K$28)))</f>
        <v>5394.5069366972748</v>
      </c>
      <c r="L35" s="40">
        <f t="shared" si="90"/>
        <v>1641.3957852944982</v>
      </c>
      <c r="M35" s="262">
        <f t="shared" ref="M35:N35" si="91">IF(M18="","",M18+(M$19*(M27/M$28)))</f>
        <v>1935.6379849196264</v>
      </c>
      <c r="N35" s="262">
        <f t="shared" si="91"/>
        <v>2853.7875177618348</v>
      </c>
      <c r="O35" s="262">
        <f t="shared" ref="O35:P35" si="92">IF(O18="","",O18+(O$19*(O27/O$28)))</f>
        <v>2724.7167166733038</v>
      </c>
      <c r="P35" s="263">
        <f t="shared" si="92"/>
        <v>2426.3151056165557</v>
      </c>
      <c r="Q35" s="263">
        <f t="shared" ref="Q35:R35" si="93">IF(Q18="","",Q18+(Q$19*(Q27/Q$28)))</f>
        <v>2750.24226899529</v>
      </c>
      <c r="R35" s="263">
        <f t="shared" si="93"/>
        <v>2670.4729741970345</v>
      </c>
      <c r="S35" s="263">
        <f t="shared" ref="S35:T35" si="94">IF(S18="","",S18+(S$19*(S27/S$28)))</f>
        <v>5010.7225915059289</v>
      </c>
      <c r="T35" s="263">
        <f t="shared" si="94"/>
        <v>21986.374024709963</v>
      </c>
      <c r="U35" s="263">
        <f t="shared" ref="U35:V35" si="95">IF(U18="","",U18+(U$19*(U27/U$28)))</f>
        <v>24527.816448765025</v>
      </c>
      <c r="V35" s="263">
        <f t="shared" si="95"/>
        <v>24815.408494948628</v>
      </c>
      <c r="W35" s="263">
        <f t="shared" ref="W35:X35" si="96">IF(W18="","",W18+(W$19*(W27/W$28)))</f>
        <v>14102.541642032545</v>
      </c>
      <c r="X35" s="263">
        <f t="shared" si="96"/>
        <v>4453.4973260348424</v>
      </c>
      <c r="Y35" s="263">
        <f t="shared" ref="Y35:Z35" si="97">IF(Y18="","",Y18+(Y$19*(Y27/Y$28)))</f>
        <v>4332.2820757308755</v>
      </c>
      <c r="Z35" s="263">
        <f t="shared" si="97"/>
        <v>5173.0665226724577</v>
      </c>
      <c r="AA35" s="263">
        <f t="shared" ref="AA35" si="98">IF(AA18="","",AA18+(AA$19*(AA27/AA$28)))</f>
        <v>5569.902958534175</v>
      </c>
    </row>
    <row r="36" spans="1:27" x14ac:dyDescent="0.25">
      <c r="A36" s="28" t="s">
        <v>30</v>
      </c>
      <c r="B36" s="39">
        <f t="shared" ref="B36:C36" si="99">SUM(B31:B35)</f>
        <v>0</v>
      </c>
      <c r="C36" s="39">
        <f t="shared" si="99"/>
        <v>0</v>
      </c>
      <c r="D36" s="39">
        <f t="shared" ref="D36:E36" si="100">SUM(D31:D35)</f>
        <v>1642.4529393774922</v>
      </c>
      <c r="E36" s="39">
        <f t="shared" si="100"/>
        <v>3927.9112676267696</v>
      </c>
      <c r="F36" s="39">
        <f t="shared" ref="F36:G36" si="101">SUM(F31:F35)</f>
        <v>5672.7844165525421</v>
      </c>
      <c r="G36" s="39">
        <f t="shared" si="101"/>
        <v>16395.098941836157</v>
      </c>
      <c r="H36" s="39">
        <f t="shared" ref="H36:I36" si="102">SUM(H31:H35)</f>
        <v>111461.24053309568</v>
      </c>
      <c r="I36" s="39">
        <f t="shared" si="102"/>
        <v>207697.3536939784</v>
      </c>
      <c r="J36" s="39">
        <f t="shared" ref="J36:K36" si="103">SUM(J31:J35)</f>
        <v>260162.4755172873</v>
      </c>
      <c r="K36" s="39">
        <f t="shared" si="103"/>
        <v>172388.44270859583</v>
      </c>
      <c r="L36" s="39">
        <f t="shared" ref="L36:M36" si="104">SUM(L31:L35)</f>
        <v>70717.533839102936</v>
      </c>
      <c r="M36" s="39">
        <f t="shared" si="104"/>
        <v>97722.955743977407</v>
      </c>
      <c r="N36" s="39">
        <f t="shared" ref="N36:O36" si="105">SUM(N31:N35)</f>
        <v>167638.87454110701</v>
      </c>
      <c r="O36" s="39">
        <f t="shared" si="105"/>
        <v>194483.86028068533</v>
      </c>
      <c r="P36" s="39">
        <f t="shared" ref="P36:Q36" si="106">SUM(P31:P35)</f>
        <v>166761.17770868717</v>
      </c>
      <c r="Q36" s="39">
        <f t="shared" si="106"/>
        <v>158224.25455942078</v>
      </c>
      <c r="R36" s="39">
        <f t="shared" ref="R36:S36" si="107">SUM(R31:R35)</f>
        <v>117868.13817691417</v>
      </c>
      <c r="S36" s="39">
        <f t="shared" si="107"/>
        <v>155122.20803290367</v>
      </c>
      <c r="T36" s="39">
        <f t="shared" ref="T36:U36" si="108">SUM(T31:T35)</f>
        <v>569791.87118691648</v>
      </c>
      <c r="U36" s="39">
        <f t="shared" si="108"/>
        <v>782735.73157119122</v>
      </c>
      <c r="V36" s="39">
        <f t="shared" ref="V36:W36" si="109">SUM(V31:V35)</f>
        <v>821653.41222384677</v>
      </c>
      <c r="W36" s="39">
        <f t="shared" si="109"/>
        <v>494908.79160752334</v>
      </c>
      <c r="X36" s="39">
        <f t="shared" ref="X36:Y36" si="110">SUM(X31:X35)</f>
        <v>196054.55301880068</v>
      </c>
      <c r="Y36" s="39">
        <f t="shared" si="110"/>
        <v>247813.11544398798</v>
      </c>
      <c r="Z36" s="39">
        <f t="shared" ref="Z36:AA36" si="111">SUM(Z31:Z35)</f>
        <v>370955.9845371737</v>
      </c>
      <c r="AA36" s="39">
        <f t="shared" si="111"/>
        <v>403319.79451744561</v>
      </c>
    </row>
    <row r="37" spans="1:27" x14ac:dyDescent="0.25">
      <c r="A37" s="28"/>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row>
    <row r="38" spans="1:27" x14ac:dyDescent="0.25">
      <c r="A38" s="28"/>
      <c r="B38" s="71"/>
      <c r="C38" s="71"/>
      <c r="D38" s="71"/>
      <c r="E38" s="71"/>
      <c r="F38" s="71"/>
      <c r="G38" s="71"/>
      <c r="H38" s="71"/>
      <c r="I38" s="71"/>
      <c r="J38" s="71"/>
      <c r="K38" s="71"/>
      <c r="L38" s="71"/>
      <c r="M38" s="30" t="s">
        <v>144</v>
      </c>
      <c r="N38" s="71"/>
      <c r="O38" s="71"/>
      <c r="P38" s="30" t="s">
        <v>145</v>
      </c>
      <c r="Q38" s="71"/>
      <c r="R38" s="71"/>
      <c r="S38" s="71"/>
      <c r="T38" s="71"/>
      <c r="U38" s="71"/>
      <c r="V38" s="71"/>
      <c r="W38" s="71"/>
      <c r="X38" s="71"/>
      <c r="Y38" s="71"/>
      <c r="AA38" s="30" t="s">
        <v>146</v>
      </c>
    </row>
    <row r="39" spans="1:27" x14ac:dyDescent="0.25">
      <c r="A39" s="28"/>
      <c r="B39" s="71"/>
      <c r="C39" s="71"/>
      <c r="D39" s="71"/>
      <c r="E39" s="71"/>
      <c r="F39" s="71"/>
      <c r="G39" s="71"/>
      <c r="H39" s="71"/>
      <c r="I39" s="71"/>
      <c r="J39" s="71"/>
      <c r="K39" s="71"/>
      <c r="L39" t="s">
        <v>32</v>
      </c>
      <c r="M39" s="264">
        <f>SUM(B31:L31)</f>
        <v>194639.01286752892</v>
      </c>
      <c r="N39" s="71"/>
      <c r="O39" t="s">
        <v>32</v>
      </c>
      <c r="P39" s="265">
        <f>SUM(M31:O31)</f>
        <v>156610.98124899087</v>
      </c>
      <c r="Q39" s="71"/>
      <c r="R39" s="71"/>
      <c r="S39" s="71"/>
      <c r="T39" s="71"/>
      <c r="U39" s="71"/>
      <c r="V39" s="71"/>
      <c r="W39" s="71"/>
      <c r="X39" s="71"/>
      <c r="Y39" s="71"/>
      <c r="Z39" t="s">
        <v>32</v>
      </c>
      <c r="AA39" s="266">
        <f>SUM(P31:AA31)</f>
        <v>1019580.4854990211</v>
      </c>
    </row>
    <row r="40" spans="1:27" x14ac:dyDescent="0.25">
      <c r="A40" s="28"/>
      <c r="B40" s="71"/>
      <c r="C40" s="71"/>
      <c r="D40" s="71"/>
      <c r="E40" s="71"/>
      <c r="F40" s="71"/>
      <c r="G40" s="71"/>
      <c r="H40" s="71"/>
      <c r="I40" s="71"/>
      <c r="J40" s="71"/>
      <c r="K40" s="71"/>
      <c r="L40" t="s">
        <v>33</v>
      </c>
      <c r="M40" s="264">
        <f t="shared" ref="M40:M44" si="112">SUM(B32:L32)</f>
        <v>73260.901898444921</v>
      </c>
      <c r="N40" s="71"/>
      <c r="O40" t="s">
        <v>33</v>
      </c>
      <c r="P40" s="265">
        <f t="shared" ref="P40:P43" si="113">SUM(M32:O32)</f>
        <v>46626.543068430285</v>
      </c>
      <c r="Q40" s="71"/>
      <c r="R40" s="71"/>
      <c r="S40" s="71"/>
      <c r="T40" s="71"/>
      <c r="U40" s="71"/>
      <c r="V40" s="71"/>
      <c r="W40" s="71"/>
      <c r="X40" s="71"/>
      <c r="Y40" s="71"/>
      <c r="Z40" t="s">
        <v>33</v>
      </c>
      <c r="AA40" s="266">
        <f t="shared" ref="AA40:AA42" si="114">SUM(P32:AA32)</f>
        <v>396878.35062350502</v>
      </c>
    </row>
    <row r="41" spans="1:27" x14ac:dyDescent="0.25">
      <c r="A41" s="28"/>
      <c r="B41" s="71"/>
      <c r="C41" s="71"/>
      <c r="D41" s="71"/>
      <c r="E41" s="71"/>
      <c r="F41" s="71"/>
      <c r="G41" s="71"/>
      <c r="H41" s="71"/>
      <c r="I41" s="71"/>
      <c r="J41" s="71"/>
      <c r="K41" s="71"/>
      <c r="L41" t="s">
        <v>34</v>
      </c>
      <c r="M41" s="264">
        <f t="shared" si="112"/>
        <v>395360.31076030555</v>
      </c>
      <c r="N41" s="71"/>
      <c r="O41" t="s">
        <v>34</v>
      </c>
      <c r="P41" s="265">
        <f t="shared" si="113"/>
        <v>171942.72579332016</v>
      </c>
      <c r="Q41" s="71"/>
      <c r="R41" s="71"/>
      <c r="S41" s="71"/>
      <c r="T41" s="71"/>
      <c r="U41" s="71"/>
      <c r="V41" s="71"/>
      <c r="W41" s="71"/>
      <c r="X41" s="71"/>
      <c r="Y41" s="71"/>
      <c r="Z41" t="s">
        <v>34</v>
      </c>
      <c r="AA41" s="266">
        <f t="shared" si="114"/>
        <v>2107181.3249890772</v>
      </c>
    </row>
    <row r="42" spans="1:27" x14ac:dyDescent="0.25">
      <c r="A42" s="28"/>
      <c r="B42" s="71"/>
      <c r="C42" s="71"/>
      <c r="D42" s="71"/>
      <c r="E42" s="71"/>
      <c r="F42" s="71"/>
      <c r="G42" s="71"/>
      <c r="H42" s="71"/>
      <c r="I42" s="71"/>
      <c r="J42" s="71"/>
      <c r="K42" s="71"/>
      <c r="L42" t="s">
        <v>35</v>
      </c>
      <c r="M42" s="264">
        <f t="shared" si="112"/>
        <v>151892.10863198541</v>
      </c>
      <c r="N42" s="71"/>
      <c r="O42" t="s">
        <v>35</v>
      </c>
      <c r="P42" s="265">
        <f t="shared" si="113"/>
        <v>77151.298235673617</v>
      </c>
      <c r="Q42" s="71"/>
      <c r="R42" s="71"/>
      <c r="S42" s="71"/>
      <c r="T42" s="71"/>
      <c r="U42" s="71"/>
      <c r="V42" s="71"/>
      <c r="W42" s="71"/>
      <c r="X42" s="71"/>
      <c r="Y42" s="71"/>
      <c r="Z42" t="s">
        <v>35</v>
      </c>
      <c r="AA42" s="266">
        <f t="shared" si="114"/>
        <v>843750.22903946461</v>
      </c>
    </row>
    <row r="43" spans="1:27" x14ac:dyDescent="0.25">
      <c r="A43" s="28"/>
      <c r="B43" s="71"/>
      <c r="C43" s="71"/>
      <c r="D43" s="71"/>
      <c r="E43" s="71"/>
      <c r="F43" s="71"/>
      <c r="G43" s="71"/>
      <c r="H43" s="71"/>
      <c r="I43" s="71"/>
      <c r="J43" s="71"/>
      <c r="K43" s="71"/>
      <c r="L43" t="s">
        <v>36</v>
      </c>
      <c r="M43" s="264">
        <f t="shared" si="112"/>
        <v>34912.959699188294</v>
      </c>
      <c r="N43" s="71"/>
      <c r="O43" t="s">
        <v>36</v>
      </c>
      <c r="P43" s="265">
        <f t="shared" si="113"/>
        <v>7514.1422193547642</v>
      </c>
      <c r="Q43" s="71"/>
      <c r="R43" s="71"/>
      <c r="S43" s="71"/>
      <c r="T43" s="71"/>
      <c r="U43" s="71"/>
      <c r="V43" s="71"/>
      <c r="W43" s="71"/>
      <c r="X43" s="71"/>
      <c r="Y43" s="71"/>
      <c r="Z43" t="s">
        <v>36</v>
      </c>
      <c r="AA43" s="266">
        <f>SUM(P35:AA35)</f>
        <v>117818.64243374333</v>
      </c>
    </row>
    <row r="44" spans="1:27" x14ac:dyDescent="0.25">
      <c r="A44" s="28"/>
      <c r="B44" s="71"/>
      <c r="C44" s="71"/>
      <c r="D44" s="71"/>
      <c r="E44" s="71"/>
      <c r="F44" s="71"/>
      <c r="G44" s="71"/>
      <c r="H44" s="71"/>
      <c r="I44" s="71"/>
      <c r="J44" s="71"/>
      <c r="K44" s="71"/>
      <c r="L44" s="28" t="s">
        <v>30</v>
      </c>
      <c r="M44" s="264">
        <f t="shared" si="112"/>
        <v>850065.29385745304</v>
      </c>
      <c r="N44" s="71"/>
      <c r="O44" s="28" t="s">
        <v>30</v>
      </c>
      <c r="P44" s="265">
        <f>SUM(M36:O36)</f>
        <v>459845.69056576979</v>
      </c>
      <c r="Q44" s="71"/>
      <c r="R44" s="71"/>
      <c r="S44" s="71"/>
      <c r="T44" s="71"/>
      <c r="U44" s="71"/>
      <c r="V44" s="71"/>
      <c r="W44" s="71"/>
      <c r="X44" s="71"/>
      <c r="Y44" s="71"/>
      <c r="Z44" s="28" t="s">
        <v>30</v>
      </c>
      <c r="AA44" s="266">
        <f>SUM(P36:AA36)</f>
        <v>4485209.0325848116</v>
      </c>
    </row>
    <row r="45" spans="1:27" x14ac:dyDescent="0.25">
      <c r="A45" s="28"/>
      <c r="B45" s="71"/>
      <c r="C45" s="71"/>
      <c r="D45" s="71"/>
      <c r="E45" s="71"/>
      <c r="F45" s="71"/>
      <c r="G45" s="71"/>
      <c r="H45" s="71"/>
      <c r="I45" s="71"/>
      <c r="J45" s="71"/>
      <c r="K45" s="71"/>
      <c r="L45" s="28"/>
      <c r="M45" s="271"/>
      <c r="N45" s="272"/>
      <c r="O45" s="28"/>
      <c r="P45" s="271"/>
      <c r="Q45" s="71"/>
      <c r="R45" s="71"/>
      <c r="S45" s="71"/>
      <c r="T45" s="71"/>
      <c r="U45" s="71"/>
      <c r="V45" s="71"/>
      <c r="W45" s="71"/>
      <c r="X45" s="71"/>
      <c r="Y45" s="71"/>
      <c r="Z45" s="71"/>
      <c r="AA45" s="71"/>
    </row>
    <row r="46" spans="1:27" s="73" customFormat="1" ht="15.75" thickBot="1" x14ac:dyDescent="0.3"/>
    <row r="47" spans="1:27" ht="15.75" x14ac:dyDescent="0.25">
      <c r="A47" s="70" t="s">
        <v>52</v>
      </c>
    </row>
    <row r="49" spans="1:27" x14ac:dyDescent="0.25">
      <c r="B49" s="10">
        <v>45627</v>
      </c>
      <c r="C49" s="10">
        <v>45658</v>
      </c>
      <c r="D49" s="10">
        <v>45689</v>
      </c>
      <c r="E49" s="10">
        <v>45717</v>
      </c>
      <c r="F49" s="10">
        <v>45748</v>
      </c>
      <c r="G49" s="10">
        <v>45778</v>
      </c>
      <c r="H49" s="10">
        <v>45809</v>
      </c>
      <c r="I49" s="10">
        <v>45839</v>
      </c>
      <c r="J49" s="10">
        <v>45870</v>
      </c>
      <c r="K49" s="10">
        <v>45901</v>
      </c>
      <c r="L49" s="10">
        <v>45931</v>
      </c>
      <c r="M49" s="10">
        <v>45962</v>
      </c>
      <c r="N49" s="10">
        <v>45992</v>
      </c>
      <c r="O49" s="10">
        <v>46023</v>
      </c>
      <c r="P49" s="10">
        <v>46054</v>
      </c>
      <c r="Q49" s="10">
        <v>46082</v>
      </c>
      <c r="R49" s="10">
        <v>46113</v>
      </c>
      <c r="S49" s="10">
        <v>46143</v>
      </c>
      <c r="T49" s="10">
        <v>46174</v>
      </c>
      <c r="U49" s="10">
        <v>46204</v>
      </c>
      <c r="V49" s="10">
        <v>46235</v>
      </c>
      <c r="W49" s="10">
        <v>46266</v>
      </c>
      <c r="X49" s="10">
        <v>46296</v>
      </c>
      <c r="Y49" s="10">
        <v>46327</v>
      </c>
      <c r="Z49" s="10">
        <v>46357</v>
      </c>
      <c r="AA49" s="10">
        <v>46388</v>
      </c>
    </row>
    <row r="50" spans="1:27" x14ac:dyDescent="0.25">
      <c r="A50" s="31" t="s">
        <v>53</v>
      </c>
      <c r="B50" s="25"/>
      <c r="C50" s="25"/>
      <c r="D50" s="25"/>
      <c r="E50" s="25"/>
      <c r="F50" s="25"/>
      <c r="G50" s="25"/>
      <c r="H50" s="25"/>
      <c r="I50" s="25"/>
      <c r="J50" s="25"/>
      <c r="K50" s="25"/>
      <c r="L50" s="25"/>
      <c r="M50" s="267" t="s">
        <v>147</v>
      </c>
      <c r="N50" s="268"/>
      <c r="O50" s="25"/>
      <c r="P50" s="25"/>
      <c r="Q50" s="25"/>
      <c r="R50" s="25"/>
      <c r="S50" s="25"/>
      <c r="T50" s="25"/>
      <c r="U50" s="25"/>
      <c r="V50" s="25"/>
      <c r="W50" s="25"/>
      <c r="X50" s="25"/>
      <c r="Y50" s="25"/>
      <c r="Z50" s="25"/>
      <c r="AA50" s="25"/>
    </row>
    <row r="51" spans="1:27" x14ac:dyDescent="0.25">
      <c r="A51" t="s">
        <v>32</v>
      </c>
      <c r="B51" s="37">
        <v>0</v>
      </c>
      <c r="C51" s="37">
        <v>0</v>
      </c>
      <c r="D51" s="37">
        <v>36672.44</v>
      </c>
      <c r="E51" s="37">
        <v>75825.42</v>
      </c>
      <c r="F51" s="37">
        <v>51442.9</v>
      </c>
      <c r="G51" s="37">
        <v>48245.86</v>
      </c>
      <c r="H51" s="37">
        <v>59020.79</v>
      </c>
      <c r="I51" s="37">
        <v>93212.58</v>
      </c>
      <c r="J51" s="37">
        <v>96037.54</v>
      </c>
      <c r="K51" s="37">
        <v>76181.570000000007</v>
      </c>
      <c r="L51" s="37">
        <v>62342.91</v>
      </c>
      <c r="M51" s="269">
        <f>'[1]TDR (M4)'!L22</f>
        <v>60966.123158048918</v>
      </c>
      <c r="N51" s="269">
        <f>'[1]TDR (M4)'!M22</f>
        <v>76445.060156699052</v>
      </c>
      <c r="O51" s="269">
        <f>'[1]TDR (M4)'!N22</f>
        <v>97922.429843209204</v>
      </c>
      <c r="P51" s="256"/>
      <c r="Q51" s="256"/>
      <c r="R51" s="256"/>
      <c r="S51" s="256"/>
      <c r="T51" s="256"/>
      <c r="U51" s="256"/>
      <c r="V51" s="256"/>
      <c r="W51" s="256"/>
      <c r="X51" s="256"/>
      <c r="Y51" s="256"/>
      <c r="Z51" s="256"/>
      <c r="AA51" s="256"/>
    </row>
    <row r="52" spans="1:27" x14ac:dyDescent="0.25">
      <c r="A52" t="s">
        <v>33</v>
      </c>
      <c r="B52" s="37">
        <v>0</v>
      </c>
      <c r="C52" s="37">
        <v>0</v>
      </c>
      <c r="D52" s="37">
        <v>4010.27</v>
      </c>
      <c r="E52" s="37">
        <v>8419.99</v>
      </c>
      <c r="F52" s="37">
        <v>6682.08</v>
      </c>
      <c r="G52" s="37">
        <v>6579.13</v>
      </c>
      <c r="H52" s="37">
        <v>7604.37</v>
      </c>
      <c r="I52" s="37">
        <v>10111.24</v>
      </c>
      <c r="J52" s="37">
        <v>9946.41</v>
      </c>
      <c r="K52" s="37">
        <v>8947.2800000000007</v>
      </c>
      <c r="L52" s="37">
        <v>7934.22</v>
      </c>
      <c r="M52" s="269">
        <f>'[1]TDR (M4)'!L23</f>
        <v>6851.0700293564305</v>
      </c>
      <c r="N52" s="269">
        <f>'[1]TDR (M4)'!M23</f>
        <v>8467.0629512656706</v>
      </c>
      <c r="O52" s="269">
        <f>'[1]TDR (M4)'!N23</f>
        <v>9473.8286732496053</v>
      </c>
      <c r="P52" s="256"/>
      <c r="Q52" s="256"/>
      <c r="R52" s="256"/>
      <c r="S52" s="256"/>
      <c r="T52" s="256"/>
      <c r="U52" s="256"/>
      <c r="V52" s="256"/>
      <c r="W52" s="256"/>
      <c r="X52" s="256"/>
      <c r="Y52" s="256"/>
      <c r="Z52" s="256"/>
      <c r="AA52" s="256"/>
    </row>
    <row r="53" spans="1:27" x14ac:dyDescent="0.25">
      <c r="A53" t="s">
        <v>34</v>
      </c>
      <c r="B53" s="37">
        <v>0</v>
      </c>
      <c r="C53" s="37">
        <v>0</v>
      </c>
      <c r="D53" s="37">
        <v>15908.98</v>
      </c>
      <c r="E53" s="37">
        <v>39407.72</v>
      </c>
      <c r="F53" s="37">
        <v>35138.959999999999</v>
      </c>
      <c r="G53" s="37">
        <v>35838.61</v>
      </c>
      <c r="H53" s="37">
        <v>39877.769999999997</v>
      </c>
      <c r="I53" s="37">
        <v>48511.76</v>
      </c>
      <c r="J53" s="37">
        <v>47580.36</v>
      </c>
      <c r="K53" s="37">
        <v>44166.99</v>
      </c>
      <c r="L53" s="37">
        <v>41457.53</v>
      </c>
      <c r="M53" s="269">
        <f>'[1]TDR (M4)'!L24</f>
        <v>38613.693517900909</v>
      </c>
      <c r="N53" s="269">
        <f>'[1]TDR (M4)'!M24</f>
        <v>41643.467417266445</v>
      </c>
      <c r="O53" s="269">
        <f>'[1]TDR (M4)'!N24</f>
        <v>42710.250434862894</v>
      </c>
      <c r="P53" s="256"/>
      <c r="Q53" s="256"/>
      <c r="R53" s="256"/>
      <c r="S53" s="256"/>
      <c r="T53" s="256"/>
      <c r="U53" s="256"/>
      <c r="V53" s="256"/>
      <c r="W53" s="256"/>
      <c r="X53" s="256"/>
      <c r="Y53" s="256"/>
      <c r="Z53" s="256"/>
      <c r="AA53" s="256"/>
    </row>
    <row r="54" spans="1:27" x14ac:dyDescent="0.25">
      <c r="A54" t="s">
        <v>35</v>
      </c>
      <c r="B54" s="37">
        <v>0</v>
      </c>
      <c r="C54" s="37">
        <v>0</v>
      </c>
      <c r="D54" s="37">
        <v>3433.5</v>
      </c>
      <c r="E54" s="37">
        <v>12117.53</v>
      </c>
      <c r="F54" s="37">
        <v>12025.75</v>
      </c>
      <c r="G54" s="37">
        <v>12505.63</v>
      </c>
      <c r="H54" s="37">
        <v>12522.5</v>
      </c>
      <c r="I54" s="37">
        <v>15277.31</v>
      </c>
      <c r="J54" s="37">
        <v>13630.76</v>
      </c>
      <c r="K54" s="37">
        <v>13581.23</v>
      </c>
      <c r="L54" s="37">
        <v>13653.01</v>
      </c>
      <c r="M54" s="269">
        <f>'[1]TDR (M4)'!L25</f>
        <v>12222.585294159046</v>
      </c>
      <c r="N54" s="269">
        <f>'[1]TDR (M4)'!M25</f>
        <v>12390.936659843612</v>
      </c>
      <c r="O54" s="269">
        <f>'[1]TDR (M4)'!N25</f>
        <v>13129.784500619275</v>
      </c>
      <c r="P54" s="256"/>
      <c r="Q54" s="256"/>
      <c r="R54" s="256"/>
      <c r="S54" s="256"/>
      <c r="T54" s="256"/>
      <c r="U54" s="256"/>
      <c r="V54" s="256"/>
      <c r="W54" s="256"/>
      <c r="X54" s="256"/>
      <c r="Y54" s="256"/>
      <c r="Z54" s="256"/>
      <c r="AA54" s="256"/>
    </row>
    <row r="55" spans="1:27" x14ac:dyDescent="0.25">
      <c r="A55" t="s">
        <v>36</v>
      </c>
      <c r="B55" s="37">
        <v>0</v>
      </c>
      <c r="C55" s="37">
        <v>0</v>
      </c>
      <c r="D55" s="37">
        <v>362</v>
      </c>
      <c r="E55" s="37">
        <v>2085.83</v>
      </c>
      <c r="F55" s="37">
        <v>2374.89</v>
      </c>
      <c r="G55" s="37">
        <v>2277.65</v>
      </c>
      <c r="H55" s="37">
        <v>2832.23</v>
      </c>
      <c r="I55" s="37">
        <v>3351.94</v>
      </c>
      <c r="J55" s="37">
        <v>3234.88</v>
      </c>
      <c r="K55" s="37">
        <v>3016.6</v>
      </c>
      <c r="L55" s="37">
        <v>2962.82</v>
      </c>
      <c r="M55" s="269">
        <f>'[1]TDR (M4)'!L26</f>
        <v>2405.6358743224937</v>
      </c>
      <c r="N55" s="269">
        <f>'[1]TDR (M4)'!M26</f>
        <v>2330.6532502826012</v>
      </c>
      <c r="O55" s="269">
        <f>'[1]TDR (M4)'!N26</f>
        <v>2263.6237571788047</v>
      </c>
      <c r="P55" s="256"/>
      <c r="Q55" s="256"/>
      <c r="R55" s="256"/>
      <c r="S55" s="256"/>
      <c r="T55" s="256"/>
      <c r="U55" s="256"/>
      <c r="V55" s="256"/>
      <c r="W55" s="256"/>
      <c r="X55" s="256"/>
      <c r="Y55" s="256"/>
      <c r="Z55" s="256"/>
      <c r="AA55" s="256"/>
    </row>
    <row r="56" spans="1:27" x14ac:dyDescent="0.25">
      <c r="A56" s="28" t="s">
        <v>30</v>
      </c>
      <c r="B56" s="39">
        <f t="shared" ref="B56:G56" si="115">SUM(B51:B55)</f>
        <v>0</v>
      </c>
      <c r="C56" s="39">
        <f t="shared" si="115"/>
        <v>0</v>
      </c>
      <c r="D56" s="39">
        <f t="shared" si="115"/>
        <v>60387.19</v>
      </c>
      <c r="E56" s="39">
        <f t="shared" si="115"/>
        <v>137856.49</v>
      </c>
      <c r="F56" s="39">
        <f t="shared" si="115"/>
        <v>107664.58</v>
      </c>
      <c r="G56" s="39">
        <f t="shared" si="115"/>
        <v>105446.88</v>
      </c>
      <c r="H56" s="39">
        <f t="shared" ref="H56:I56" si="116">SUM(H51:H55)</f>
        <v>121857.65999999999</v>
      </c>
      <c r="I56" s="39">
        <f t="shared" si="116"/>
        <v>170464.83000000002</v>
      </c>
      <c r="J56" s="39">
        <f t="shared" ref="J56:K56" si="117">SUM(J51:J55)</f>
        <v>170429.95</v>
      </c>
      <c r="K56" s="39">
        <f t="shared" si="117"/>
        <v>145893.67000000001</v>
      </c>
      <c r="L56" s="39">
        <f t="shared" ref="L56:M56" si="118">SUM(L51:L55)</f>
        <v>128350.49</v>
      </c>
      <c r="M56" s="39">
        <f t="shared" si="118"/>
        <v>121059.10787378781</v>
      </c>
      <c r="N56" s="39">
        <f t="shared" ref="N56:O56" si="119">SUM(N51:N55)</f>
        <v>141277.18043535738</v>
      </c>
      <c r="O56" s="39">
        <f t="shared" si="119"/>
        <v>165499.9172091198</v>
      </c>
      <c r="P56" s="39">
        <f t="shared" ref="P56:Q56" si="120">SUM(P51:P55)</f>
        <v>0</v>
      </c>
      <c r="Q56" s="39">
        <f t="shared" si="120"/>
        <v>0</v>
      </c>
      <c r="R56" s="39">
        <f t="shared" ref="R56:S56" si="121">SUM(R51:R55)</f>
        <v>0</v>
      </c>
      <c r="S56" s="39">
        <f t="shared" si="121"/>
        <v>0</v>
      </c>
      <c r="T56" s="39">
        <f t="shared" ref="T56:U56" si="122">SUM(T51:T55)</f>
        <v>0</v>
      </c>
      <c r="U56" s="39">
        <f t="shared" si="122"/>
        <v>0</v>
      </c>
      <c r="V56" s="39">
        <f t="shared" ref="V56:W56" si="123">SUM(V51:V55)</f>
        <v>0</v>
      </c>
      <c r="W56" s="39">
        <f t="shared" si="123"/>
        <v>0</v>
      </c>
      <c r="X56" s="39">
        <f t="shared" ref="X56:Y56" si="124">SUM(X51:X55)</f>
        <v>0</v>
      </c>
      <c r="Y56" s="39">
        <f t="shared" si="124"/>
        <v>0</v>
      </c>
      <c r="Z56" s="39">
        <f t="shared" ref="Z56:AA56" si="125">SUM(Z51:Z55)</f>
        <v>0</v>
      </c>
      <c r="AA56" s="39">
        <f t="shared" si="125"/>
        <v>0</v>
      </c>
    </row>
    <row r="57" spans="1:27" x14ac:dyDescent="0.25">
      <c r="A57" s="28"/>
      <c r="B57" s="71"/>
      <c r="C57" s="71"/>
      <c r="D57" s="71"/>
      <c r="E57" s="71"/>
      <c r="F57" s="71"/>
      <c r="G57" s="71"/>
      <c r="H57" s="71"/>
      <c r="I57" s="71"/>
      <c r="J57" s="71"/>
      <c r="K57" s="71"/>
      <c r="L57" s="71"/>
      <c r="M57" s="267" t="s">
        <v>148</v>
      </c>
      <c r="N57" s="270"/>
      <c r="O57" s="71"/>
      <c r="P57" s="71"/>
      <c r="Q57" s="71"/>
      <c r="R57" s="71"/>
      <c r="S57" s="71"/>
      <c r="T57" s="71"/>
      <c r="U57" s="71"/>
      <c r="V57" s="71"/>
      <c r="W57" s="71"/>
      <c r="X57" s="71"/>
      <c r="Y57" s="71"/>
      <c r="Z57" s="71"/>
      <c r="AA57" s="71"/>
    </row>
    <row r="58" spans="1:27" x14ac:dyDescent="0.25">
      <c r="A58" s="31" t="s">
        <v>54</v>
      </c>
      <c r="B58" s="37">
        <v>0</v>
      </c>
      <c r="C58" s="37">
        <v>0</v>
      </c>
      <c r="D58" s="37">
        <v>-1512.4899999999998</v>
      </c>
      <c r="E58" s="37">
        <v>-3602.380000000001</v>
      </c>
      <c r="F58" s="37">
        <v>-2409.36</v>
      </c>
      <c r="G58" s="37">
        <v>-2083.2699999999995</v>
      </c>
      <c r="H58" s="37">
        <v>-2324.54</v>
      </c>
      <c r="I58" s="37">
        <v>-3514.0400000000004</v>
      </c>
      <c r="J58" s="37">
        <v>-3710.4099999999994</v>
      </c>
      <c r="K58" s="37">
        <v>-2962.8700000000003</v>
      </c>
      <c r="L58" s="37">
        <v>-2439.16</v>
      </c>
      <c r="M58" s="269">
        <f>'[1]TDR (M4)'!L36</f>
        <v>-2592.8926991538547</v>
      </c>
      <c r="N58" s="269">
        <f>'[1]TDR (M4)'!M36</f>
        <v>-3251.2127735731456</v>
      </c>
      <c r="O58" s="269">
        <f>'[1]TDR (M4)'!N36</f>
        <v>-4164.6465327251472</v>
      </c>
      <c r="P58" s="256"/>
      <c r="Q58" s="256"/>
      <c r="R58" s="256"/>
      <c r="S58" s="256"/>
      <c r="T58" s="256"/>
      <c r="U58" s="256"/>
      <c r="V58" s="256"/>
      <c r="W58" s="256"/>
      <c r="X58" s="256"/>
      <c r="Y58" s="256"/>
      <c r="Z58" s="256"/>
      <c r="AA58" s="256"/>
    </row>
    <row r="59" spans="1:27" x14ac:dyDescent="0.25">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row>
    <row r="60" spans="1:27" x14ac:dyDescent="0.25">
      <c r="A60" s="24" t="s">
        <v>31</v>
      </c>
    </row>
    <row r="61" spans="1:27" x14ac:dyDescent="0.25">
      <c r="A61" t="s">
        <v>32</v>
      </c>
      <c r="B61" s="72">
        <f>+B23</f>
        <v>0</v>
      </c>
      <c r="C61" s="72">
        <f>+C23</f>
        <v>1519085073</v>
      </c>
      <c r="D61" s="72">
        <f t="shared" ref="D61:E61" si="126">+D23</f>
        <v>1469680772</v>
      </c>
      <c r="E61" s="72">
        <f t="shared" si="126"/>
        <v>1182786264</v>
      </c>
      <c r="F61" s="72">
        <f t="shared" ref="F61:G61" si="127">+F23</f>
        <v>792914133</v>
      </c>
      <c r="G61" s="72">
        <f t="shared" si="127"/>
        <v>741131906</v>
      </c>
      <c r="H61" s="72">
        <f t="shared" ref="H61:I61" si="128">+H23</f>
        <v>902805020</v>
      </c>
      <c r="I61" s="72">
        <f t="shared" si="128"/>
        <v>1422740932</v>
      </c>
      <c r="J61" s="72">
        <f t="shared" ref="J61:K61" si="129">+J23</f>
        <v>1467241325</v>
      </c>
      <c r="K61" s="72">
        <f t="shared" si="129"/>
        <v>1164098928</v>
      </c>
      <c r="L61" s="72">
        <f t="shared" ref="L61:M61" si="130">+L23</f>
        <v>953236301</v>
      </c>
      <c r="M61" s="72">
        <f t="shared" si="130"/>
        <v>934691409.66474664</v>
      </c>
      <c r="N61" s="72">
        <f t="shared" ref="N61:O61" si="131">+N23</f>
        <v>1172004013.6804736</v>
      </c>
      <c r="O61" s="72">
        <f t="shared" si="131"/>
        <v>1501280534.9402111</v>
      </c>
      <c r="P61" s="72">
        <f t="shared" ref="P61:Q61" si="132">+P23</f>
        <v>1229492845.5535142</v>
      </c>
      <c r="Q61" s="72">
        <f t="shared" si="132"/>
        <v>1055841056.4788648</v>
      </c>
      <c r="R61" s="72">
        <f t="shared" ref="R61:S61" si="133">+R23</f>
        <v>782160106.46270216</v>
      </c>
      <c r="S61" s="72">
        <f t="shared" si="133"/>
        <v>808422808.60364091</v>
      </c>
      <c r="T61" s="72">
        <f t="shared" ref="T61:U61" si="134">+T23</f>
        <v>1138736144.245827</v>
      </c>
      <c r="U61" s="72">
        <f t="shared" si="134"/>
        <v>1365029337.8153753</v>
      </c>
      <c r="V61" s="72">
        <f t="shared" ref="V61:W61" si="135">+V23</f>
        <v>1309003114.2814729</v>
      </c>
      <c r="W61" s="72">
        <f t="shared" si="135"/>
        <v>887344499.20834303</v>
      </c>
      <c r="X61" s="72">
        <f t="shared" ref="X61:Y61" si="136">+X23</f>
        <v>724028085.19755471</v>
      </c>
      <c r="Y61" s="72">
        <f t="shared" si="136"/>
        <v>965743639.04302931</v>
      </c>
      <c r="Z61" s="72">
        <f t="shared" ref="Z61:AA61" si="137">+Z23</f>
        <v>1382595622.7453718</v>
      </c>
      <c r="AA61" s="72">
        <f t="shared" si="137"/>
        <v>1415185124.8536115</v>
      </c>
    </row>
    <row r="62" spans="1:27" x14ac:dyDescent="0.25">
      <c r="A62" t="s">
        <v>33</v>
      </c>
      <c r="B62" s="72">
        <f>+B24</f>
        <v>0</v>
      </c>
      <c r="C62" s="72">
        <f>+C24</f>
        <v>326375475</v>
      </c>
      <c r="D62" s="72">
        <f t="shared" ref="D62:E62" si="138">+D24</f>
        <v>314016169</v>
      </c>
      <c r="E62" s="72">
        <f t="shared" si="138"/>
        <v>275429142</v>
      </c>
      <c r="F62" s="72">
        <f t="shared" ref="F62:G62" si="139">+F24</f>
        <v>217486182</v>
      </c>
      <c r="G62" s="72">
        <f t="shared" si="139"/>
        <v>214202707</v>
      </c>
      <c r="H62" s="72">
        <f t="shared" ref="H62:I62" si="140">+H24</f>
        <v>247031646</v>
      </c>
      <c r="I62" s="72">
        <f t="shared" si="140"/>
        <v>326672425</v>
      </c>
      <c r="J62" s="72">
        <f t="shared" ref="J62:K62" si="141">+J24</f>
        <v>319059845</v>
      </c>
      <c r="K62" s="72">
        <f t="shared" si="141"/>
        <v>290372246</v>
      </c>
      <c r="L62" s="72">
        <f t="shared" ref="L62:M62" si="142">+L24</f>
        <v>257719313</v>
      </c>
      <c r="M62" s="72">
        <f t="shared" si="142"/>
        <v>221002259.01149774</v>
      </c>
      <c r="N62" s="72">
        <f t="shared" ref="N62:O62" si="143">+N24</f>
        <v>273131062.94405389</v>
      </c>
      <c r="O62" s="72">
        <f t="shared" si="143"/>
        <v>305607376.55643886</v>
      </c>
      <c r="P62" s="72">
        <f t="shared" ref="P62:Q62" si="144">+P24</f>
        <v>267588488.0846718</v>
      </c>
      <c r="Q62" s="72">
        <f t="shared" si="144"/>
        <v>249244473.51618513</v>
      </c>
      <c r="R62" s="72">
        <f t="shared" ref="R62:S62" si="145">+R24</f>
        <v>220407039.52407867</v>
      </c>
      <c r="S62" s="72">
        <f t="shared" si="145"/>
        <v>235148961.40706077</v>
      </c>
      <c r="T62" s="72">
        <f t="shared" ref="T62:U62" si="146">+T24</f>
        <v>265150781.4668892</v>
      </c>
      <c r="U62" s="72">
        <f t="shared" si="146"/>
        <v>301490667.39570183</v>
      </c>
      <c r="V62" s="72">
        <f t="shared" ref="V62:W62" si="147">+V24</f>
        <v>296938882.8489812</v>
      </c>
      <c r="W62" s="72">
        <f t="shared" si="147"/>
        <v>249340706.45416617</v>
      </c>
      <c r="X62" s="72">
        <f t="shared" ref="X62:Y62" si="148">+X24</f>
        <v>211125845.92878258</v>
      </c>
      <c r="Y62" s="72">
        <f t="shared" si="148"/>
        <v>222444969.71227011</v>
      </c>
      <c r="Z62" s="72">
        <f t="shared" ref="Z62:AA62" si="149">+Z24</f>
        <v>273508394.59864038</v>
      </c>
      <c r="AA62" s="72">
        <f t="shared" si="149"/>
        <v>303763193.76725805</v>
      </c>
    </row>
    <row r="63" spans="1:27" x14ac:dyDescent="0.25">
      <c r="A63" t="s">
        <v>34</v>
      </c>
      <c r="B63" s="72">
        <f t="shared" ref="B63:G63" si="150">+B25</f>
        <v>0</v>
      </c>
      <c r="C63" s="72">
        <f t="shared" si="150"/>
        <v>581934696</v>
      </c>
      <c r="D63" s="72">
        <f t="shared" si="150"/>
        <v>550353259</v>
      </c>
      <c r="E63" s="72">
        <f t="shared" si="150"/>
        <v>533380318</v>
      </c>
      <c r="F63" s="72">
        <f t="shared" si="150"/>
        <v>458966865</v>
      </c>
      <c r="G63" s="72">
        <f t="shared" si="150"/>
        <v>489395552</v>
      </c>
      <c r="H63" s="72">
        <f t="shared" ref="H63:I63" si="151">+H25</f>
        <v>531587343</v>
      </c>
      <c r="I63" s="72">
        <f t="shared" si="151"/>
        <v>647796117</v>
      </c>
      <c r="J63" s="72">
        <f t="shared" ref="J63:K63" si="152">+J25</f>
        <v>637875394</v>
      </c>
      <c r="K63" s="72">
        <f t="shared" si="152"/>
        <v>588890325</v>
      </c>
      <c r="L63" s="72">
        <f t="shared" ref="L63:M63" si="153">+L25</f>
        <v>552757461</v>
      </c>
      <c r="M63" s="72">
        <f t="shared" si="153"/>
        <v>514849246.9053455</v>
      </c>
      <c r="N63" s="72">
        <f t="shared" ref="N63:O63" si="154">+N25</f>
        <v>555246232.23021936</v>
      </c>
      <c r="O63" s="72">
        <f t="shared" si="154"/>
        <v>569470005.798172</v>
      </c>
      <c r="P63" s="72">
        <f t="shared" ref="P63:Q63" si="155">+P25</f>
        <v>513339293.13988298</v>
      </c>
      <c r="Q63" s="72">
        <f t="shared" si="155"/>
        <v>529773957.10116965</v>
      </c>
      <c r="R63" s="72">
        <f t="shared" ref="R63:S63" si="156">+R25</f>
        <v>498074378.57082307</v>
      </c>
      <c r="S63" s="72">
        <f t="shared" si="156"/>
        <v>546830054.36345434</v>
      </c>
      <c r="T63" s="72">
        <f t="shared" ref="T63:U63" si="157">+T25</f>
        <v>587831042.81094801</v>
      </c>
      <c r="U63" s="72">
        <f t="shared" si="157"/>
        <v>645414823.62084246</v>
      </c>
      <c r="V63" s="72">
        <f t="shared" ref="V63:W63" si="158">+V25</f>
        <v>645343124.9017036</v>
      </c>
      <c r="W63" s="72">
        <f t="shared" si="158"/>
        <v>568043556.04628742</v>
      </c>
      <c r="X63" s="72">
        <f t="shared" ref="X63:Y63" si="159">+X25</f>
        <v>522887907.84986055</v>
      </c>
      <c r="Y63" s="72">
        <f t="shared" si="159"/>
        <v>518531056.28073186</v>
      </c>
      <c r="Z63" s="72">
        <f t="shared" ref="Z63:AA63" si="160">+Z25</f>
        <v>552297998.54118049</v>
      </c>
      <c r="AA63" s="72">
        <f t="shared" si="160"/>
        <v>567177592.63575089</v>
      </c>
    </row>
    <row r="64" spans="1:27" x14ac:dyDescent="0.25">
      <c r="A64" t="s">
        <v>35</v>
      </c>
      <c r="B64" s="72">
        <f>+B26</f>
        <v>0</v>
      </c>
      <c r="C64" s="72">
        <f>+C26</f>
        <v>224894811</v>
      </c>
      <c r="D64" s="72">
        <f t="shared" ref="D64:E64" si="161">+D26</f>
        <v>222106948</v>
      </c>
      <c r="E64" s="72">
        <f t="shared" si="161"/>
        <v>217652060</v>
      </c>
      <c r="F64" s="72">
        <f t="shared" ref="F64:G64" si="162">+F26</f>
        <v>210949305</v>
      </c>
      <c r="G64" s="72">
        <f t="shared" si="162"/>
        <v>219397939</v>
      </c>
      <c r="H64" s="72">
        <f t="shared" ref="H64:I64" si="163">+H26</f>
        <v>219693106</v>
      </c>
      <c r="I64" s="72">
        <f t="shared" si="163"/>
        <v>268022650</v>
      </c>
      <c r="J64" s="72">
        <f t="shared" ref="J64:K64" si="164">+J26</f>
        <v>239135808</v>
      </c>
      <c r="K64" s="72">
        <f t="shared" si="164"/>
        <v>238267860</v>
      </c>
      <c r="L64" s="72">
        <f t="shared" ref="L64:M64" si="165">+L26</f>
        <v>239527440</v>
      </c>
      <c r="M64" s="72">
        <f t="shared" si="165"/>
        <v>214431320.95015869</v>
      </c>
      <c r="N64" s="72">
        <f t="shared" ref="N64:O64" si="166">+N26</f>
        <v>217384853.68146685</v>
      </c>
      <c r="O64" s="72">
        <f t="shared" si="166"/>
        <v>230347096.50209251</v>
      </c>
      <c r="P64" s="72">
        <f t="shared" ref="P64:Q64" si="167">+P26</f>
        <v>214489729.15033561</v>
      </c>
      <c r="Q64" s="72">
        <f t="shared" si="167"/>
        <v>221162258.07722431</v>
      </c>
      <c r="R64" s="72">
        <f t="shared" ref="R64:S64" si="168">+R26</f>
        <v>215629113.92205966</v>
      </c>
      <c r="S64" s="72">
        <f t="shared" si="168"/>
        <v>229274563.69153032</v>
      </c>
      <c r="T64" s="72">
        <f t="shared" ref="T64:U64" si="169">+T26</f>
        <v>244218506.25143638</v>
      </c>
      <c r="U64" s="72">
        <f t="shared" si="169"/>
        <v>260988724.27065736</v>
      </c>
      <c r="V64" s="72">
        <f t="shared" ref="V64:W64" si="170">+V26</f>
        <v>261012483.04431123</v>
      </c>
      <c r="W64" s="72">
        <f t="shared" si="170"/>
        <v>240184037.87684086</v>
      </c>
      <c r="X64" s="72">
        <f t="shared" ref="X64:Y64" si="171">+X26</f>
        <v>233225536.00191772</v>
      </c>
      <c r="Y64" s="72">
        <f t="shared" si="171"/>
        <v>221473129.69808137</v>
      </c>
      <c r="Z64" s="72">
        <f t="shared" ref="Z64:AA64" si="172">+Z26</f>
        <v>226260309.79809558</v>
      </c>
      <c r="AA64" s="72">
        <f t="shared" si="172"/>
        <v>232705197.22525746</v>
      </c>
    </row>
    <row r="65" spans="1:27" x14ac:dyDescent="0.25">
      <c r="A65" t="s">
        <v>36</v>
      </c>
      <c r="B65" s="72">
        <f>+B27</f>
        <v>0</v>
      </c>
      <c r="C65" s="72">
        <f>+C27</f>
        <v>69346877</v>
      </c>
      <c r="D65" s="72">
        <f t="shared" ref="D65:E65" si="173">+D27</f>
        <v>61270424</v>
      </c>
      <c r="E65" s="72">
        <f t="shared" si="173"/>
        <v>59814245</v>
      </c>
      <c r="F65" s="72">
        <f t="shared" ref="F65:G65" si="174">+F27</f>
        <v>67854054</v>
      </c>
      <c r="G65" s="72">
        <f t="shared" si="174"/>
        <v>65075199</v>
      </c>
      <c r="H65" s="72">
        <f t="shared" ref="H65:I65" si="175">+H27</f>
        <v>80920772</v>
      </c>
      <c r="I65" s="72">
        <f t="shared" si="175"/>
        <v>95769594</v>
      </c>
      <c r="J65" s="72">
        <f t="shared" ref="J65:K65" si="176">+J27</f>
        <v>92334707</v>
      </c>
      <c r="K65" s="72">
        <f t="shared" si="176"/>
        <v>86188788</v>
      </c>
      <c r="L65" s="72">
        <f t="shared" ref="L65:M65" si="177">+L27</f>
        <v>84652258</v>
      </c>
      <c r="M65" s="72">
        <f t="shared" si="177"/>
        <v>68732453.552071258</v>
      </c>
      <c r="N65" s="72">
        <f t="shared" ref="N65:O65" si="178">+N27</f>
        <v>66590092.865217187</v>
      </c>
      <c r="O65" s="72">
        <f t="shared" si="178"/>
        <v>64674964.490822993</v>
      </c>
      <c r="P65" s="72">
        <f t="shared" ref="P65:Q65" si="179">+P27</f>
        <v>58573848.850580357</v>
      </c>
      <c r="Q65" s="72">
        <f t="shared" si="179"/>
        <v>65494560.92136158</v>
      </c>
      <c r="R65" s="72">
        <f t="shared" ref="R65:S65" si="180">+R27</f>
        <v>66861478.801501341</v>
      </c>
      <c r="S65" s="72">
        <f t="shared" si="180"/>
        <v>74288764.887821615</v>
      </c>
      <c r="T65" s="72">
        <f t="shared" ref="T65:U65" si="181">+T27</f>
        <v>74563120.373582616</v>
      </c>
      <c r="U65" s="72">
        <f t="shared" si="181"/>
        <v>80252631.814296842</v>
      </c>
      <c r="V65" s="72">
        <f t="shared" ref="V65:W65" si="182">+V27</f>
        <v>81110234.966044441</v>
      </c>
      <c r="W65" s="72">
        <f t="shared" si="182"/>
        <v>72851088.581060141</v>
      </c>
      <c r="X65" s="72">
        <f t="shared" ref="X65:Y65" si="183">+X27</f>
        <v>74551445.964260712</v>
      </c>
      <c r="Y65" s="72">
        <f t="shared" si="183"/>
        <v>68203809.021018788</v>
      </c>
      <c r="Z65" s="72">
        <f t="shared" ref="Z65:AA65" si="184">+Z27</f>
        <v>66435422.697305597</v>
      </c>
      <c r="AA65" s="72">
        <f t="shared" si="184"/>
        <v>68450508.413569331</v>
      </c>
    </row>
    <row r="66" spans="1:27" x14ac:dyDescent="0.25">
      <c r="A66" s="28" t="s">
        <v>30</v>
      </c>
      <c r="B66" s="29">
        <f t="shared" ref="B66:C66" si="185">SUM(B61:B65)</f>
        <v>0</v>
      </c>
      <c r="C66" s="29">
        <f t="shared" si="185"/>
        <v>2721636932</v>
      </c>
      <c r="D66" s="29">
        <f t="shared" ref="D66:E66" si="186">SUM(D61:D65)</f>
        <v>2617427572</v>
      </c>
      <c r="E66" s="29">
        <f t="shared" si="186"/>
        <v>2269062029</v>
      </c>
      <c r="F66" s="29">
        <f t="shared" ref="F66:G66" si="187">SUM(F61:F65)</f>
        <v>1748170539</v>
      </c>
      <c r="G66" s="29">
        <f t="shared" si="187"/>
        <v>1729203303</v>
      </c>
      <c r="H66" s="29">
        <f t="shared" ref="H66:I66" si="188">SUM(H61:H65)</f>
        <v>1982037887</v>
      </c>
      <c r="I66" s="29">
        <f t="shared" si="188"/>
        <v>2761001718</v>
      </c>
      <c r="J66" s="29">
        <f t="shared" ref="J66:K66" si="189">SUM(J61:J65)</f>
        <v>2755647079</v>
      </c>
      <c r="K66" s="29">
        <f t="shared" si="189"/>
        <v>2367818147</v>
      </c>
      <c r="L66" s="29">
        <f t="shared" ref="L66:M66" si="190">SUM(L61:L65)</f>
        <v>2087892773</v>
      </c>
      <c r="M66" s="29">
        <f t="shared" si="190"/>
        <v>1953706690.0838196</v>
      </c>
      <c r="N66" s="29">
        <f t="shared" ref="N66:O66" si="191">SUM(N61:N65)</f>
        <v>2284356255.4014311</v>
      </c>
      <c r="O66" s="29">
        <f t="shared" si="191"/>
        <v>2671379978.2877369</v>
      </c>
      <c r="P66" s="29">
        <f t="shared" ref="P66:Q66" si="192">SUM(P61:P65)</f>
        <v>2283484204.778985</v>
      </c>
      <c r="Q66" s="29">
        <f t="shared" si="192"/>
        <v>2121516306.0948055</v>
      </c>
      <c r="R66" s="29">
        <f t="shared" ref="R66:S66" si="193">SUM(R61:R65)</f>
        <v>1783132117.2811646</v>
      </c>
      <c r="S66" s="29">
        <f t="shared" si="193"/>
        <v>1893965152.9535079</v>
      </c>
      <c r="T66" s="29">
        <f t="shared" ref="T66:U66" si="194">SUM(T61:T65)</f>
        <v>2310499595.1486831</v>
      </c>
      <c r="U66" s="29">
        <f t="shared" si="194"/>
        <v>2653176184.9168739</v>
      </c>
      <c r="V66" s="29">
        <f t="shared" ref="V66:W66" si="195">SUM(V61:V65)</f>
        <v>2593407840.0425134</v>
      </c>
      <c r="W66" s="29">
        <f t="shared" si="195"/>
        <v>2017763888.1666975</v>
      </c>
      <c r="X66" s="29">
        <f t="shared" ref="X66:Y66" si="196">SUM(X61:X65)</f>
        <v>1765818820.9423764</v>
      </c>
      <c r="Y66" s="29">
        <f t="shared" si="196"/>
        <v>1996396603.7551315</v>
      </c>
      <c r="Z66" s="29">
        <f t="shared" ref="Z66:AA66" si="197">SUM(Z61:Z65)</f>
        <v>2501097748.3805943</v>
      </c>
      <c r="AA66" s="29">
        <f t="shared" si="197"/>
        <v>2587281616.8954473</v>
      </c>
    </row>
    <row r="68" spans="1:27" x14ac:dyDescent="0.25">
      <c r="A68" s="24" t="s">
        <v>55</v>
      </c>
    </row>
    <row r="69" spans="1:27" x14ac:dyDescent="0.25">
      <c r="A69" t="s">
        <v>32</v>
      </c>
      <c r="B69" s="40">
        <v>0</v>
      </c>
      <c r="C69" s="40">
        <f t="shared" ref="C69:H69" si="198">IF(C51="","",+(C51-C58)+(C58*C61/C66))</f>
        <v>0</v>
      </c>
      <c r="D69" s="40">
        <f t="shared" si="198"/>
        <v>37335.669644289846</v>
      </c>
      <c r="E69" s="40">
        <f t="shared" si="198"/>
        <v>77549.999601750809</v>
      </c>
      <c r="F69" s="40">
        <f t="shared" si="198"/>
        <v>52759.45151657956</v>
      </c>
      <c r="G69" s="40">
        <f t="shared" si="198"/>
        <v>49436.246055622854</v>
      </c>
      <c r="H69" s="40">
        <f t="shared" si="198"/>
        <v>60286.51755501327</v>
      </c>
      <c r="I69" s="40">
        <f t="shared" ref="I69:J69" si="199">IF(I51="","",+(I51-I58)+(I58*I61/I66))</f>
        <v>94915.839328589602</v>
      </c>
      <c r="J69" s="40">
        <f t="shared" si="199"/>
        <v>97772.34618404659</v>
      </c>
      <c r="K69" s="40">
        <f t="shared" ref="K69:L69" si="200">IF(K51="","",+(K51-K58)+(K58*K61/K66))</f>
        <v>77687.793595303214</v>
      </c>
      <c r="L69" s="40">
        <f t="shared" si="200"/>
        <v>63668.461156665428</v>
      </c>
      <c r="M69" s="40">
        <f t="shared" ref="M69:N69" si="201">IF(M51="","",+(M51-M58)+(M58*M61/M66))</f>
        <v>62318.525386252106</v>
      </c>
      <c r="N69" s="40">
        <f t="shared" si="201"/>
        <v>78028.216815580337</v>
      </c>
      <c r="O69" s="40">
        <f t="shared" ref="O69:P69" si="202">IF(O51="","",+(O51-O58)+(O58*O61/O66))</f>
        <v>99746.599609130848</v>
      </c>
      <c r="P69" s="40" t="str">
        <f t="shared" si="202"/>
        <v/>
      </c>
      <c r="Q69" s="40" t="str">
        <f t="shared" ref="Q69:R69" si="203">IF(Q51="","",+(Q51-Q58)+(Q58*Q61/Q66))</f>
        <v/>
      </c>
      <c r="R69" s="40" t="str">
        <f t="shared" si="203"/>
        <v/>
      </c>
      <c r="S69" s="40" t="str">
        <f t="shared" ref="S69:T69" si="204">IF(S51="","",+(S51-S58)+(S58*S61/S66))</f>
        <v/>
      </c>
      <c r="T69" s="40" t="str">
        <f t="shared" si="204"/>
        <v/>
      </c>
      <c r="U69" s="40" t="str">
        <f t="shared" ref="U69:V69" si="205">IF(U51="","",+(U51-U58)+(U58*U61/U66))</f>
        <v/>
      </c>
      <c r="V69" s="40" t="str">
        <f t="shared" si="205"/>
        <v/>
      </c>
      <c r="W69" s="40" t="str">
        <f t="shared" ref="W69:X69" si="206">IF(W51="","",+(W51-W58)+(W58*W61/W66))</f>
        <v/>
      </c>
      <c r="X69" s="40" t="str">
        <f t="shared" si="206"/>
        <v/>
      </c>
      <c r="Y69" s="40" t="str">
        <f t="shared" ref="Y69:Z69" si="207">IF(Y51="","",+(Y51-Y58)+(Y58*Y61/Y66))</f>
        <v/>
      </c>
      <c r="Z69" s="40" t="str">
        <f t="shared" si="207"/>
        <v/>
      </c>
      <c r="AA69" s="40" t="str">
        <f t="shared" ref="AA69" si="208">IF(AA51="","",+(AA51-AA58)+(AA58*AA61/AA66))</f>
        <v/>
      </c>
    </row>
    <row r="70" spans="1:27" x14ac:dyDescent="0.25">
      <c r="A70" t="s">
        <v>33</v>
      </c>
      <c r="B70" s="40">
        <v>0</v>
      </c>
      <c r="C70" s="40">
        <f t="shared" ref="C70:D70" si="209">IF(C52="","",+C52+(C58*C62/C66))</f>
        <v>0</v>
      </c>
      <c r="D70" s="40">
        <f t="shared" si="209"/>
        <v>3828.8146197130495</v>
      </c>
      <c r="E70" s="40">
        <f t="shared" ref="E70:F70" si="210">IF(E52="","",+E52+(E58*E62/E66))</f>
        <v>7982.7166157218126</v>
      </c>
      <c r="F70" s="40">
        <f t="shared" si="210"/>
        <v>6382.3366421447281</v>
      </c>
      <c r="G70" s="40">
        <f t="shared" ref="G70:H70" si="211">IF(G52="","",+G52+(G58*G62/G66))</f>
        <v>6321.0677625304652</v>
      </c>
      <c r="H70" s="40">
        <f t="shared" si="211"/>
        <v>7314.6505419819705</v>
      </c>
      <c r="I70" s="40">
        <f t="shared" ref="I70:J70" si="212">IF(I52="","",+I52+(I58*I62/I66))</f>
        <v>9695.4706214939488</v>
      </c>
      <c r="J70" s="40">
        <f t="shared" si="212"/>
        <v>9516.8038837058721</v>
      </c>
      <c r="K70" s="40">
        <f t="shared" ref="K70:L70" si="213">IF(K52="","",+K52+(K58*K62/K66))</f>
        <v>8583.9348598353918</v>
      </c>
      <c r="L70" s="40">
        <f t="shared" si="213"/>
        <v>7633.141971651904</v>
      </c>
      <c r="M70" s="40">
        <f t="shared" ref="M70:N70" si="214">IF(M52="","",+M52+(M58*M62/M66))</f>
        <v>6557.7633898307004</v>
      </c>
      <c r="N70" s="40">
        <f t="shared" si="214"/>
        <v>8078.3288391482638</v>
      </c>
      <c r="O70" s="40">
        <f t="shared" ref="O70:P70" si="215">IF(O52="","",+O52+(O58*O62/O66))</f>
        <v>8997.390760449649</v>
      </c>
      <c r="P70" s="40" t="str">
        <f t="shared" si="215"/>
        <v/>
      </c>
      <c r="Q70" s="40" t="str">
        <f t="shared" ref="Q70:R70" si="216">IF(Q52="","",+Q52+(Q58*Q62/Q66))</f>
        <v/>
      </c>
      <c r="R70" s="40" t="str">
        <f t="shared" si="216"/>
        <v/>
      </c>
      <c r="S70" s="40" t="str">
        <f t="shared" ref="S70:T70" si="217">IF(S52="","",+S52+(S58*S62/S66))</f>
        <v/>
      </c>
      <c r="T70" s="40" t="str">
        <f t="shared" si="217"/>
        <v/>
      </c>
      <c r="U70" s="40" t="str">
        <f t="shared" ref="U70:V70" si="218">IF(U52="","",+U52+(U58*U62/U66))</f>
        <v/>
      </c>
      <c r="V70" s="40" t="str">
        <f t="shared" si="218"/>
        <v/>
      </c>
      <c r="W70" s="40" t="str">
        <f t="shared" ref="W70:X70" si="219">IF(W52="","",+W52+(W58*W62/W66))</f>
        <v/>
      </c>
      <c r="X70" s="40" t="str">
        <f t="shared" si="219"/>
        <v/>
      </c>
      <c r="Y70" s="40" t="str">
        <f t="shared" ref="Y70:Z70" si="220">IF(Y52="","",+Y52+(Y58*Y62/Y66))</f>
        <v/>
      </c>
      <c r="Z70" s="40" t="str">
        <f t="shared" si="220"/>
        <v/>
      </c>
      <c r="AA70" s="40" t="str">
        <f t="shared" ref="AA70" si="221">IF(AA52="","",+AA52+(AA58*AA62/AA66))</f>
        <v/>
      </c>
    </row>
    <row r="71" spans="1:27" x14ac:dyDescent="0.25">
      <c r="A71" t="s">
        <v>34</v>
      </c>
      <c r="B71" s="40">
        <v>0</v>
      </c>
      <c r="C71" s="40">
        <f t="shared" ref="C71:D71" si="222">IF(C53="","",+C53+(C58*C63/C66))</f>
        <v>0</v>
      </c>
      <c r="D71" s="40">
        <f t="shared" si="222"/>
        <v>15590.95637649669</v>
      </c>
      <c r="E71" s="40">
        <f t="shared" ref="E71:F71" si="223">IF(E53="","",+E53+(E58*E63/E66))</f>
        <v>38560.921382157176</v>
      </c>
      <c r="F71" s="40">
        <f t="shared" si="223"/>
        <v>34506.403632536581</v>
      </c>
      <c r="G71" s="40">
        <f t="shared" ref="G71:H71" si="224">IF(G53="","",+G53+(G58*G63/G66))</f>
        <v>35249.007221745858</v>
      </c>
      <c r="H71" s="40">
        <f t="shared" si="224"/>
        <v>39254.322764000106</v>
      </c>
      <c r="I71" s="40">
        <f t="shared" ref="I71:J71" si="225">IF(I53="","",+I53+(I58*I63/I66))</f>
        <v>47687.28334279907</v>
      </c>
      <c r="J71" s="40">
        <f t="shared" si="225"/>
        <v>46721.476705877147</v>
      </c>
      <c r="K71" s="40">
        <f t="shared" ref="K71:L71" si="226">IF(K53="","",+K53+(K58*K63/K66))</f>
        <v>43430.106772948377</v>
      </c>
      <c r="L71" s="40">
        <f t="shared" si="226"/>
        <v>40811.776584878251</v>
      </c>
      <c r="M71" s="40">
        <f t="shared" ref="M71:N71" si="227">IF(M53="","",+M53+(M58*M63/M66))</f>
        <v>37930.403206084215</v>
      </c>
      <c r="N71" s="40">
        <f t="shared" si="227"/>
        <v>40853.212552931363</v>
      </c>
      <c r="O71" s="40">
        <f t="shared" ref="O71:P71" si="228">IF(O53="","",+O53+(O58*O63/O66))</f>
        <v>41822.454125683973</v>
      </c>
      <c r="P71" s="40" t="str">
        <f t="shared" si="228"/>
        <v/>
      </c>
      <c r="Q71" s="40" t="str">
        <f t="shared" ref="Q71:R71" si="229">IF(Q53="","",+Q53+(Q58*Q63/Q66))</f>
        <v/>
      </c>
      <c r="R71" s="40" t="str">
        <f t="shared" si="229"/>
        <v/>
      </c>
      <c r="S71" s="40" t="str">
        <f t="shared" ref="S71:T71" si="230">IF(S53="","",+S53+(S58*S63/S66))</f>
        <v/>
      </c>
      <c r="T71" s="40" t="str">
        <f t="shared" si="230"/>
        <v/>
      </c>
      <c r="U71" s="40" t="str">
        <f t="shared" ref="U71:V71" si="231">IF(U53="","",+U53+(U58*U63/U66))</f>
        <v/>
      </c>
      <c r="V71" s="40" t="str">
        <f t="shared" si="231"/>
        <v/>
      </c>
      <c r="W71" s="40" t="str">
        <f t="shared" ref="W71:X71" si="232">IF(W53="","",+W53+(W58*W63/W66))</f>
        <v/>
      </c>
      <c r="X71" s="40" t="str">
        <f t="shared" si="232"/>
        <v/>
      </c>
      <c r="Y71" s="40" t="str">
        <f t="shared" ref="Y71:Z71" si="233">IF(Y53="","",+Y53+(Y58*Y63/Y66))</f>
        <v/>
      </c>
      <c r="Z71" s="40" t="str">
        <f t="shared" si="233"/>
        <v/>
      </c>
      <c r="AA71" s="40" t="str">
        <f t="shared" ref="AA71" si="234">IF(AA53="","",+AA53+(AA58*AA63/AA66))</f>
        <v/>
      </c>
    </row>
    <row r="72" spans="1:27" x14ac:dyDescent="0.25">
      <c r="A72" t="s">
        <v>35</v>
      </c>
      <c r="B72" s="40">
        <v>0</v>
      </c>
      <c r="C72" s="40">
        <f t="shared" ref="C72:D72" si="235">IF(C54="","",+C54+(C58*C64/C66))</f>
        <v>0</v>
      </c>
      <c r="D72" s="40">
        <f t="shared" si="235"/>
        <v>3305.1546958646768</v>
      </c>
      <c r="E72" s="40">
        <f t="shared" ref="E72:F72" si="236">IF(E54="","",+E54+(E58*E64/E66))</f>
        <v>11771.983947101506</v>
      </c>
      <c r="F72" s="40">
        <f t="shared" si="236"/>
        <v>11735.015883301332</v>
      </c>
      <c r="G72" s="40">
        <f t="shared" ref="G72:H72" si="237">IF(G54="","",+G54+(G58*G64/G66))</f>
        <v>12241.308769762025</v>
      </c>
      <c r="H72" s="40">
        <f t="shared" si="237"/>
        <v>12264.843263985629</v>
      </c>
      <c r="I72" s="40">
        <f t="shared" ref="I72:J72" si="238">IF(I54="","",+I54+(I58*I64/I66))</f>
        <v>14936.186592917064</v>
      </c>
      <c r="J72" s="40">
        <f t="shared" si="238"/>
        <v>13308.769604305617</v>
      </c>
      <c r="K72" s="40">
        <f t="shared" ref="K72:L72" si="239">IF(K54="","",+K54+(K58*K64/K66))</f>
        <v>13283.083499495879</v>
      </c>
      <c r="L72" s="40">
        <f t="shared" si="239"/>
        <v>13373.184446645111</v>
      </c>
      <c r="M72" s="40">
        <f t="shared" ref="M72:N72" si="240">IF(M54="","",+M54+(M58*M64/M66))</f>
        <v>11937.999378891627</v>
      </c>
      <c r="N72" s="40">
        <f t="shared" si="240"/>
        <v>12081.543406755636</v>
      </c>
      <c r="O72" s="40">
        <f t="shared" ref="O72:P72" si="241">IF(O54="","",+O54+(O58*O64/O66))</f>
        <v>12770.676382505118</v>
      </c>
      <c r="P72" s="40" t="str">
        <f t="shared" si="241"/>
        <v/>
      </c>
      <c r="Q72" s="40" t="str">
        <f t="shared" ref="Q72:R72" si="242">IF(Q54="","",+Q54+(Q58*Q64/Q66))</f>
        <v/>
      </c>
      <c r="R72" s="40" t="str">
        <f t="shared" si="242"/>
        <v/>
      </c>
      <c r="S72" s="40" t="str">
        <f t="shared" ref="S72:T72" si="243">IF(S54="","",+S54+(S58*S64/S66))</f>
        <v/>
      </c>
      <c r="T72" s="40" t="str">
        <f t="shared" si="243"/>
        <v/>
      </c>
      <c r="U72" s="40" t="str">
        <f t="shared" ref="U72:V72" si="244">IF(U54="","",+U54+(U58*U64/U66))</f>
        <v/>
      </c>
      <c r="V72" s="40" t="str">
        <f t="shared" si="244"/>
        <v/>
      </c>
      <c r="W72" s="40" t="str">
        <f t="shared" ref="W72:X72" si="245">IF(W54="","",+W54+(W58*W64/W66))</f>
        <v/>
      </c>
      <c r="X72" s="40" t="str">
        <f t="shared" si="245"/>
        <v/>
      </c>
      <c r="Y72" s="40" t="str">
        <f t="shared" ref="Y72:Z72" si="246">IF(Y54="","",+Y54+(Y58*Y64/Y66))</f>
        <v/>
      </c>
      <c r="Z72" s="40" t="str">
        <f t="shared" si="246"/>
        <v/>
      </c>
      <c r="AA72" s="40" t="str">
        <f t="shared" ref="AA72" si="247">IF(AA54="","",+AA54+(AA58*AA64/AA66))</f>
        <v/>
      </c>
    </row>
    <row r="73" spans="1:27" x14ac:dyDescent="0.25">
      <c r="A73" t="s">
        <v>36</v>
      </c>
      <c r="B73" s="40">
        <v>0</v>
      </c>
      <c r="C73" s="40">
        <f t="shared" ref="C73:H73" si="248">IF(C55="","",+C55+(C58*C65/C66))</f>
        <v>0</v>
      </c>
      <c r="D73" s="40">
        <f>IF(D55="","",+D55+(D58*D65/D66))</f>
        <v>326.59466363573557</v>
      </c>
      <c r="E73" s="40">
        <f t="shared" si="248"/>
        <v>1990.8684532687007</v>
      </c>
      <c r="F73" s="40">
        <f t="shared" si="248"/>
        <v>2281.3723254377928</v>
      </c>
      <c r="G73" s="40">
        <f t="shared" si="248"/>
        <v>2199.2501903387933</v>
      </c>
      <c r="H73" s="40">
        <f t="shared" si="248"/>
        <v>2737.325875019023</v>
      </c>
      <c r="I73" s="40">
        <f t="shared" ref="I73:J73" si="249">IF(I55="","",+I55+(I58*I65/I66))</f>
        <v>3230.0501142003127</v>
      </c>
      <c r="J73" s="40">
        <f t="shared" si="249"/>
        <v>3110.5536220647691</v>
      </c>
      <c r="K73" s="40">
        <f t="shared" ref="K73:L73" si="250">IF(K55="","",+K55+(K58*K65/K66))</f>
        <v>2908.7512724171379</v>
      </c>
      <c r="L73" s="40">
        <f t="shared" si="250"/>
        <v>2863.925840159312</v>
      </c>
      <c r="M73" s="40">
        <f t="shared" ref="M73:N73" si="251">IF(M55="","",+M55+(M58*M65/M66))</f>
        <v>2314.4165127291467</v>
      </c>
      <c r="N73" s="40">
        <f t="shared" si="251"/>
        <v>2235.8788209417753</v>
      </c>
      <c r="O73" s="40">
        <f t="shared" ref="O73:P73" si="252">IF(O55="","",+O55+(O58*O65/O66))</f>
        <v>2162.7963313501996</v>
      </c>
      <c r="P73" s="40" t="str">
        <f t="shared" si="252"/>
        <v/>
      </c>
      <c r="Q73" s="40" t="str">
        <f t="shared" ref="Q73:R73" si="253">IF(Q55="","",+Q55+(Q58*Q65/Q66))</f>
        <v/>
      </c>
      <c r="R73" s="40" t="str">
        <f t="shared" si="253"/>
        <v/>
      </c>
      <c r="S73" s="40" t="str">
        <f t="shared" ref="S73:T73" si="254">IF(S55="","",+S55+(S58*S65/S66))</f>
        <v/>
      </c>
      <c r="T73" s="40" t="str">
        <f t="shared" si="254"/>
        <v/>
      </c>
      <c r="U73" s="40" t="str">
        <f t="shared" ref="U73:V73" si="255">IF(U55="","",+U55+(U58*U65/U66))</f>
        <v/>
      </c>
      <c r="V73" s="40" t="str">
        <f t="shared" si="255"/>
        <v/>
      </c>
      <c r="W73" s="40" t="str">
        <f t="shared" ref="W73:X73" si="256">IF(W55="","",+W55+(W58*W65/W66))</f>
        <v/>
      </c>
      <c r="X73" s="40" t="str">
        <f t="shared" si="256"/>
        <v/>
      </c>
      <c r="Y73" s="40" t="str">
        <f t="shared" ref="Y73:Z73" si="257">IF(Y55="","",+Y55+(Y58*Y65/Y66))</f>
        <v/>
      </c>
      <c r="Z73" s="40" t="str">
        <f t="shared" si="257"/>
        <v/>
      </c>
      <c r="AA73" s="40" t="str">
        <f t="shared" ref="AA73" si="258">IF(AA55="","",+AA55+(AA58*AA65/AA66))</f>
        <v/>
      </c>
    </row>
    <row r="74" spans="1:27" x14ac:dyDescent="0.25">
      <c r="A74" s="28" t="s">
        <v>30</v>
      </c>
      <c r="B74" s="39">
        <f t="shared" ref="B74:C74" si="259">SUM(B69:B73)</f>
        <v>0</v>
      </c>
      <c r="C74" s="39">
        <f t="shared" si="259"/>
        <v>0</v>
      </c>
      <c r="D74" s="39">
        <f t="shared" ref="D74:E74" si="260">SUM(D69:D73)</f>
        <v>60387.189999999995</v>
      </c>
      <c r="E74" s="39">
        <f t="shared" si="260"/>
        <v>137856.49</v>
      </c>
      <c r="F74" s="39">
        <f t="shared" ref="F74:G74" si="261">SUM(F69:F73)</f>
        <v>107664.58</v>
      </c>
      <c r="G74" s="39">
        <f t="shared" si="261"/>
        <v>105446.87999999999</v>
      </c>
      <c r="H74" s="39">
        <f t="shared" ref="H74:I74" si="262">SUM(H69:H73)</f>
        <v>121857.66</v>
      </c>
      <c r="I74" s="39">
        <f t="shared" si="262"/>
        <v>170464.83</v>
      </c>
      <c r="J74" s="39">
        <f t="shared" ref="J74:K74" si="263">SUM(J69:J73)</f>
        <v>170429.94999999998</v>
      </c>
      <c r="K74" s="39">
        <f t="shared" si="263"/>
        <v>145893.67000000001</v>
      </c>
      <c r="L74" s="39">
        <f t="shared" ref="L74:M74" si="264">SUM(L69:L73)</f>
        <v>128350.49</v>
      </c>
      <c r="M74" s="39">
        <f t="shared" si="264"/>
        <v>121059.1078737878</v>
      </c>
      <c r="N74" s="39">
        <f t="shared" ref="N74:O74" si="265">SUM(N69:N73)</f>
        <v>141277.18043535738</v>
      </c>
      <c r="O74" s="39">
        <f t="shared" si="265"/>
        <v>165499.9172091198</v>
      </c>
      <c r="P74" s="39">
        <f t="shared" ref="P74:Q74" si="266">SUM(P69:P73)</f>
        <v>0</v>
      </c>
      <c r="Q74" s="39">
        <f t="shared" si="266"/>
        <v>0</v>
      </c>
      <c r="R74" s="39">
        <f t="shared" ref="R74:S74" si="267">SUM(R69:R73)</f>
        <v>0</v>
      </c>
      <c r="S74" s="39">
        <f t="shared" si="267"/>
        <v>0</v>
      </c>
      <c r="T74" s="39">
        <f t="shared" ref="T74:U74" si="268">SUM(T69:T73)</f>
        <v>0</v>
      </c>
      <c r="U74" s="39">
        <f t="shared" si="268"/>
        <v>0</v>
      </c>
      <c r="V74" s="39">
        <f t="shared" ref="V74:W74" si="269">SUM(V69:V73)</f>
        <v>0</v>
      </c>
      <c r="W74" s="39">
        <f t="shared" si="269"/>
        <v>0</v>
      </c>
      <c r="X74" s="39">
        <f t="shared" ref="X74:Y74" si="270">SUM(X69:X73)</f>
        <v>0</v>
      </c>
      <c r="Y74" s="39">
        <f t="shared" si="270"/>
        <v>0</v>
      </c>
      <c r="Z74" s="39">
        <f t="shared" ref="Z74:AA74" si="271">SUM(Z69:Z73)</f>
        <v>0</v>
      </c>
      <c r="AA74" s="39">
        <f t="shared" si="271"/>
        <v>0</v>
      </c>
    </row>
  </sheetData>
  <printOptions headings="1"/>
  <pageMargins left="0.2" right="0.2" top="0.5" bottom="0.5" header="0.3" footer="0.3"/>
  <pageSetup scale="28" orientation="landscape" cellComments="asDisplayed" r:id="rId1"/>
  <headerFooter>
    <oddHeader>&amp;C&amp;A</oddHeader>
    <oddFooter>&amp;RSchedule JNG-D3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783E5-C9AC-4C98-A2D9-D5AB9AB187D3}">
  <sheetPr>
    <pageSetUpPr fitToPage="1"/>
  </sheetPr>
  <dimension ref="A2:R37"/>
  <sheetViews>
    <sheetView tabSelected="1" workbookViewId="0">
      <pane xSplit="1" topLeftCell="B1" activePane="topRight" state="frozen"/>
      <selection activeCell="J13" sqref="J13"/>
      <selection pane="topRight" activeCell="J13" sqref="J13"/>
    </sheetView>
  </sheetViews>
  <sheetFormatPr defaultRowHeight="15" x14ac:dyDescent="0.25"/>
  <cols>
    <col min="2" max="2" width="29.140625" customWidth="1"/>
    <col min="3" max="16" width="13.28515625" bestFit="1" customWidth="1"/>
  </cols>
  <sheetData>
    <row r="2" spans="1:18" x14ac:dyDescent="0.25">
      <c r="C2" s="10">
        <v>45627</v>
      </c>
      <c r="D2" s="10">
        <v>45658</v>
      </c>
      <c r="E2" s="10">
        <v>45689</v>
      </c>
      <c r="F2" s="10">
        <v>45717</v>
      </c>
      <c r="G2" s="10">
        <v>45748</v>
      </c>
      <c r="H2" s="10">
        <v>45778</v>
      </c>
      <c r="I2" s="10">
        <v>45809</v>
      </c>
      <c r="J2" s="10">
        <v>45839</v>
      </c>
      <c r="K2" s="10">
        <v>45870</v>
      </c>
      <c r="L2" s="10">
        <v>45901</v>
      </c>
      <c r="M2" s="10">
        <v>45931</v>
      </c>
      <c r="N2" s="10">
        <v>45962</v>
      </c>
      <c r="O2" s="10">
        <v>45992</v>
      </c>
      <c r="P2" s="10">
        <v>46023</v>
      </c>
    </row>
    <row r="3" spans="1:18" x14ac:dyDescent="0.25">
      <c r="A3" s="280" t="s">
        <v>32</v>
      </c>
      <c r="B3" s="63" t="s">
        <v>47</v>
      </c>
      <c r="C3" s="56">
        <v>0</v>
      </c>
      <c r="D3" s="56">
        <f>IF(+'M4 Allocations - TD'!C51="","",'M4 Allocations - TD'!C51)</f>
        <v>0</v>
      </c>
      <c r="E3" s="56">
        <f>IF(+'M4 Allocations - TD'!D51="","",'M4 Allocations - TD'!D51)</f>
        <v>36672.44</v>
      </c>
      <c r="F3" s="56">
        <f>IF(+'M4 Allocations - TD'!E51="","",'M4 Allocations - TD'!E51)</f>
        <v>75825.42</v>
      </c>
      <c r="G3" s="56">
        <f>IF(+'M4 Allocations - TD'!F51="","",'M4 Allocations - TD'!F51)</f>
        <v>51442.9</v>
      </c>
      <c r="H3" s="56">
        <f>IF(+'M4 Allocations - TD'!G51="","",'M4 Allocations - TD'!G51)</f>
        <v>48245.86</v>
      </c>
      <c r="I3" s="56">
        <f>IF(+'M4 Allocations - TD'!H51="","",'M4 Allocations - TD'!H51)</f>
        <v>59020.79</v>
      </c>
      <c r="J3" s="56">
        <f>IF(+'M4 Allocations - TD'!I51="","",'M4 Allocations - TD'!I51)</f>
        <v>93212.58</v>
      </c>
      <c r="K3" s="56">
        <f>IF(+'M4 Allocations - TD'!J51="","",'M4 Allocations - TD'!J51)</f>
        <v>96037.54</v>
      </c>
      <c r="L3" s="56">
        <f>IF(+'M4 Allocations - TD'!K51="","",'M4 Allocations - TD'!K51)</f>
        <v>76181.570000000007</v>
      </c>
      <c r="M3" s="56">
        <f>IF(+'M4 Allocations - TD'!L51="","",'M4 Allocations - TD'!L51)</f>
        <v>62342.91</v>
      </c>
      <c r="N3" s="56">
        <f>IF(+'M4 Allocations - TD'!M51="","",'M4 Allocations - TD'!M51)</f>
        <v>60966.123158048918</v>
      </c>
      <c r="O3" s="56">
        <f>IF(+'M4 Allocations - TD'!N51="","",'M4 Allocations - TD'!N51)</f>
        <v>76445.060156699052</v>
      </c>
      <c r="P3" s="56">
        <f>IF(+'M4 Allocations - TD'!O51="","",'M4 Allocations - TD'!O51)</f>
        <v>97922.429843209204</v>
      </c>
    </row>
    <row r="4" spans="1:18" x14ac:dyDescent="0.25">
      <c r="A4" s="281"/>
      <c r="B4" s="64" t="s">
        <v>49</v>
      </c>
      <c r="C4" s="62">
        <v>0</v>
      </c>
      <c r="D4" s="62">
        <f>IF(D3="","",C4)</f>
        <v>0</v>
      </c>
      <c r="E4" s="102">
        <v>6.7584406177651662E-5</v>
      </c>
      <c r="F4" s="62">
        <f t="shared" ref="F4:P4" si="0">IF(F3="","",E4)</f>
        <v>6.7584406177651662E-5</v>
      </c>
      <c r="G4" s="62">
        <f t="shared" si="0"/>
        <v>6.7584406177651662E-5</v>
      </c>
      <c r="H4" s="62">
        <f t="shared" si="0"/>
        <v>6.7584406177651662E-5</v>
      </c>
      <c r="I4" s="62">
        <f t="shared" si="0"/>
        <v>6.7584406177651662E-5</v>
      </c>
      <c r="J4" s="62">
        <f t="shared" si="0"/>
        <v>6.7584406177651662E-5</v>
      </c>
      <c r="K4" s="62">
        <f t="shared" si="0"/>
        <v>6.7584406177651662E-5</v>
      </c>
      <c r="L4" s="62">
        <f t="shared" si="0"/>
        <v>6.7584406177651662E-5</v>
      </c>
      <c r="M4" s="62">
        <f t="shared" si="0"/>
        <v>6.7584406177651662E-5</v>
      </c>
      <c r="N4" s="62">
        <f>IF(N3="","",M4)</f>
        <v>6.7584406177651662E-5</v>
      </c>
      <c r="O4" s="62">
        <f t="shared" si="0"/>
        <v>6.7584406177651662E-5</v>
      </c>
      <c r="P4" s="62">
        <f t="shared" si="0"/>
        <v>6.7584406177651662E-5</v>
      </c>
    </row>
    <row r="5" spans="1:18" x14ac:dyDescent="0.25">
      <c r="A5" s="281"/>
      <c r="B5" s="64" t="s">
        <v>63</v>
      </c>
      <c r="C5" s="79">
        <v>0</v>
      </c>
      <c r="D5" s="79">
        <f t="shared" ref="D5:G5" si="1">IF(D4="","",C5)</f>
        <v>0</v>
      </c>
      <c r="E5" s="102">
        <v>1.3374015921989573E-7</v>
      </c>
      <c r="F5" s="79">
        <f t="shared" si="1"/>
        <v>1.3374015921989573E-7</v>
      </c>
      <c r="G5" s="79">
        <f t="shared" si="1"/>
        <v>1.3374015921989573E-7</v>
      </c>
      <c r="H5" s="79">
        <f t="shared" ref="H5:P5" si="2">IF(H4="","",G5)</f>
        <v>1.3374015921989573E-7</v>
      </c>
      <c r="I5" s="79">
        <f t="shared" si="2"/>
        <v>1.3374015921989573E-7</v>
      </c>
      <c r="J5" s="79">
        <f t="shared" si="2"/>
        <v>1.3374015921989573E-7</v>
      </c>
      <c r="K5" s="79">
        <f t="shared" si="2"/>
        <v>1.3374015921989573E-7</v>
      </c>
      <c r="L5" s="79">
        <f t="shared" si="2"/>
        <v>1.3374015921989573E-7</v>
      </c>
      <c r="M5" s="79">
        <f t="shared" si="2"/>
        <v>1.3374015921989573E-7</v>
      </c>
      <c r="N5" s="79">
        <f t="shared" si="2"/>
        <v>1.3374015921989573E-7</v>
      </c>
      <c r="O5" s="79">
        <f t="shared" si="2"/>
        <v>1.3374015921989573E-7</v>
      </c>
      <c r="P5" s="79">
        <f t="shared" si="2"/>
        <v>1.3374015921989573E-7</v>
      </c>
    </row>
    <row r="6" spans="1:18" x14ac:dyDescent="0.25">
      <c r="A6" s="281"/>
      <c r="B6" s="64" t="s">
        <v>56</v>
      </c>
      <c r="C6" s="55">
        <v>0</v>
      </c>
      <c r="D6" s="55">
        <f t="shared" ref="D6:E6" si="3">IF(D3="","",SUM(D4:D5))</f>
        <v>0</v>
      </c>
      <c r="E6" s="55">
        <f t="shared" si="3"/>
        <v>6.7718146336871553E-5</v>
      </c>
      <c r="F6" s="55">
        <f t="shared" ref="F6:G6" si="4">IF(F3="","",SUM(F4:F5))</f>
        <v>6.7718146336871553E-5</v>
      </c>
      <c r="G6" s="55">
        <f t="shared" si="4"/>
        <v>6.7718146336871553E-5</v>
      </c>
      <c r="H6" s="55">
        <f t="shared" ref="H6:I6" si="5">IF(H3="","",SUM(H4:H5))</f>
        <v>6.7718146336871553E-5</v>
      </c>
      <c r="I6" s="55">
        <f t="shared" si="5"/>
        <v>6.7718146336871553E-5</v>
      </c>
      <c r="J6" s="55">
        <f t="shared" ref="J6:K6" si="6">IF(J3="","",SUM(J4:J5))</f>
        <v>6.7718146336871553E-5</v>
      </c>
      <c r="K6" s="55">
        <f t="shared" si="6"/>
        <v>6.7718146336871553E-5</v>
      </c>
      <c r="L6" s="55">
        <f t="shared" ref="L6:M6" si="7">IF(L3="","",SUM(L4:L5))</f>
        <v>6.7718146336871553E-5</v>
      </c>
      <c r="M6" s="55">
        <f t="shared" si="7"/>
        <v>6.7718146336871553E-5</v>
      </c>
      <c r="N6" s="55">
        <f t="shared" ref="N6:O6" si="8">IF(N3="","",SUM(N4:N5))</f>
        <v>6.7718146336871553E-5</v>
      </c>
      <c r="O6" s="55">
        <f t="shared" si="8"/>
        <v>6.7718146336871553E-5</v>
      </c>
      <c r="P6" s="55">
        <f t="shared" ref="P6" si="9">IF(P3="","",SUM(P4:P5))</f>
        <v>6.7718146336871553E-5</v>
      </c>
    </row>
    <row r="7" spans="1:18" x14ac:dyDescent="0.25">
      <c r="A7" s="281"/>
      <c r="B7" s="64" t="s">
        <v>50</v>
      </c>
      <c r="C7" s="59">
        <v>0</v>
      </c>
      <c r="D7" s="59" t="str">
        <f t="shared" ref="D7:I7" si="10">IF(D3="","",IFERROR(D5/D6,""))</f>
        <v/>
      </c>
      <c r="E7" s="59">
        <f>IF(E3="","",IFERROR(E5/E6,""))</f>
        <v>1.9749530436729652E-3</v>
      </c>
      <c r="F7" s="59">
        <f t="shared" si="10"/>
        <v>1.9749530436729652E-3</v>
      </c>
      <c r="G7" s="59">
        <f t="shared" si="10"/>
        <v>1.9749530436729652E-3</v>
      </c>
      <c r="H7" s="59">
        <f t="shared" si="10"/>
        <v>1.9749530436729652E-3</v>
      </c>
      <c r="I7" s="59">
        <f t="shared" si="10"/>
        <v>1.9749530436729652E-3</v>
      </c>
      <c r="J7" s="59">
        <f t="shared" ref="J7:K7" si="11">IF(J3="","",IFERROR(J5/J6,""))</f>
        <v>1.9749530436729652E-3</v>
      </c>
      <c r="K7" s="59">
        <f t="shared" si="11"/>
        <v>1.9749530436729652E-3</v>
      </c>
      <c r="L7" s="59">
        <f t="shared" ref="L7:M7" si="12">IF(L3="","",IFERROR(L5/L6,""))</f>
        <v>1.9749530436729652E-3</v>
      </c>
      <c r="M7" s="59">
        <f t="shared" si="12"/>
        <v>1.9749530436729652E-3</v>
      </c>
      <c r="N7" s="59">
        <f t="shared" ref="N7:O7" si="13">IF(N3="","",IFERROR(N5/N6,""))</f>
        <v>1.9749530436729652E-3</v>
      </c>
      <c r="O7" s="59">
        <f t="shared" si="13"/>
        <v>1.9749530436729652E-3</v>
      </c>
      <c r="P7" s="59">
        <f t="shared" ref="P7" si="14">IF(P3="","",IFERROR(P5/P6,""))</f>
        <v>1.9749530436729652E-3</v>
      </c>
    </row>
    <row r="8" spans="1:18" x14ac:dyDescent="0.25">
      <c r="A8" s="281"/>
      <c r="B8" s="65" t="s">
        <v>51</v>
      </c>
      <c r="C8" s="57">
        <v>0</v>
      </c>
      <c r="D8" s="57">
        <v>0</v>
      </c>
      <c r="E8" s="57">
        <f>IF(E3="","",ROUND(E7*E3,2))</f>
        <v>72.430000000000007</v>
      </c>
      <c r="F8" s="57">
        <f t="shared" ref="F8:I8" si="15">IF(F3="","",ROUND(F7*F3,2))</f>
        <v>149.75</v>
      </c>
      <c r="G8" s="57">
        <f t="shared" si="15"/>
        <v>101.6</v>
      </c>
      <c r="H8" s="57">
        <f t="shared" si="15"/>
        <v>95.28</v>
      </c>
      <c r="I8" s="57">
        <f t="shared" si="15"/>
        <v>116.56</v>
      </c>
      <c r="J8" s="57">
        <f t="shared" ref="J8:K8" si="16">IF(J3="","",ROUND(J7*J3,2))</f>
        <v>184.09</v>
      </c>
      <c r="K8" s="57">
        <f t="shared" si="16"/>
        <v>189.67</v>
      </c>
      <c r="L8" s="57">
        <f t="shared" ref="L8:M8" si="17">IF(L3="","",ROUND(L7*L3,2))</f>
        <v>150.46</v>
      </c>
      <c r="M8" s="57">
        <f t="shared" si="17"/>
        <v>123.12</v>
      </c>
      <c r="N8" s="57">
        <f t="shared" ref="N8:O8" si="18">IF(N3="","",ROUND(N7*N3,2))</f>
        <v>120.41</v>
      </c>
      <c r="O8" s="57">
        <f t="shared" si="18"/>
        <v>150.97999999999999</v>
      </c>
      <c r="P8" s="57">
        <f t="shared" ref="P8" si="19">IF(P3="","",ROUND(P7*P3,2))</f>
        <v>193.39</v>
      </c>
      <c r="R8" s="57"/>
    </row>
    <row r="9" spans="1:18" x14ac:dyDescent="0.25">
      <c r="A9" s="68"/>
      <c r="B9" s="66"/>
      <c r="C9" s="58"/>
      <c r="D9" s="58"/>
      <c r="E9" s="58"/>
      <c r="F9" s="58"/>
      <c r="G9" s="58"/>
      <c r="H9" s="58"/>
      <c r="I9" s="58"/>
      <c r="J9" s="58"/>
      <c r="K9" s="58"/>
      <c r="L9" s="58"/>
      <c r="M9" s="58"/>
      <c r="N9" s="58"/>
      <c r="O9" s="58"/>
      <c r="P9" s="58"/>
    </row>
    <row r="10" spans="1:18" x14ac:dyDescent="0.25">
      <c r="A10" s="281" t="s">
        <v>33</v>
      </c>
      <c r="B10" s="64" t="s">
        <v>47</v>
      </c>
      <c r="C10" s="56">
        <v>0</v>
      </c>
      <c r="D10" s="56">
        <f>IF(+'M4 Allocations - TD'!C52="","",'M4 Allocations - TD'!C52)</f>
        <v>0</v>
      </c>
      <c r="E10" s="56">
        <f>IF(+'M4 Allocations - TD'!D52="","",'M4 Allocations - TD'!D52)</f>
        <v>4010.27</v>
      </c>
      <c r="F10" s="56">
        <f>IF(+'M4 Allocations - TD'!E52="","",'M4 Allocations - TD'!E52)</f>
        <v>8419.99</v>
      </c>
      <c r="G10" s="56">
        <f>IF(+'M4 Allocations - TD'!F52="","",'M4 Allocations - TD'!F52)</f>
        <v>6682.08</v>
      </c>
      <c r="H10" s="56">
        <f>IF(+'M4 Allocations - TD'!G52="","",'M4 Allocations - TD'!G52)</f>
        <v>6579.13</v>
      </c>
      <c r="I10" s="56">
        <f>IF(+'M4 Allocations - TD'!H52="","",'M4 Allocations - TD'!H52)</f>
        <v>7604.37</v>
      </c>
      <c r="J10" s="56">
        <f>IF(+'M4 Allocations - TD'!I52="","",'M4 Allocations - TD'!I52)</f>
        <v>10111.24</v>
      </c>
      <c r="K10" s="56">
        <f>IF(+'M4 Allocations - TD'!J52="","",'M4 Allocations - TD'!J52)</f>
        <v>9946.41</v>
      </c>
      <c r="L10" s="56">
        <f>IF(+'M4 Allocations - TD'!K52="","",'M4 Allocations - TD'!K52)</f>
        <v>8947.2800000000007</v>
      </c>
      <c r="M10" s="56">
        <f>IF(+'M4 Allocations - TD'!L52="","",'M4 Allocations - TD'!L52)</f>
        <v>7934.22</v>
      </c>
      <c r="N10" s="56">
        <f>IF(+'M4 Allocations - TD'!M52="","",'M4 Allocations - TD'!M52)</f>
        <v>6851.0700293564305</v>
      </c>
      <c r="O10" s="56">
        <f>IF(+'M4 Allocations - TD'!N52="","",'M4 Allocations - TD'!N52)</f>
        <v>8467.0629512656706</v>
      </c>
      <c r="P10" s="56">
        <f>IF(+'M4 Allocations - TD'!O52="","",'M4 Allocations - TD'!O52)</f>
        <v>9473.8286732496053</v>
      </c>
    </row>
    <row r="11" spans="1:18" x14ac:dyDescent="0.25">
      <c r="A11" s="281"/>
      <c r="B11" s="64" t="s">
        <v>49</v>
      </c>
      <c r="C11" s="79">
        <v>0</v>
      </c>
      <c r="D11" s="79">
        <f t="shared" ref="D11:P12" si="20">IF(D10="","",C11)</f>
        <v>0</v>
      </c>
      <c r="E11" s="103">
        <v>3.0963892173967335E-5</v>
      </c>
      <c r="F11" s="79">
        <f t="shared" si="20"/>
        <v>3.0963892173967335E-5</v>
      </c>
      <c r="G11" s="79">
        <f t="shared" si="20"/>
        <v>3.0963892173967335E-5</v>
      </c>
      <c r="H11" s="79">
        <f t="shared" si="20"/>
        <v>3.0963892173967335E-5</v>
      </c>
      <c r="I11" s="79">
        <f t="shared" si="20"/>
        <v>3.0963892173967335E-5</v>
      </c>
      <c r="J11" s="79">
        <f t="shared" si="20"/>
        <v>3.0963892173967335E-5</v>
      </c>
      <c r="K11" s="79">
        <f t="shared" si="20"/>
        <v>3.0963892173967335E-5</v>
      </c>
      <c r="L11" s="79">
        <f t="shared" si="20"/>
        <v>3.0963892173967335E-5</v>
      </c>
      <c r="M11" s="79">
        <f t="shared" si="20"/>
        <v>3.0963892173967335E-5</v>
      </c>
      <c r="N11" s="79">
        <f t="shared" si="20"/>
        <v>3.0963892173967335E-5</v>
      </c>
      <c r="O11" s="79">
        <f t="shared" si="20"/>
        <v>3.0963892173967335E-5</v>
      </c>
      <c r="P11" s="79">
        <f t="shared" si="20"/>
        <v>3.0963892173967335E-5</v>
      </c>
    </row>
    <row r="12" spans="1:18" x14ac:dyDescent="0.25">
      <c r="A12" s="281"/>
      <c r="B12" s="64" t="s">
        <v>48</v>
      </c>
      <c r="C12" s="79">
        <v>0</v>
      </c>
      <c r="D12" s="79">
        <f t="shared" si="20"/>
        <v>0</v>
      </c>
      <c r="E12" s="102">
        <v>2.175520310932955E-9</v>
      </c>
      <c r="F12" s="79">
        <f t="shared" si="20"/>
        <v>2.175520310932955E-9</v>
      </c>
      <c r="G12" s="79">
        <f t="shared" si="20"/>
        <v>2.175520310932955E-9</v>
      </c>
      <c r="H12" s="79">
        <f t="shared" si="20"/>
        <v>2.175520310932955E-9</v>
      </c>
      <c r="I12" s="79">
        <f t="shared" si="20"/>
        <v>2.175520310932955E-9</v>
      </c>
      <c r="J12" s="79">
        <f t="shared" si="20"/>
        <v>2.175520310932955E-9</v>
      </c>
      <c r="K12" s="79">
        <f t="shared" si="20"/>
        <v>2.175520310932955E-9</v>
      </c>
      <c r="L12" s="79">
        <f t="shared" si="20"/>
        <v>2.175520310932955E-9</v>
      </c>
      <c r="M12" s="79">
        <f t="shared" si="20"/>
        <v>2.175520310932955E-9</v>
      </c>
      <c r="N12" s="79">
        <f t="shared" si="20"/>
        <v>2.175520310932955E-9</v>
      </c>
      <c r="O12" s="79">
        <f t="shared" si="20"/>
        <v>2.175520310932955E-9</v>
      </c>
      <c r="P12" s="79">
        <f t="shared" si="20"/>
        <v>2.175520310932955E-9</v>
      </c>
    </row>
    <row r="13" spans="1:18" x14ac:dyDescent="0.25">
      <c r="A13" s="281"/>
      <c r="B13" s="64" t="s">
        <v>56</v>
      </c>
      <c r="C13" s="55">
        <v>0</v>
      </c>
      <c r="D13" s="55">
        <f t="shared" ref="D13:E13" si="21">IF(D10="","",SUM(D11:D12))</f>
        <v>0</v>
      </c>
      <c r="E13" s="55">
        <f t="shared" si="21"/>
        <v>3.0966067694278264E-5</v>
      </c>
      <c r="F13" s="55">
        <f t="shared" ref="F13:G13" si="22">IF(F10="","",SUM(F11:F12))</f>
        <v>3.0966067694278264E-5</v>
      </c>
      <c r="G13" s="55">
        <f t="shared" si="22"/>
        <v>3.0966067694278264E-5</v>
      </c>
      <c r="H13" s="55">
        <f t="shared" ref="H13:I13" si="23">IF(H10="","",SUM(H11:H12))</f>
        <v>3.0966067694278264E-5</v>
      </c>
      <c r="I13" s="55">
        <f t="shared" si="23"/>
        <v>3.0966067694278264E-5</v>
      </c>
      <c r="J13" s="55">
        <f t="shared" ref="J13:K13" si="24">IF(J10="","",SUM(J11:J12))</f>
        <v>3.0966067694278264E-5</v>
      </c>
      <c r="K13" s="55">
        <f t="shared" si="24"/>
        <v>3.0966067694278264E-5</v>
      </c>
      <c r="L13" s="55">
        <f t="shared" ref="L13:M13" si="25">IF(L10="","",SUM(L11:L12))</f>
        <v>3.0966067694278264E-5</v>
      </c>
      <c r="M13" s="55">
        <f t="shared" si="25"/>
        <v>3.0966067694278264E-5</v>
      </c>
      <c r="N13" s="55">
        <f t="shared" ref="N13:O13" si="26">IF(N10="","",SUM(N11:N12))</f>
        <v>3.0966067694278264E-5</v>
      </c>
      <c r="O13" s="55">
        <f t="shared" si="26"/>
        <v>3.0966067694278264E-5</v>
      </c>
      <c r="P13" s="55">
        <f t="shared" ref="P13" si="27">IF(P10="","",SUM(P11:P12))</f>
        <v>3.0966067694278264E-5</v>
      </c>
    </row>
    <row r="14" spans="1:18" x14ac:dyDescent="0.25">
      <c r="A14" s="281"/>
      <c r="B14" s="64" t="s">
        <v>50</v>
      </c>
      <c r="C14" s="59">
        <v>0</v>
      </c>
      <c r="D14" s="59" t="str">
        <f t="shared" ref="D14:E14" si="28">IF(D10="","",IFERROR(D12/D13,""))</f>
        <v/>
      </c>
      <c r="E14" s="59">
        <f t="shared" si="28"/>
        <v>7.0254974974912147E-5</v>
      </c>
      <c r="F14" s="59">
        <f t="shared" ref="F14:G14" si="29">IF(F10="","",IFERROR(F12/F13,""))</f>
        <v>7.0254974974912147E-5</v>
      </c>
      <c r="G14" s="59">
        <f t="shared" si="29"/>
        <v>7.0254974974912147E-5</v>
      </c>
      <c r="H14" s="59">
        <f t="shared" ref="H14:I14" si="30">IF(H10="","",IFERROR(H12/H13,""))</f>
        <v>7.0254974974912147E-5</v>
      </c>
      <c r="I14" s="59">
        <f t="shared" si="30"/>
        <v>7.0254974974912147E-5</v>
      </c>
      <c r="J14" s="59">
        <f t="shared" ref="J14:K14" si="31">IF(J10="","",IFERROR(J12/J13,""))</f>
        <v>7.0254974974912147E-5</v>
      </c>
      <c r="K14" s="59">
        <f t="shared" si="31"/>
        <v>7.0254974974912147E-5</v>
      </c>
      <c r="L14" s="59">
        <f t="shared" ref="L14:M14" si="32">IF(L10="","",IFERROR(L12/L13,""))</f>
        <v>7.0254974974912147E-5</v>
      </c>
      <c r="M14" s="59">
        <f t="shared" si="32"/>
        <v>7.0254974974912147E-5</v>
      </c>
      <c r="N14" s="59">
        <f t="shared" ref="N14:O14" si="33">IF(N10="","",IFERROR(N12/N13,""))</f>
        <v>7.0254974974912147E-5</v>
      </c>
      <c r="O14" s="59">
        <f t="shared" si="33"/>
        <v>7.0254974974912147E-5</v>
      </c>
      <c r="P14" s="59">
        <f t="shared" ref="P14" si="34">IF(P10="","",IFERROR(P12/P13,""))</f>
        <v>7.0254974974912147E-5</v>
      </c>
    </row>
    <row r="15" spans="1:18" x14ac:dyDescent="0.25">
      <c r="A15" s="281"/>
      <c r="B15" s="65" t="s">
        <v>51</v>
      </c>
      <c r="C15" s="57">
        <v>0</v>
      </c>
      <c r="D15" s="57">
        <v>0</v>
      </c>
      <c r="E15" s="57">
        <f t="shared" ref="E15" si="35">IF(E10="","",ROUND(E14*E10,2))</f>
        <v>0.28000000000000003</v>
      </c>
      <c r="F15" s="57">
        <f t="shared" ref="F15:G15" si="36">IF(F10="","",ROUND(F14*F10,2))</f>
        <v>0.59</v>
      </c>
      <c r="G15" s="57">
        <f t="shared" si="36"/>
        <v>0.47</v>
      </c>
      <c r="H15" s="57">
        <f t="shared" ref="H15:I15" si="37">IF(H10="","",ROUND(H14*H10,2))</f>
        <v>0.46</v>
      </c>
      <c r="I15" s="57">
        <f t="shared" si="37"/>
        <v>0.53</v>
      </c>
      <c r="J15" s="57">
        <f t="shared" ref="J15:K15" si="38">IF(J10="","",ROUND(J14*J10,2))</f>
        <v>0.71</v>
      </c>
      <c r="K15" s="57">
        <f t="shared" si="38"/>
        <v>0.7</v>
      </c>
      <c r="L15" s="57">
        <f t="shared" ref="L15:M15" si="39">IF(L10="","",ROUND(L14*L10,2))</f>
        <v>0.63</v>
      </c>
      <c r="M15" s="57">
        <f t="shared" si="39"/>
        <v>0.56000000000000005</v>
      </c>
      <c r="N15" s="57">
        <f t="shared" ref="N15:O15" si="40">IF(N10="","",ROUND(N14*N10,2))</f>
        <v>0.48</v>
      </c>
      <c r="O15" s="57">
        <f t="shared" si="40"/>
        <v>0.59</v>
      </c>
      <c r="P15" s="57">
        <f t="shared" ref="P15" si="41">IF(P10="","",ROUND(P14*P10,2))</f>
        <v>0.67</v>
      </c>
    </row>
    <row r="16" spans="1:18" x14ac:dyDescent="0.25">
      <c r="A16" s="68"/>
      <c r="B16" s="66"/>
      <c r="C16" s="58"/>
      <c r="D16" s="58"/>
      <c r="E16" s="58"/>
      <c r="F16" s="58"/>
      <c r="G16" s="58"/>
      <c r="H16" s="58"/>
      <c r="I16" s="58"/>
      <c r="J16" s="58"/>
      <c r="K16" s="58"/>
      <c r="L16" s="58"/>
      <c r="M16" s="58"/>
      <c r="N16" s="58"/>
      <c r="O16" s="58"/>
      <c r="P16" s="58"/>
    </row>
    <row r="17" spans="1:16" x14ac:dyDescent="0.25">
      <c r="A17" s="281" t="s">
        <v>34</v>
      </c>
      <c r="B17" s="64" t="s">
        <v>47</v>
      </c>
      <c r="C17" s="56">
        <v>0</v>
      </c>
      <c r="D17" s="56">
        <f>IF(+'M4 Allocations - TD'!C53="","",'M4 Allocations - TD'!C53)</f>
        <v>0</v>
      </c>
      <c r="E17" s="56">
        <f>IF(+'M4 Allocations - TD'!D53="","",'M4 Allocations - TD'!D53)</f>
        <v>15908.98</v>
      </c>
      <c r="F17" s="56">
        <f>IF(+'M4 Allocations - TD'!E53="","",'M4 Allocations - TD'!E53)</f>
        <v>39407.72</v>
      </c>
      <c r="G17" s="56">
        <f>IF(+'M4 Allocations - TD'!F53="","",'M4 Allocations - TD'!F53)</f>
        <v>35138.959999999999</v>
      </c>
      <c r="H17" s="56">
        <f>IF(+'M4 Allocations - TD'!G53="","",'M4 Allocations - TD'!G53)</f>
        <v>35838.61</v>
      </c>
      <c r="I17" s="56">
        <f>IF(+'M4 Allocations - TD'!H53="","",'M4 Allocations - TD'!H53)</f>
        <v>39877.769999999997</v>
      </c>
      <c r="J17" s="56">
        <f>IF(+'M4 Allocations - TD'!I53="","",'M4 Allocations - TD'!I53)</f>
        <v>48511.76</v>
      </c>
      <c r="K17" s="56">
        <f>IF(+'M4 Allocations - TD'!J53="","",'M4 Allocations - TD'!J53)</f>
        <v>47580.36</v>
      </c>
      <c r="L17" s="56">
        <f>IF(+'M4 Allocations - TD'!K53="","",'M4 Allocations - TD'!K53)</f>
        <v>44166.99</v>
      </c>
      <c r="M17" s="56">
        <f>IF(+'M4 Allocations - TD'!L53="","",'M4 Allocations - TD'!L53)</f>
        <v>41457.53</v>
      </c>
      <c r="N17" s="56">
        <f>IF(+'M4 Allocations - TD'!M53="","",'M4 Allocations - TD'!M53)</f>
        <v>38613.693517900909</v>
      </c>
      <c r="O17" s="56">
        <f>IF(+'M4 Allocations - TD'!N53="","",'M4 Allocations - TD'!N53)</f>
        <v>41643.467417266445</v>
      </c>
      <c r="P17" s="56">
        <f>IF(+'M4 Allocations - TD'!O53="","",'M4 Allocations - TD'!O53)</f>
        <v>42710.250434862894</v>
      </c>
    </row>
    <row r="18" spans="1:16" x14ac:dyDescent="0.25">
      <c r="A18" s="281"/>
      <c r="B18" s="64" t="s">
        <v>49</v>
      </c>
      <c r="C18" s="79">
        <v>0</v>
      </c>
      <c r="D18" s="79">
        <f t="shared" ref="D18:P19" si="42">IF(D17="","",C18)</f>
        <v>0</v>
      </c>
      <c r="E18" s="103">
        <v>7.4818255931483418E-5</v>
      </c>
      <c r="F18" s="79">
        <f t="shared" si="42"/>
        <v>7.4818255931483418E-5</v>
      </c>
      <c r="G18" s="79">
        <f t="shared" si="42"/>
        <v>7.4818255931483418E-5</v>
      </c>
      <c r="H18" s="79">
        <f t="shared" si="42"/>
        <v>7.4818255931483418E-5</v>
      </c>
      <c r="I18" s="79">
        <f t="shared" si="42"/>
        <v>7.4818255931483418E-5</v>
      </c>
      <c r="J18" s="79">
        <f t="shared" si="42"/>
        <v>7.4818255931483418E-5</v>
      </c>
      <c r="K18" s="79">
        <f t="shared" si="42"/>
        <v>7.4818255931483418E-5</v>
      </c>
      <c r="L18" s="79">
        <f t="shared" si="42"/>
        <v>7.4818255931483418E-5</v>
      </c>
      <c r="M18" s="79">
        <f t="shared" si="42"/>
        <v>7.4818255931483418E-5</v>
      </c>
      <c r="N18" s="79">
        <f t="shared" si="42"/>
        <v>7.4818255931483418E-5</v>
      </c>
      <c r="O18" s="79">
        <f t="shared" si="42"/>
        <v>7.4818255931483418E-5</v>
      </c>
      <c r="P18" s="79">
        <f t="shared" si="42"/>
        <v>7.4818255931483418E-5</v>
      </c>
    </row>
    <row r="19" spans="1:16" x14ac:dyDescent="0.25">
      <c r="A19" s="281"/>
      <c r="B19" s="64" t="s">
        <v>48</v>
      </c>
      <c r="C19" s="79">
        <v>0</v>
      </c>
      <c r="D19" s="79">
        <f t="shared" si="42"/>
        <v>0</v>
      </c>
      <c r="E19" s="102">
        <v>1.9255858695313759E-9</v>
      </c>
      <c r="F19" s="79">
        <f t="shared" si="42"/>
        <v>1.9255858695313759E-9</v>
      </c>
      <c r="G19" s="79">
        <f t="shared" si="42"/>
        <v>1.9255858695313759E-9</v>
      </c>
      <c r="H19" s="79">
        <f t="shared" si="42"/>
        <v>1.9255858695313759E-9</v>
      </c>
      <c r="I19" s="79">
        <f t="shared" si="42"/>
        <v>1.9255858695313759E-9</v>
      </c>
      <c r="J19" s="79">
        <f t="shared" si="42"/>
        <v>1.9255858695313759E-9</v>
      </c>
      <c r="K19" s="79">
        <f t="shared" si="42"/>
        <v>1.9255858695313759E-9</v>
      </c>
      <c r="L19" s="79">
        <f t="shared" si="42"/>
        <v>1.9255858695313759E-9</v>
      </c>
      <c r="M19" s="79">
        <f t="shared" si="42"/>
        <v>1.9255858695313759E-9</v>
      </c>
      <c r="N19" s="79">
        <f t="shared" si="42"/>
        <v>1.9255858695313759E-9</v>
      </c>
      <c r="O19" s="79">
        <f t="shared" si="42"/>
        <v>1.9255858695313759E-9</v>
      </c>
      <c r="P19" s="79">
        <f t="shared" si="42"/>
        <v>1.9255858695313759E-9</v>
      </c>
    </row>
    <row r="20" spans="1:16" x14ac:dyDescent="0.25">
      <c r="A20" s="281"/>
      <c r="B20" s="64" t="s">
        <v>56</v>
      </c>
      <c r="C20" s="55">
        <v>0</v>
      </c>
      <c r="D20" s="55">
        <f t="shared" ref="D20:E20" si="43">IF(D17="","",SUM(D18:D19))</f>
        <v>0</v>
      </c>
      <c r="E20" s="55">
        <f t="shared" si="43"/>
        <v>7.4820181517352952E-5</v>
      </c>
      <c r="F20" s="55">
        <f t="shared" ref="F20:G20" si="44">IF(F17="","",SUM(F18:F19))</f>
        <v>7.4820181517352952E-5</v>
      </c>
      <c r="G20" s="55">
        <f t="shared" si="44"/>
        <v>7.4820181517352952E-5</v>
      </c>
      <c r="H20" s="55">
        <f t="shared" ref="H20:I20" si="45">IF(H17="","",SUM(H18:H19))</f>
        <v>7.4820181517352952E-5</v>
      </c>
      <c r="I20" s="55">
        <f t="shared" si="45"/>
        <v>7.4820181517352952E-5</v>
      </c>
      <c r="J20" s="55">
        <f t="shared" ref="J20:K20" si="46">IF(J17="","",SUM(J18:J19))</f>
        <v>7.4820181517352952E-5</v>
      </c>
      <c r="K20" s="55">
        <f t="shared" si="46"/>
        <v>7.4820181517352952E-5</v>
      </c>
      <c r="L20" s="55">
        <f t="shared" ref="L20:M20" si="47">IF(L17="","",SUM(L18:L19))</f>
        <v>7.4820181517352952E-5</v>
      </c>
      <c r="M20" s="55">
        <f t="shared" si="47"/>
        <v>7.4820181517352952E-5</v>
      </c>
      <c r="N20" s="55">
        <f t="shared" ref="N20:O20" si="48">IF(N17="","",SUM(N18:N19))</f>
        <v>7.4820181517352952E-5</v>
      </c>
      <c r="O20" s="55">
        <f t="shared" si="48"/>
        <v>7.4820181517352952E-5</v>
      </c>
      <c r="P20" s="55">
        <f t="shared" ref="P20" si="49">IF(P17="","",SUM(P18:P19))</f>
        <v>7.4820181517352952E-5</v>
      </c>
    </row>
    <row r="21" spans="1:16" x14ac:dyDescent="0.25">
      <c r="A21" s="281"/>
      <c r="B21" s="64" t="s">
        <v>50</v>
      </c>
      <c r="C21" s="59">
        <v>0</v>
      </c>
      <c r="D21" s="59" t="str">
        <f t="shared" ref="D21:E21" si="50">IF(D17="","",IFERROR(D19/D20,""))</f>
        <v/>
      </c>
      <c r="E21" s="59">
        <f t="shared" si="50"/>
        <v>2.5736182811649251E-5</v>
      </c>
      <c r="F21" s="59">
        <f t="shared" ref="F21:G21" si="51">IF(F17="","",IFERROR(F19/F20,""))</f>
        <v>2.5736182811649251E-5</v>
      </c>
      <c r="G21" s="59">
        <f t="shared" si="51"/>
        <v>2.5736182811649251E-5</v>
      </c>
      <c r="H21" s="59">
        <f t="shared" ref="H21:I21" si="52">IF(H17="","",IFERROR(H19/H20,""))</f>
        <v>2.5736182811649251E-5</v>
      </c>
      <c r="I21" s="59">
        <f t="shared" si="52"/>
        <v>2.5736182811649251E-5</v>
      </c>
      <c r="J21" s="59">
        <f t="shared" ref="J21:K21" si="53">IF(J17="","",IFERROR(J19/J20,""))</f>
        <v>2.5736182811649251E-5</v>
      </c>
      <c r="K21" s="59">
        <f t="shared" si="53"/>
        <v>2.5736182811649251E-5</v>
      </c>
      <c r="L21" s="59">
        <f t="shared" ref="L21:M21" si="54">IF(L17="","",IFERROR(L19/L20,""))</f>
        <v>2.5736182811649251E-5</v>
      </c>
      <c r="M21" s="59">
        <f t="shared" si="54"/>
        <v>2.5736182811649251E-5</v>
      </c>
      <c r="N21" s="59">
        <f t="shared" ref="N21:O21" si="55">IF(N17="","",IFERROR(N19/N20,""))</f>
        <v>2.5736182811649251E-5</v>
      </c>
      <c r="O21" s="59">
        <f t="shared" si="55"/>
        <v>2.5736182811649251E-5</v>
      </c>
      <c r="P21" s="59">
        <f t="shared" ref="P21" si="56">IF(P17="","",IFERROR(P19/P20,""))</f>
        <v>2.5736182811649251E-5</v>
      </c>
    </row>
    <row r="22" spans="1:16" x14ac:dyDescent="0.25">
      <c r="A22" s="281"/>
      <c r="B22" s="65" t="s">
        <v>51</v>
      </c>
      <c r="C22" s="57">
        <v>0</v>
      </c>
      <c r="D22" s="57">
        <v>0</v>
      </c>
      <c r="E22" s="57">
        <f t="shared" ref="E22" si="57">IF(E17="","",ROUND(E21*E17,2))</f>
        <v>0.41</v>
      </c>
      <c r="F22" s="57">
        <f t="shared" ref="F22:G22" si="58">IF(F17="","",ROUND(F21*F17,2))</f>
        <v>1.01</v>
      </c>
      <c r="G22" s="57">
        <f t="shared" si="58"/>
        <v>0.9</v>
      </c>
      <c r="H22" s="57">
        <f t="shared" ref="H22:I22" si="59">IF(H17="","",ROUND(H21*H17,2))</f>
        <v>0.92</v>
      </c>
      <c r="I22" s="57">
        <f t="shared" si="59"/>
        <v>1.03</v>
      </c>
      <c r="J22" s="57">
        <f t="shared" ref="J22:K22" si="60">IF(J17="","",ROUND(J21*J17,2))</f>
        <v>1.25</v>
      </c>
      <c r="K22" s="57">
        <f t="shared" si="60"/>
        <v>1.22</v>
      </c>
      <c r="L22" s="57">
        <f t="shared" ref="L22:M22" si="61">IF(L17="","",ROUND(L21*L17,2))</f>
        <v>1.1399999999999999</v>
      </c>
      <c r="M22" s="57">
        <f t="shared" si="61"/>
        <v>1.07</v>
      </c>
      <c r="N22" s="57">
        <f t="shared" ref="N22:O22" si="62">IF(N17="","",ROUND(N21*N17,2))</f>
        <v>0.99</v>
      </c>
      <c r="O22" s="57">
        <f t="shared" si="62"/>
        <v>1.07</v>
      </c>
      <c r="P22" s="57">
        <f t="shared" ref="P22" si="63">IF(P17="","",ROUND(P21*P17,2))</f>
        <v>1.1000000000000001</v>
      </c>
    </row>
    <row r="23" spans="1:16" x14ac:dyDescent="0.25">
      <c r="A23" s="68"/>
      <c r="B23" s="66"/>
      <c r="C23" s="58"/>
      <c r="D23" s="58"/>
      <c r="E23" s="58"/>
      <c r="F23" s="58"/>
      <c r="G23" s="58"/>
      <c r="H23" s="58"/>
      <c r="I23" s="58"/>
      <c r="J23" s="58"/>
      <c r="K23" s="58"/>
      <c r="L23" s="58"/>
      <c r="M23" s="58"/>
      <c r="N23" s="58"/>
      <c r="O23" s="58"/>
      <c r="P23" s="58"/>
    </row>
    <row r="24" spans="1:16" x14ac:dyDescent="0.25">
      <c r="A24" s="281" t="s">
        <v>35</v>
      </c>
      <c r="B24" s="64" t="s">
        <v>47</v>
      </c>
      <c r="C24" s="56">
        <v>0</v>
      </c>
      <c r="D24" s="56">
        <f>IF(+'M4 Allocations - TD'!C54="","",'M4 Allocations - TD'!C54)</f>
        <v>0</v>
      </c>
      <c r="E24" s="56">
        <f>IF(+'M4 Allocations - TD'!D54="","",'M4 Allocations - TD'!D54)</f>
        <v>3433.5</v>
      </c>
      <c r="F24" s="56">
        <f>IF(+'M4 Allocations - TD'!E54="","",'M4 Allocations - TD'!E54)</f>
        <v>12117.53</v>
      </c>
      <c r="G24" s="56">
        <f>IF(+'M4 Allocations - TD'!F54="","",'M4 Allocations - TD'!F54)</f>
        <v>12025.75</v>
      </c>
      <c r="H24" s="56">
        <f>IF(+'M4 Allocations - TD'!G54="","",'M4 Allocations - TD'!G54)</f>
        <v>12505.63</v>
      </c>
      <c r="I24" s="56">
        <f>IF(+'M4 Allocations - TD'!H54="","",'M4 Allocations - TD'!H54)</f>
        <v>12522.5</v>
      </c>
      <c r="J24" s="56">
        <f>IF(+'M4 Allocations - TD'!I54="","",'M4 Allocations - TD'!I54)</f>
        <v>15277.31</v>
      </c>
      <c r="K24" s="56">
        <f>IF(+'M4 Allocations - TD'!J54="","",'M4 Allocations - TD'!J54)</f>
        <v>13630.76</v>
      </c>
      <c r="L24" s="56">
        <f>IF(+'M4 Allocations - TD'!K54="","",'M4 Allocations - TD'!K54)</f>
        <v>13581.23</v>
      </c>
      <c r="M24" s="56">
        <f>IF(+'M4 Allocations - TD'!L54="","",'M4 Allocations - TD'!L54)</f>
        <v>13653.01</v>
      </c>
      <c r="N24" s="56">
        <f>IF(+'M4 Allocations - TD'!M54="","",'M4 Allocations - TD'!M54)</f>
        <v>12222.585294159046</v>
      </c>
      <c r="O24" s="56">
        <f>IF(+'M4 Allocations - TD'!N54="","",'M4 Allocations - TD'!N54)</f>
        <v>12390.936659843612</v>
      </c>
      <c r="P24" s="56">
        <f>IF(+'M4 Allocations - TD'!O54="","",'M4 Allocations - TD'!O54)</f>
        <v>13129.784500619275</v>
      </c>
    </row>
    <row r="25" spans="1:16" x14ac:dyDescent="0.25">
      <c r="A25" s="281"/>
      <c r="B25" s="64" t="s">
        <v>49</v>
      </c>
      <c r="C25" s="79">
        <v>0</v>
      </c>
      <c r="D25" s="79">
        <f t="shared" ref="D25:P26" si="64">IF(D24="","",C25)</f>
        <v>0</v>
      </c>
      <c r="E25" s="103">
        <v>5.7311484717473449E-5</v>
      </c>
      <c r="F25" s="79">
        <f t="shared" si="64"/>
        <v>5.7311484717473449E-5</v>
      </c>
      <c r="G25" s="79">
        <f t="shared" si="64"/>
        <v>5.7311484717473449E-5</v>
      </c>
      <c r="H25" s="79">
        <f t="shared" ref="H25:P25" si="65">IF(H24="","",G25)</f>
        <v>5.7311484717473449E-5</v>
      </c>
      <c r="I25" s="79">
        <f t="shared" si="65"/>
        <v>5.7311484717473449E-5</v>
      </c>
      <c r="J25" s="79">
        <f t="shared" si="65"/>
        <v>5.7311484717473449E-5</v>
      </c>
      <c r="K25" s="79">
        <f t="shared" si="65"/>
        <v>5.7311484717473449E-5</v>
      </c>
      <c r="L25" s="79">
        <f t="shared" si="65"/>
        <v>5.7311484717473449E-5</v>
      </c>
      <c r="M25" s="79">
        <f t="shared" si="65"/>
        <v>5.7311484717473449E-5</v>
      </c>
      <c r="N25" s="79">
        <f t="shared" si="65"/>
        <v>5.7311484717473449E-5</v>
      </c>
      <c r="O25" s="79">
        <f t="shared" si="65"/>
        <v>5.7311484717473449E-5</v>
      </c>
      <c r="P25" s="79">
        <f t="shared" si="65"/>
        <v>5.7311484717473449E-5</v>
      </c>
    </row>
    <row r="26" spans="1:16" x14ac:dyDescent="0.25">
      <c r="A26" s="281"/>
      <c r="B26" s="64" t="s">
        <v>48</v>
      </c>
      <c r="C26" s="79">
        <v>0</v>
      </c>
      <c r="D26" s="79">
        <f t="shared" si="64"/>
        <v>0</v>
      </c>
      <c r="E26" s="102">
        <v>1.8960524397338786E-9</v>
      </c>
      <c r="F26" s="79">
        <f t="shared" si="64"/>
        <v>1.8960524397338786E-9</v>
      </c>
      <c r="G26" s="79">
        <f t="shared" si="64"/>
        <v>1.8960524397338786E-9</v>
      </c>
      <c r="H26" s="79">
        <f t="shared" si="64"/>
        <v>1.8960524397338786E-9</v>
      </c>
      <c r="I26" s="79">
        <f t="shared" si="64"/>
        <v>1.8960524397338786E-9</v>
      </c>
      <c r="J26" s="79">
        <f t="shared" si="64"/>
        <v>1.8960524397338786E-9</v>
      </c>
      <c r="K26" s="79">
        <f t="shared" si="64"/>
        <v>1.8960524397338786E-9</v>
      </c>
      <c r="L26" s="79">
        <f t="shared" si="64"/>
        <v>1.8960524397338786E-9</v>
      </c>
      <c r="M26" s="79">
        <f t="shared" si="64"/>
        <v>1.8960524397338786E-9</v>
      </c>
      <c r="N26" s="79">
        <f t="shared" si="64"/>
        <v>1.8960524397338786E-9</v>
      </c>
      <c r="O26" s="79">
        <f t="shared" si="64"/>
        <v>1.8960524397338786E-9</v>
      </c>
      <c r="P26" s="79">
        <f t="shared" si="64"/>
        <v>1.8960524397338786E-9</v>
      </c>
    </row>
    <row r="27" spans="1:16" x14ac:dyDescent="0.25">
      <c r="A27" s="281"/>
      <c r="B27" s="64" t="s">
        <v>56</v>
      </c>
      <c r="C27" s="55">
        <v>0</v>
      </c>
      <c r="D27" s="55">
        <f t="shared" ref="D27:E27" si="66">IF(D24="","",SUM(D25:D26))</f>
        <v>0</v>
      </c>
      <c r="E27" s="55">
        <f t="shared" si="66"/>
        <v>5.7313380769913184E-5</v>
      </c>
      <c r="F27" s="55">
        <f t="shared" ref="F27:G27" si="67">IF(F24="","",SUM(F25:F26))</f>
        <v>5.7313380769913184E-5</v>
      </c>
      <c r="G27" s="55">
        <f t="shared" si="67"/>
        <v>5.7313380769913184E-5</v>
      </c>
      <c r="H27" s="55">
        <f t="shared" ref="H27:I27" si="68">IF(H24="","",SUM(H25:H26))</f>
        <v>5.7313380769913184E-5</v>
      </c>
      <c r="I27" s="55">
        <f t="shared" si="68"/>
        <v>5.7313380769913184E-5</v>
      </c>
      <c r="J27" s="55">
        <f t="shared" ref="J27:K27" si="69">IF(J24="","",SUM(J25:J26))</f>
        <v>5.7313380769913184E-5</v>
      </c>
      <c r="K27" s="55">
        <f t="shared" si="69"/>
        <v>5.7313380769913184E-5</v>
      </c>
      <c r="L27" s="55">
        <f t="shared" ref="L27:M27" si="70">IF(L24="","",SUM(L25:L26))</f>
        <v>5.7313380769913184E-5</v>
      </c>
      <c r="M27" s="55">
        <f t="shared" si="70"/>
        <v>5.7313380769913184E-5</v>
      </c>
      <c r="N27" s="55">
        <f t="shared" ref="N27:O27" si="71">IF(N24="","",SUM(N25:N26))</f>
        <v>5.7313380769913184E-5</v>
      </c>
      <c r="O27" s="55">
        <f t="shared" si="71"/>
        <v>5.7313380769913184E-5</v>
      </c>
      <c r="P27" s="55">
        <f t="shared" ref="P27" si="72">IF(P24="","",SUM(P25:P26))</f>
        <v>5.7313380769913184E-5</v>
      </c>
    </row>
    <row r="28" spans="1:16" x14ac:dyDescent="0.25">
      <c r="A28" s="281"/>
      <c r="B28" s="64" t="s">
        <v>50</v>
      </c>
      <c r="C28" s="59">
        <v>0</v>
      </c>
      <c r="D28" s="59" t="str">
        <f t="shared" ref="D28:E28" si="73">IF(D24="","",IFERROR(D26/D27,""))</f>
        <v/>
      </c>
      <c r="E28" s="59">
        <f t="shared" si="73"/>
        <v>3.3082195017349538E-5</v>
      </c>
      <c r="F28" s="59">
        <f t="shared" ref="F28:G28" si="74">IF(F24="","",IFERROR(F26/F27,""))</f>
        <v>3.3082195017349538E-5</v>
      </c>
      <c r="G28" s="59">
        <f t="shared" si="74"/>
        <v>3.3082195017349538E-5</v>
      </c>
      <c r="H28" s="59">
        <f t="shared" ref="H28:I28" si="75">IF(H24="","",IFERROR(H26/H27,""))</f>
        <v>3.3082195017349538E-5</v>
      </c>
      <c r="I28" s="59">
        <f t="shared" si="75"/>
        <v>3.3082195017349538E-5</v>
      </c>
      <c r="J28" s="59">
        <f t="shared" ref="J28:K28" si="76">IF(J24="","",IFERROR(J26/J27,""))</f>
        <v>3.3082195017349538E-5</v>
      </c>
      <c r="K28" s="59">
        <f t="shared" si="76"/>
        <v>3.3082195017349538E-5</v>
      </c>
      <c r="L28" s="59">
        <f t="shared" ref="L28:M28" si="77">IF(L24="","",IFERROR(L26/L27,""))</f>
        <v>3.3082195017349538E-5</v>
      </c>
      <c r="M28" s="59">
        <f t="shared" si="77"/>
        <v>3.3082195017349538E-5</v>
      </c>
      <c r="N28" s="59">
        <f t="shared" ref="N28:O28" si="78">IF(N24="","",IFERROR(N26/N27,""))</f>
        <v>3.3082195017349538E-5</v>
      </c>
      <c r="O28" s="59">
        <f t="shared" si="78"/>
        <v>3.3082195017349538E-5</v>
      </c>
      <c r="P28" s="59">
        <f t="shared" ref="P28" si="79">IF(P24="","",IFERROR(P26/P27,""))</f>
        <v>3.3082195017349538E-5</v>
      </c>
    </row>
    <row r="29" spans="1:16" x14ac:dyDescent="0.25">
      <c r="A29" s="281"/>
      <c r="B29" s="65" t="s">
        <v>51</v>
      </c>
      <c r="C29" s="57">
        <v>0</v>
      </c>
      <c r="D29" s="57">
        <v>0</v>
      </c>
      <c r="E29" s="57">
        <f t="shared" ref="E29" si="80">IF(E24="","",ROUND(E28*E24,2))</f>
        <v>0.11</v>
      </c>
      <c r="F29" s="57">
        <f t="shared" ref="F29:G29" si="81">IF(F24="","",ROUND(F28*F24,2))</f>
        <v>0.4</v>
      </c>
      <c r="G29" s="57">
        <f t="shared" si="81"/>
        <v>0.4</v>
      </c>
      <c r="H29" s="57">
        <f t="shared" ref="H29:I29" si="82">IF(H24="","",ROUND(H28*H24,2))</f>
        <v>0.41</v>
      </c>
      <c r="I29" s="57">
        <f t="shared" si="82"/>
        <v>0.41</v>
      </c>
      <c r="J29" s="57">
        <f t="shared" ref="J29:K29" si="83">IF(J24="","",ROUND(J28*J24,2))</f>
        <v>0.51</v>
      </c>
      <c r="K29" s="57">
        <f t="shared" si="83"/>
        <v>0.45</v>
      </c>
      <c r="L29" s="57">
        <f t="shared" ref="L29:M29" si="84">IF(L24="","",ROUND(L28*L24,2))</f>
        <v>0.45</v>
      </c>
      <c r="M29" s="57">
        <f t="shared" si="84"/>
        <v>0.45</v>
      </c>
      <c r="N29" s="57">
        <f t="shared" ref="N29:O29" si="85">IF(N24="","",ROUND(N28*N24,2))</f>
        <v>0.4</v>
      </c>
      <c r="O29" s="57">
        <f t="shared" si="85"/>
        <v>0.41</v>
      </c>
      <c r="P29" s="57">
        <f t="shared" ref="P29" si="86">IF(P24="","",ROUND(P28*P24,2))</f>
        <v>0.43</v>
      </c>
    </row>
    <row r="30" spans="1:16" x14ac:dyDescent="0.25">
      <c r="A30" s="68"/>
      <c r="B30" s="66"/>
      <c r="C30" s="58"/>
      <c r="D30" s="58"/>
      <c r="E30" s="58"/>
      <c r="F30" s="58"/>
      <c r="G30" s="58"/>
      <c r="H30" s="58"/>
      <c r="I30" s="58"/>
      <c r="J30" s="58"/>
      <c r="K30" s="58"/>
      <c r="L30" s="58"/>
      <c r="M30" s="58"/>
      <c r="N30" s="58"/>
      <c r="O30" s="58"/>
      <c r="P30" s="58"/>
    </row>
    <row r="31" spans="1:16" x14ac:dyDescent="0.25">
      <c r="A31" s="281" t="s">
        <v>36</v>
      </c>
      <c r="B31" s="64" t="s">
        <v>47</v>
      </c>
      <c r="C31" s="56">
        <v>0</v>
      </c>
      <c r="D31" s="56">
        <f>IF(+'M4 Allocations - TD'!C55="","",'M4 Allocations - TD'!C55)</f>
        <v>0</v>
      </c>
      <c r="E31" s="56">
        <f>IF(+'M4 Allocations - TD'!D55="","",'M4 Allocations - TD'!D55)</f>
        <v>362</v>
      </c>
      <c r="F31" s="56">
        <f>IF(+'M4 Allocations - TD'!E55="","",'M4 Allocations - TD'!E55)</f>
        <v>2085.83</v>
      </c>
      <c r="G31" s="56">
        <f>IF(+'M4 Allocations - TD'!F55="","",'M4 Allocations - TD'!F55)</f>
        <v>2374.89</v>
      </c>
      <c r="H31" s="56">
        <f>IF(+'M4 Allocations - TD'!G55="","",'M4 Allocations - TD'!G55)</f>
        <v>2277.65</v>
      </c>
      <c r="I31" s="56">
        <f>IF(+'M4 Allocations - TD'!H55="","",'M4 Allocations - TD'!H55)</f>
        <v>2832.23</v>
      </c>
      <c r="J31" s="56">
        <f>IF(+'M4 Allocations - TD'!I55="","",'M4 Allocations - TD'!I55)</f>
        <v>3351.94</v>
      </c>
      <c r="K31" s="56">
        <f>IF(+'M4 Allocations - TD'!J55="","",'M4 Allocations - TD'!J55)</f>
        <v>3234.88</v>
      </c>
      <c r="L31" s="56">
        <f>IF(+'M4 Allocations - TD'!K55="","",'M4 Allocations - TD'!K55)</f>
        <v>3016.6</v>
      </c>
      <c r="M31" s="56">
        <f>IF(+'M4 Allocations - TD'!L55="","",'M4 Allocations - TD'!L55)</f>
        <v>2962.82</v>
      </c>
      <c r="N31" s="56">
        <f>IF(+'M4 Allocations - TD'!M55="","",'M4 Allocations - TD'!M55)</f>
        <v>2405.6358743224937</v>
      </c>
      <c r="O31" s="56">
        <f>IF(+'M4 Allocations - TD'!N55="","",'M4 Allocations - TD'!N55)</f>
        <v>2330.6532502826012</v>
      </c>
      <c r="P31" s="56">
        <f>IF(+'M4 Allocations - TD'!O55="","",'M4 Allocations - TD'!O55)</f>
        <v>2263.6237571788047</v>
      </c>
    </row>
    <row r="32" spans="1:16" x14ac:dyDescent="0.25">
      <c r="A32" s="281"/>
      <c r="B32" s="64" t="s">
        <v>49</v>
      </c>
      <c r="C32" s="79">
        <v>0</v>
      </c>
      <c r="D32" s="79">
        <f t="shared" ref="D32:P33" si="87">IF(D31="","",C32)</f>
        <v>0</v>
      </c>
      <c r="E32" s="103">
        <v>3.5313715556211566E-5</v>
      </c>
      <c r="F32" s="79">
        <f t="shared" si="87"/>
        <v>3.5313715556211566E-5</v>
      </c>
      <c r="G32" s="79">
        <f t="shared" si="87"/>
        <v>3.5313715556211566E-5</v>
      </c>
      <c r="H32" s="79">
        <f t="shared" si="87"/>
        <v>3.5313715556211566E-5</v>
      </c>
      <c r="I32" s="79">
        <f t="shared" si="87"/>
        <v>3.5313715556211566E-5</v>
      </c>
      <c r="J32" s="79">
        <f t="shared" si="87"/>
        <v>3.5313715556211566E-5</v>
      </c>
      <c r="K32" s="79">
        <f t="shared" si="87"/>
        <v>3.5313715556211566E-5</v>
      </c>
      <c r="L32" s="79">
        <f t="shared" si="87"/>
        <v>3.5313715556211566E-5</v>
      </c>
      <c r="M32" s="79">
        <f t="shared" si="87"/>
        <v>3.5313715556211566E-5</v>
      </c>
      <c r="N32" s="79">
        <f t="shared" si="87"/>
        <v>3.5313715556211566E-5</v>
      </c>
      <c r="O32" s="79">
        <f t="shared" si="87"/>
        <v>3.5313715556211566E-5</v>
      </c>
      <c r="P32" s="79">
        <f t="shared" si="87"/>
        <v>3.5313715556211566E-5</v>
      </c>
    </row>
    <row r="33" spans="1:16" x14ac:dyDescent="0.25">
      <c r="A33" s="281"/>
      <c r="B33" s="64" t="s">
        <v>48</v>
      </c>
      <c r="C33" s="79">
        <v>0</v>
      </c>
      <c r="D33" s="79">
        <f t="shared" si="87"/>
        <v>0</v>
      </c>
      <c r="E33" s="102">
        <v>1.7157431528155374E-9</v>
      </c>
      <c r="F33" s="79">
        <f t="shared" si="87"/>
        <v>1.7157431528155374E-9</v>
      </c>
      <c r="G33" s="79">
        <f t="shared" si="87"/>
        <v>1.7157431528155374E-9</v>
      </c>
      <c r="H33" s="79">
        <f t="shared" si="87"/>
        <v>1.7157431528155374E-9</v>
      </c>
      <c r="I33" s="79">
        <f t="shared" si="87"/>
        <v>1.7157431528155374E-9</v>
      </c>
      <c r="J33" s="79">
        <f t="shared" si="87"/>
        <v>1.7157431528155374E-9</v>
      </c>
      <c r="K33" s="79">
        <f t="shared" si="87"/>
        <v>1.7157431528155374E-9</v>
      </c>
      <c r="L33" s="79">
        <f t="shared" si="87"/>
        <v>1.7157431528155374E-9</v>
      </c>
      <c r="M33" s="79">
        <f t="shared" si="87"/>
        <v>1.7157431528155374E-9</v>
      </c>
      <c r="N33" s="79">
        <f t="shared" si="87"/>
        <v>1.7157431528155374E-9</v>
      </c>
      <c r="O33" s="79">
        <f t="shared" si="87"/>
        <v>1.7157431528155374E-9</v>
      </c>
      <c r="P33" s="79">
        <f t="shared" si="87"/>
        <v>1.7157431528155374E-9</v>
      </c>
    </row>
    <row r="34" spans="1:16" x14ac:dyDescent="0.25">
      <c r="A34" s="281"/>
      <c r="B34" s="64" t="s">
        <v>56</v>
      </c>
      <c r="C34" s="55">
        <v>0</v>
      </c>
      <c r="D34" s="55">
        <f t="shared" ref="D34:E34" si="88">IF(D31="","",SUM(D32:D33))</f>
        <v>0</v>
      </c>
      <c r="E34" s="55">
        <f t="shared" si="88"/>
        <v>3.5315431299364383E-5</v>
      </c>
      <c r="F34" s="55">
        <f t="shared" ref="F34:G34" si="89">IF(F31="","",SUM(F32:F33))</f>
        <v>3.5315431299364383E-5</v>
      </c>
      <c r="G34" s="55">
        <f t="shared" si="89"/>
        <v>3.5315431299364383E-5</v>
      </c>
      <c r="H34" s="55">
        <f t="shared" ref="H34:I34" si="90">IF(H31="","",SUM(H32:H33))</f>
        <v>3.5315431299364383E-5</v>
      </c>
      <c r="I34" s="55">
        <f t="shared" si="90"/>
        <v>3.5315431299364383E-5</v>
      </c>
      <c r="J34" s="55">
        <f t="shared" ref="J34:K34" si="91">IF(J31="","",SUM(J32:J33))</f>
        <v>3.5315431299364383E-5</v>
      </c>
      <c r="K34" s="55">
        <f t="shared" si="91"/>
        <v>3.5315431299364383E-5</v>
      </c>
      <c r="L34" s="55">
        <f t="shared" ref="L34:M34" si="92">IF(L31="","",SUM(L32:L33))</f>
        <v>3.5315431299364383E-5</v>
      </c>
      <c r="M34" s="55">
        <f t="shared" si="92"/>
        <v>3.5315431299364383E-5</v>
      </c>
      <c r="N34" s="55">
        <f t="shared" ref="N34:O34" si="93">IF(N31="","",SUM(N32:N33))</f>
        <v>3.5315431299364383E-5</v>
      </c>
      <c r="O34" s="55">
        <f t="shared" si="93"/>
        <v>3.5315431299364383E-5</v>
      </c>
      <c r="P34" s="55">
        <f t="shared" ref="P34" si="94">IF(P31="","",SUM(P32:P33))</f>
        <v>3.5315431299364383E-5</v>
      </c>
    </row>
    <row r="35" spans="1:16" x14ac:dyDescent="0.25">
      <c r="A35" s="281"/>
      <c r="B35" s="64" t="s">
        <v>50</v>
      </c>
      <c r="C35" s="59">
        <v>0</v>
      </c>
      <c r="D35" s="59" t="str">
        <f t="shared" ref="D35:E35" si="95">IF(D31="","",IFERROR(D33/D34,""))</f>
        <v/>
      </c>
      <c r="E35" s="59">
        <f t="shared" si="95"/>
        <v>4.8583383798187335E-5</v>
      </c>
      <c r="F35" s="59">
        <f t="shared" ref="F35:G35" si="96">IF(F31="","",IFERROR(F33/F34,""))</f>
        <v>4.8583383798187335E-5</v>
      </c>
      <c r="G35" s="59">
        <f t="shared" si="96"/>
        <v>4.8583383798187335E-5</v>
      </c>
      <c r="H35" s="59">
        <f t="shared" ref="H35:I35" si="97">IF(H31="","",IFERROR(H33/H34,""))</f>
        <v>4.8583383798187335E-5</v>
      </c>
      <c r="I35" s="59">
        <f t="shared" si="97"/>
        <v>4.8583383798187335E-5</v>
      </c>
      <c r="J35" s="59">
        <f t="shared" ref="J35:K35" si="98">IF(J31="","",IFERROR(J33/J34,""))</f>
        <v>4.8583383798187335E-5</v>
      </c>
      <c r="K35" s="59">
        <f t="shared" si="98"/>
        <v>4.8583383798187335E-5</v>
      </c>
      <c r="L35" s="59">
        <f t="shared" ref="L35:M35" si="99">IF(L31="","",IFERROR(L33/L34,""))</f>
        <v>4.8583383798187335E-5</v>
      </c>
      <c r="M35" s="59">
        <f t="shared" si="99"/>
        <v>4.8583383798187335E-5</v>
      </c>
      <c r="N35" s="59">
        <f t="shared" ref="N35:O35" si="100">IF(N31="","",IFERROR(N33/N34,""))</f>
        <v>4.8583383798187335E-5</v>
      </c>
      <c r="O35" s="59">
        <f t="shared" si="100"/>
        <v>4.8583383798187335E-5</v>
      </c>
      <c r="P35" s="59">
        <f t="shared" ref="P35" si="101">IF(P31="","",IFERROR(P33/P34,""))</f>
        <v>4.8583383798187335E-5</v>
      </c>
    </row>
    <row r="36" spans="1:16" x14ac:dyDescent="0.25">
      <c r="A36" s="281"/>
      <c r="B36" s="65" t="s">
        <v>51</v>
      </c>
      <c r="C36" s="57">
        <v>0</v>
      </c>
      <c r="D36" s="57">
        <v>0</v>
      </c>
      <c r="E36" s="57">
        <f t="shared" ref="E36" si="102">IF(E31="","",ROUND(E35*E31,2))</f>
        <v>0.02</v>
      </c>
      <c r="F36" s="57">
        <f t="shared" ref="F36:G36" si="103">IF(F31="","",ROUND(F35*F31,2))</f>
        <v>0.1</v>
      </c>
      <c r="G36" s="57">
        <f t="shared" si="103"/>
        <v>0.12</v>
      </c>
      <c r="H36" s="57">
        <f t="shared" ref="H36:I36" si="104">IF(H31="","",ROUND(H35*H31,2))</f>
        <v>0.11</v>
      </c>
      <c r="I36" s="57">
        <f t="shared" si="104"/>
        <v>0.14000000000000001</v>
      </c>
      <c r="J36" s="57">
        <f t="shared" ref="J36:K36" si="105">IF(J31="","",ROUND(J35*J31,2))</f>
        <v>0.16</v>
      </c>
      <c r="K36" s="57">
        <f t="shared" si="105"/>
        <v>0.16</v>
      </c>
      <c r="L36" s="57">
        <f t="shared" ref="L36:M36" si="106">IF(L31="","",ROUND(L35*L31,2))</f>
        <v>0.15</v>
      </c>
      <c r="M36" s="57">
        <f t="shared" si="106"/>
        <v>0.14000000000000001</v>
      </c>
      <c r="N36" s="57">
        <f t="shared" ref="N36:O36" si="107">IF(N31="","",ROUND(N35*N31,2))</f>
        <v>0.12</v>
      </c>
      <c r="O36" s="57">
        <f t="shared" si="107"/>
        <v>0.11</v>
      </c>
      <c r="P36" s="57">
        <f t="shared" ref="P36" si="108">IF(P31="","",ROUND(P35*P31,2))</f>
        <v>0.11</v>
      </c>
    </row>
    <row r="37" spans="1:16" x14ac:dyDescent="0.25">
      <c r="A37" s="69"/>
      <c r="B37" s="67"/>
      <c r="C37" s="58"/>
      <c r="D37" s="58"/>
      <c r="E37" s="58"/>
      <c r="F37" s="58"/>
      <c r="G37" s="58"/>
      <c r="H37" s="58"/>
      <c r="I37" s="58"/>
      <c r="J37" s="58"/>
      <c r="K37" s="58"/>
      <c r="L37" s="58"/>
      <c r="M37" s="58"/>
      <c r="N37" s="58"/>
      <c r="O37" s="58"/>
      <c r="P37" s="58"/>
    </row>
  </sheetData>
  <mergeCells count="5">
    <mergeCell ref="A3:A8"/>
    <mergeCell ref="A10:A15"/>
    <mergeCell ref="A17:A22"/>
    <mergeCell ref="A24:A29"/>
    <mergeCell ref="A31:A36"/>
  </mergeCells>
  <printOptions headings="1"/>
  <pageMargins left="0.2" right="0.2" top="0.5" bottom="0.5" header="0.3" footer="0.3"/>
  <pageSetup scale="59" orientation="landscape" cellComments="asDisplayed" r:id="rId1"/>
  <headerFooter>
    <oddHeader>&amp;C&amp;A</oddHeader>
    <oddFooter>&amp;RSchedule JNG-D3</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B1:BE26"/>
  <sheetViews>
    <sheetView tabSelected="1" workbookViewId="0">
      <pane xSplit="2" topLeftCell="C1" activePane="topRight" state="frozen"/>
      <selection activeCell="J13" sqref="J13"/>
      <selection pane="topRight" activeCell="J13" sqref="J13"/>
    </sheetView>
  </sheetViews>
  <sheetFormatPr defaultRowHeight="15" x14ac:dyDescent="0.25"/>
  <cols>
    <col min="2" max="2" width="31.28515625" bestFit="1" customWidth="1"/>
    <col min="3" max="7" width="12.28515625" bestFit="1" customWidth="1"/>
    <col min="8" max="12" width="12.5703125" bestFit="1" customWidth="1"/>
    <col min="13" max="13" width="13.42578125" bestFit="1" customWidth="1"/>
    <col min="14" max="17" width="12.5703125" bestFit="1" customWidth="1"/>
    <col min="18" max="30" width="13.42578125" bestFit="1" customWidth="1"/>
    <col min="31" max="40" width="12.5703125" bestFit="1" customWidth="1"/>
    <col min="41" max="57" width="13.42578125" bestFit="1" customWidth="1"/>
  </cols>
  <sheetData>
    <row r="1" spans="2:57" ht="15.75" thickBot="1" x14ac:dyDescent="0.3">
      <c r="C1" s="245" t="s">
        <v>130</v>
      </c>
      <c r="D1" s="246" t="s">
        <v>130</v>
      </c>
      <c r="E1" s="246" t="s">
        <v>130</v>
      </c>
      <c r="F1" s="246" t="s">
        <v>130</v>
      </c>
      <c r="G1" s="246" t="s">
        <v>130</v>
      </c>
      <c r="H1" s="246" t="s">
        <v>130</v>
      </c>
      <c r="I1" s="246" t="s">
        <v>130</v>
      </c>
      <c r="J1" s="246" t="s">
        <v>130</v>
      </c>
      <c r="K1" s="246" t="s">
        <v>130</v>
      </c>
      <c r="L1" s="246" t="s">
        <v>130</v>
      </c>
      <c r="M1" s="246" t="s">
        <v>130</v>
      </c>
      <c r="N1" s="246" t="s">
        <v>130</v>
      </c>
      <c r="O1" s="246" t="s">
        <v>130</v>
      </c>
      <c r="P1" s="246" t="s">
        <v>130</v>
      </c>
      <c r="Q1" s="246" t="s">
        <v>130</v>
      </c>
      <c r="R1" s="246" t="s">
        <v>130</v>
      </c>
      <c r="S1" s="246" t="s">
        <v>130</v>
      </c>
      <c r="T1" s="246" t="s">
        <v>130</v>
      </c>
      <c r="U1" s="246" t="s">
        <v>130</v>
      </c>
      <c r="V1" s="246" t="s">
        <v>130</v>
      </c>
      <c r="W1" s="246" t="s">
        <v>130</v>
      </c>
      <c r="X1" s="246" t="s">
        <v>130</v>
      </c>
      <c r="Y1" s="246" t="s">
        <v>130</v>
      </c>
      <c r="Z1" s="246" t="s">
        <v>130</v>
      </c>
      <c r="AA1" s="246" t="s">
        <v>130</v>
      </c>
      <c r="AB1" s="246" t="s">
        <v>130</v>
      </c>
      <c r="AC1" s="246" t="s">
        <v>130</v>
      </c>
      <c r="AD1" s="246" t="s">
        <v>130</v>
      </c>
      <c r="AE1" s="246" t="s">
        <v>130</v>
      </c>
      <c r="AF1" s="246" t="s">
        <v>130</v>
      </c>
      <c r="AG1" s="246" t="s">
        <v>130</v>
      </c>
      <c r="AH1" s="246" t="s">
        <v>130</v>
      </c>
      <c r="AI1" s="246" t="s">
        <v>130</v>
      </c>
      <c r="AJ1" s="246" t="s">
        <v>130</v>
      </c>
      <c r="AK1" s="246" t="s">
        <v>130</v>
      </c>
      <c r="AL1" s="246" t="s">
        <v>130</v>
      </c>
      <c r="AM1" s="246" t="s">
        <v>130</v>
      </c>
      <c r="AN1" s="246" t="s">
        <v>130</v>
      </c>
      <c r="AO1" s="246" t="s">
        <v>130</v>
      </c>
      <c r="AP1" s="246" t="s">
        <v>130</v>
      </c>
      <c r="AQ1" s="246" t="s">
        <v>130</v>
      </c>
      <c r="AR1" s="246" t="s">
        <v>130</v>
      </c>
      <c r="AS1" s="246" t="s">
        <v>130</v>
      </c>
      <c r="AT1" s="246" t="s">
        <v>130</v>
      </c>
      <c r="AU1" s="247" t="s">
        <v>130</v>
      </c>
      <c r="AV1" s="245" t="s">
        <v>131</v>
      </c>
      <c r="AW1" s="246" t="s">
        <v>131</v>
      </c>
      <c r="AX1" s="246" t="s">
        <v>131</v>
      </c>
      <c r="AY1" s="246" t="s">
        <v>131</v>
      </c>
      <c r="AZ1" s="246" t="s">
        <v>131</v>
      </c>
      <c r="BA1" s="246" t="s">
        <v>131</v>
      </c>
      <c r="BB1" s="246" t="s">
        <v>131</v>
      </c>
      <c r="BC1" s="246" t="s">
        <v>131</v>
      </c>
      <c r="BD1" s="246" t="s">
        <v>131</v>
      </c>
      <c r="BE1" s="247" t="s">
        <v>131</v>
      </c>
    </row>
    <row r="2" spans="2:57" x14ac:dyDescent="0.25">
      <c r="C2" s="104">
        <v>44287</v>
      </c>
      <c r="D2" s="104">
        <v>44317</v>
      </c>
      <c r="E2" s="104">
        <v>44348</v>
      </c>
      <c r="F2" s="104">
        <v>44378</v>
      </c>
      <c r="G2" s="104">
        <v>44409</v>
      </c>
      <c r="H2" s="104">
        <v>44440</v>
      </c>
      <c r="I2" s="104">
        <v>44470</v>
      </c>
      <c r="J2" s="104">
        <v>44501</v>
      </c>
      <c r="K2" s="104">
        <v>44531</v>
      </c>
      <c r="L2" s="104">
        <v>44562</v>
      </c>
      <c r="M2" s="104">
        <v>44593</v>
      </c>
      <c r="N2" s="104">
        <v>44621</v>
      </c>
      <c r="O2" s="104">
        <v>44652</v>
      </c>
      <c r="P2" s="104">
        <v>44682</v>
      </c>
      <c r="Q2" s="104">
        <v>44713</v>
      </c>
      <c r="R2" s="104">
        <v>44743</v>
      </c>
      <c r="S2" s="104">
        <v>44774</v>
      </c>
      <c r="T2" s="104">
        <v>44805</v>
      </c>
      <c r="U2" s="104">
        <v>44835</v>
      </c>
      <c r="V2" s="104">
        <v>44866</v>
      </c>
      <c r="W2" s="104">
        <v>44896</v>
      </c>
      <c r="X2" s="104">
        <v>44927</v>
      </c>
      <c r="Y2" s="104">
        <v>44958</v>
      </c>
      <c r="Z2" s="104">
        <v>44986</v>
      </c>
      <c r="AA2" s="104">
        <v>45017</v>
      </c>
      <c r="AB2" s="104">
        <v>45047</v>
      </c>
      <c r="AC2" s="104">
        <v>45078</v>
      </c>
      <c r="AD2" s="104">
        <v>45108</v>
      </c>
      <c r="AE2" s="104">
        <v>45139</v>
      </c>
      <c r="AF2" s="104">
        <v>45170</v>
      </c>
      <c r="AG2" s="104">
        <v>45200</v>
      </c>
      <c r="AH2" s="104">
        <v>45231</v>
      </c>
      <c r="AI2" s="104">
        <v>45261</v>
      </c>
      <c r="AJ2" s="104">
        <v>45292</v>
      </c>
      <c r="AK2" s="104">
        <v>45323</v>
      </c>
      <c r="AL2" s="104">
        <v>45352</v>
      </c>
      <c r="AM2" s="104">
        <v>45383</v>
      </c>
      <c r="AN2" s="104">
        <v>45413</v>
      </c>
      <c r="AO2" s="104">
        <v>45444</v>
      </c>
      <c r="AP2" s="104">
        <v>45474</v>
      </c>
      <c r="AQ2" s="104">
        <v>45505</v>
      </c>
      <c r="AR2" s="104">
        <v>45536</v>
      </c>
      <c r="AS2" s="104">
        <v>45566</v>
      </c>
      <c r="AT2" s="104">
        <v>45597</v>
      </c>
      <c r="AU2" s="104">
        <v>45627</v>
      </c>
      <c r="AV2" s="104">
        <v>45658</v>
      </c>
      <c r="AW2" s="104">
        <v>45689</v>
      </c>
      <c r="AX2" s="104">
        <v>45717</v>
      </c>
      <c r="AY2" s="104">
        <v>45748</v>
      </c>
      <c r="AZ2" s="104">
        <v>45778</v>
      </c>
      <c r="BA2" s="104">
        <v>45809</v>
      </c>
      <c r="BB2" s="104">
        <v>45839</v>
      </c>
      <c r="BC2" s="104">
        <v>45870</v>
      </c>
      <c r="BD2" s="104">
        <v>45901</v>
      </c>
      <c r="BE2" s="104">
        <v>45931</v>
      </c>
    </row>
    <row r="3" spans="2:57" x14ac:dyDescent="0.25">
      <c r="B3" s="51" t="s">
        <v>85</v>
      </c>
      <c r="C3" s="49">
        <v>0</v>
      </c>
      <c r="D3" s="49">
        <v>21888.48</v>
      </c>
      <c r="E3" s="154">
        <v>52914.49</v>
      </c>
      <c r="F3" s="154">
        <v>54673.489087036651</v>
      </c>
      <c r="G3" s="154">
        <v>68952.514240276621</v>
      </c>
      <c r="H3" s="154">
        <v>118293.25199272294</v>
      </c>
      <c r="I3" s="154">
        <v>184805.58830074637</v>
      </c>
      <c r="J3" s="154">
        <v>265351.54824569618</v>
      </c>
      <c r="K3" s="154">
        <v>316091.86399821442</v>
      </c>
      <c r="L3" s="154">
        <v>331360.76100246538</v>
      </c>
      <c r="M3" s="154">
        <v>369651.67606963508</v>
      </c>
      <c r="N3" s="154">
        <v>183080.60828332443</v>
      </c>
      <c r="O3" s="154">
        <v>215629.36730509758</v>
      </c>
      <c r="P3" s="154">
        <v>320738.29754685785</v>
      </c>
      <c r="Q3" s="154">
        <v>381941.07483278483</v>
      </c>
      <c r="R3" s="154">
        <v>412191.66100534156</v>
      </c>
      <c r="S3" s="154">
        <v>450145.55133221322</v>
      </c>
      <c r="T3" s="154">
        <v>480685.71891578968</v>
      </c>
      <c r="U3" s="154">
        <v>541508.8266178302</v>
      </c>
      <c r="V3" s="154">
        <v>561909.83741499344</v>
      </c>
      <c r="W3" s="154">
        <v>615385.84651561279</v>
      </c>
      <c r="X3" s="154">
        <v>685363.89284558839</v>
      </c>
      <c r="Y3" s="154">
        <v>726160.08575171628</v>
      </c>
      <c r="Z3" s="154">
        <v>770735.85158225882</v>
      </c>
      <c r="AA3" s="154">
        <v>780659.54894832708</v>
      </c>
      <c r="AB3" s="154">
        <v>800698.45677987696</v>
      </c>
      <c r="AC3" s="154">
        <v>814182.7547070767</v>
      </c>
      <c r="AD3" s="154">
        <v>827306.14447455411</v>
      </c>
      <c r="AE3" s="154">
        <v>194342.81553892637</v>
      </c>
      <c r="AF3" s="154">
        <v>252530.28392805366</v>
      </c>
      <c r="AG3" s="154">
        <v>288511.0463102365</v>
      </c>
      <c r="AH3" s="154">
        <v>347181.6005922209</v>
      </c>
      <c r="AI3" s="154">
        <v>362447.20951706241</v>
      </c>
      <c r="AJ3" s="154">
        <v>380797.66670579283</v>
      </c>
      <c r="AK3" s="154">
        <v>392043.39740146772</v>
      </c>
      <c r="AL3" s="154">
        <v>388490.20820130926</v>
      </c>
      <c r="AM3" s="154">
        <v>384832.80295948411</v>
      </c>
      <c r="AN3" s="154">
        <v>381077.23934960342</v>
      </c>
      <c r="AO3" s="154">
        <v>377429.34445500054</v>
      </c>
      <c r="AP3" s="154">
        <v>425715.26344928652</v>
      </c>
      <c r="AQ3" s="154">
        <v>421689.77085567865</v>
      </c>
      <c r="AR3" s="154">
        <v>505144.1951671227</v>
      </c>
      <c r="AS3" s="154">
        <v>531667.97468237102</v>
      </c>
      <c r="AT3" s="154">
        <v>576156.34245191992</v>
      </c>
      <c r="AU3" s="154">
        <v>586398.04516768851</v>
      </c>
      <c r="AV3" s="154">
        <v>615796.00118206826</v>
      </c>
      <c r="AW3" s="154">
        <v>628014.55000894796</v>
      </c>
      <c r="AX3" s="154">
        <v>622545.57005110546</v>
      </c>
      <c r="AY3" s="154">
        <v>662621.9059450631</v>
      </c>
      <c r="AZ3" s="154">
        <v>679474.76481421338</v>
      </c>
      <c r="BA3" s="154">
        <v>724042.7485929192</v>
      </c>
      <c r="BB3" s="154">
        <v>143047.34535856283</v>
      </c>
      <c r="BC3" s="154">
        <v>143539.05416008367</v>
      </c>
      <c r="BD3" s="154">
        <v>258990.95273364053</v>
      </c>
      <c r="BE3" s="154">
        <v>355951.55297533941</v>
      </c>
    </row>
    <row r="4" spans="2:57" x14ac:dyDescent="0.25">
      <c r="B4" s="51" t="s">
        <v>86</v>
      </c>
      <c r="C4" s="149">
        <v>21888.48</v>
      </c>
      <c r="D4" s="149">
        <v>31026.01</v>
      </c>
      <c r="E4" s="49">
        <v>1912.94</v>
      </c>
      <c r="F4" s="49">
        <v>14641.79</v>
      </c>
      <c r="G4" s="49">
        <v>49815.66</v>
      </c>
      <c r="H4" s="49">
        <v>67154.759999999995</v>
      </c>
      <c r="I4" s="49">
        <v>81496.11</v>
      </c>
      <c r="J4" s="49">
        <v>52212.07</v>
      </c>
      <c r="K4" s="49">
        <v>17269.25</v>
      </c>
      <c r="L4" s="49">
        <v>40557.550000000003</v>
      </c>
      <c r="M4" s="49">
        <v>0</v>
      </c>
      <c r="N4" s="49">
        <v>42895.09</v>
      </c>
      <c r="O4" s="49">
        <v>107235.82</v>
      </c>
      <c r="P4" s="49">
        <v>63735.03</v>
      </c>
      <c r="Q4" s="49">
        <v>33437.46</v>
      </c>
      <c r="R4" s="49">
        <v>41575.129999999997</v>
      </c>
      <c r="S4" s="49">
        <v>34435.99</v>
      </c>
      <c r="T4" s="49">
        <v>64925.1</v>
      </c>
      <c r="U4" s="49">
        <v>24755.54</v>
      </c>
      <c r="V4" s="49">
        <v>58210.5</v>
      </c>
      <c r="W4" s="49">
        <v>75347.460000000006</v>
      </c>
      <c r="X4" s="49">
        <v>46190.57</v>
      </c>
      <c r="Y4" s="49">
        <v>50361.200000000004</v>
      </c>
      <c r="Z4" s="49">
        <v>16097.5</v>
      </c>
      <c r="AA4" s="49">
        <v>23110.13</v>
      </c>
      <c r="AB4" s="49">
        <v>19987.060000000001</v>
      </c>
      <c r="AC4" s="49">
        <v>19388.829999999998</v>
      </c>
      <c r="AD4" s="49">
        <v>54028.06</v>
      </c>
      <c r="AE4" s="49">
        <v>60059.490000000005</v>
      </c>
      <c r="AF4" s="49">
        <v>38128.49</v>
      </c>
      <c r="AG4" s="49">
        <v>61279.490000000005</v>
      </c>
      <c r="AH4" s="49">
        <v>18097.68</v>
      </c>
      <c r="AI4" s="49">
        <v>21511.949999999997</v>
      </c>
      <c r="AJ4" s="49">
        <v>14538.25</v>
      </c>
      <c r="AK4" s="49">
        <v>0</v>
      </c>
      <c r="AL4" s="49">
        <v>0</v>
      </c>
      <c r="AM4" s="49">
        <v>0</v>
      </c>
      <c r="AN4" s="49">
        <v>0</v>
      </c>
      <c r="AO4" s="49">
        <v>52131.86</v>
      </c>
      <c r="AP4" s="49">
        <v>0</v>
      </c>
      <c r="AQ4" s="49">
        <v>87617.85</v>
      </c>
      <c r="AR4" s="49">
        <v>30929.15</v>
      </c>
      <c r="AS4" s="49">
        <v>49192.97</v>
      </c>
      <c r="AT4" s="49">
        <v>15261.08</v>
      </c>
      <c r="AU4" s="49">
        <v>34591.350000000006</v>
      </c>
      <c r="AV4" s="49">
        <v>17546.399999999998</v>
      </c>
      <c r="AW4" s="49">
        <v>0</v>
      </c>
      <c r="AX4" s="49">
        <v>46107.58</v>
      </c>
      <c r="AY4" s="49">
        <v>23462.639999999999</v>
      </c>
      <c r="AZ4" s="49">
        <v>50322.82</v>
      </c>
      <c r="BA4" s="49">
        <v>35605.5</v>
      </c>
      <c r="BB4" s="49">
        <v>1558.04</v>
      </c>
      <c r="BC4" s="49">
        <v>116768.4</v>
      </c>
      <c r="BD4" s="49">
        <v>103731.49999999999</v>
      </c>
      <c r="BE4" s="49">
        <v>192881.9</v>
      </c>
    </row>
    <row r="5" spans="2:57" x14ac:dyDescent="0.25">
      <c r="B5" s="51" t="s">
        <v>113</v>
      </c>
      <c r="C5" s="149"/>
      <c r="D5" s="149"/>
      <c r="E5" s="49"/>
      <c r="F5" s="49"/>
      <c r="G5" s="49"/>
      <c r="H5" s="49"/>
      <c r="I5" s="49"/>
      <c r="J5" s="49"/>
      <c r="K5" s="49"/>
      <c r="L5" s="49"/>
      <c r="M5" s="49">
        <v>-184805.58830074637</v>
      </c>
      <c r="N5" s="49"/>
      <c r="O5" s="49"/>
      <c r="P5" s="49"/>
      <c r="Q5" s="49"/>
      <c r="R5" s="49"/>
      <c r="S5" s="49"/>
      <c r="T5" s="49"/>
      <c r="U5" s="49"/>
      <c r="V5" s="49"/>
      <c r="W5" s="49"/>
      <c r="X5" s="49"/>
      <c r="Y5" s="49"/>
      <c r="Z5" s="49"/>
      <c r="AA5" s="49"/>
      <c r="AB5" s="49"/>
      <c r="AC5" s="49"/>
      <c r="AD5" s="49">
        <v>-685363.89284558839</v>
      </c>
      <c r="AE5" s="49"/>
      <c r="AF5" s="49"/>
      <c r="AG5" s="49"/>
      <c r="AH5" s="49"/>
      <c r="AI5" s="49"/>
      <c r="AJ5" s="49"/>
      <c r="AK5" s="49"/>
      <c r="AL5" s="49"/>
      <c r="AM5" s="49"/>
      <c r="AN5" s="49"/>
      <c r="AO5" s="49"/>
      <c r="AP5" s="49"/>
      <c r="AQ5" s="49"/>
      <c r="AR5" s="49"/>
      <c r="AS5" s="49"/>
      <c r="AT5" s="49"/>
      <c r="AU5" s="49"/>
      <c r="AV5" s="49"/>
      <c r="AW5" s="49"/>
      <c r="AX5" s="49"/>
      <c r="AY5" s="49"/>
      <c r="AZ5" s="49"/>
      <c r="BA5" s="49">
        <v>-615796.00118206826</v>
      </c>
      <c r="BB5" s="49"/>
      <c r="BC5" s="49"/>
      <c r="BD5" s="49"/>
      <c r="BE5" s="49"/>
    </row>
    <row r="6" spans="2:57" x14ac:dyDescent="0.25">
      <c r="B6" s="51" t="s">
        <v>114</v>
      </c>
      <c r="C6" s="149"/>
      <c r="D6" s="149"/>
      <c r="E6" s="49"/>
      <c r="F6" s="49"/>
      <c r="G6" s="49"/>
      <c r="H6" s="49"/>
      <c r="I6" s="49"/>
      <c r="J6" s="49"/>
      <c r="K6" s="49"/>
      <c r="L6" s="49"/>
      <c r="M6" s="49"/>
      <c r="N6" s="49">
        <v>-8404.8578125000004</v>
      </c>
      <c r="O6" s="49"/>
      <c r="P6" s="49"/>
      <c r="Q6" s="49"/>
      <c r="R6" s="49"/>
      <c r="S6" s="49"/>
      <c r="T6" s="49"/>
      <c r="U6" s="49"/>
      <c r="V6" s="49"/>
      <c r="W6" s="49">
        <v>-692.5532558282822</v>
      </c>
      <c r="X6" s="49"/>
      <c r="Y6" s="49"/>
      <c r="Z6" s="49"/>
      <c r="AA6" s="49"/>
      <c r="AB6" s="49"/>
      <c r="AC6" s="49"/>
      <c r="AD6" s="49"/>
      <c r="AE6" s="49"/>
      <c r="AF6" s="49"/>
      <c r="AG6" s="49"/>
      <c r="AH6" s="49"/>
      <c r="AI6" s="49"/>
      <c r="AJ6" s="49"/>
      <c r="AK6" s="49"/>
      <c r="AL6" s="49"/>
      <c r="AM6" s="49">
        <v>-142.30083333333334</v>
      </c>
      <c r="AN6" s="49"/>
      <c r="AO6" s="49"/>
      <c r="AP6" s="49"/>
      <c r="AQ6" s="49"/>
      <c r="AR6" s="49"/>
      <c r="AS6" s="49"/>
      <c r="AT6" s="49"/>
      <c r="AU6" s="49"/>
      <c r="AV6" s="49"/>
      <c r="AW6" s="49"/>
      <c r="AX6" s="49">
        <v>-374.04324542208911</v>
      </c>
      <c r="AY6" s="49"/>
      <c r="AZ6" s="49"/>
      <c r="BA6" s="49"/>
      <c r="BB6" s="49"/>
      <c r="BC6" s="49">
        <v>-80.220069444444448</v>
      </c>
      <c r="BD6" s="49"/>
      <c r="BE6" s="49"/>
    </row>
    <row r="7" spans="2:57" x14ac:dyDescent="0.25">
      <c r="B7" s="51" t="s">
        <v>136</v>
      </c>
      <c r="C7" s="149"/>
      <c r="D7" s="1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v>-5172.5422916666666</v>
      </c>
      <c r="BE7" s="49"/>
    </row>
    <row r="8" spans="2:57" x14ac:dyDescent="0.25">
      <c r="B8" s="51" t="s">
        <v>115</v>
      </c>
      <c r="C8" s="149"/>
      <c r="D8" s="149"/>
      <c r="E8" s="49"/>
      <c r="F8" s="49"/>
      <c r="G8" s="49"/>
      <c r="H8" s="49"/>
      <c r="I8" s="49"/>
      <c r="J8" s="49"/>
      <c r="K8" s="49"/>
      <c r="L8" s="49"/>
      <c r="M8" s="49"/>
      <c r="N8" s="49"/>
      <c r="O8" s="49"/>
      <c r="P8" s="49"/>
      <c r="Q8" s="49"/>
      <c r="R8" s="49"/>
      <c r="S8" s="49"/>
      <c r="T8" s="49"/>
      <c r="U8" s="49"/>
      <c r="V8" s="49"/>
      <c r="W8" s="49">
        <v>387.15675951366387</v>
      </c>
      <c r="X8" s="49"/>
      <c r="Y8" s="49"/>
      <c r="Z8" s="49"/>
      <c r="AA8" s="49">
        <v>2979.1408147609818</v>
      </c>
      <c r="AB8" s="49"/>
      <c r="AC8" s="49">
        <v>428.90625</v>
      </c>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v>80.220069444444448</v>
      </c>
      <c r="BD8" s="49"/>
      <c r="BE8" s="49"/>
    </row>
    <row r="9" spans="2:57" x14ac:dyDescent="0.25">
      <c r="B9" s="51" t="s">
        <v>87</v>
      </c>
      <c r="C9" s="148">
        <v>0</v>
      </c>
      <c r="D9" s="148">
        <v>0</v>
      </c>
      <c r="E9" s="148">
        <v>153.94091296334616</v>
      </c>
      <c r="F9" s="148">
        <v>362.76484676002565</v>
      </c>
      <c r="G9" s="148">
        <v>474.92224755367641</v>
      </c>
      <c r="H9" s="148">
        <v>642.42369197655432</v>
      </c>
      <c r="I9" s="148">
        <v>950.150055050226</v>
      </c>
      <c r="J9" s="148">
        <v>1471.7542474817876</v>
      </c>
      <c r="K9" s="148">
        <v>2000.3529957490173</v>
      </c>
      <c r="L9" s="148">
        <v>2266.6349328303177</v>
      </c>
      <c r="M9" s="148">
        <v>1765.4794855642854</v>
      </c>
      <c r="N9" s="148">
        <v>1941.4731657268321</v>
      </c>
      <c r="O9" s="148">
        <v>2126.8897582397071</v>
      </c>
      <c r="P9" s="148">
        <v>2532.2527140730399</v>
      </c>
      <c r="Q9" s="148">
        <v>3186.8738274432799</v>
      </c>
      <c r="R9" s="148">
        <v>3621.2396731283361</v>
      </c>
      <c r="S9" s="148">
        <v>3895.822416423543</v>
      </c>
      <c r="T9" s="148">
        <v>4101.9922979594894</v>
      </c>
      <c r="U9" s="148">
        <v>4354.5292028367503</v>
      </c>
      <c r="V9" s="148">
        <v>4734.4908993806794</v>
      </c>
      <c r="W9" s="148">
        <v>5064.0171737097062</v>
      </c>
      <c r="X9" s="148">
        <v>5394.3770938720654</v>
      </c>
      <c r="Y9" s="148">
        <v>5785.4341694574669</v>
      </c>
      <c r="Z9" s="148">
        <v>6173.8026339317557</v>
      </c>
      <c r="AA9" s="148">
        <v>6050.3629832110209</v>
      </c>
      <c r="AB9" s="148">
        <v>6502.762072800364</v>
      </c>
      <c r="AC9" s="148">
        <v>6694.3464825225892</v>
      </c>
      <c r="AD9" s="148">
        <v>1627.4960900394124</v>
      </c>
      <c r="AE9" s="148">
        <v>1872.0216108727457</v>
      </c>
      <c r="AF9" s="148">
        <v>2147.7276178171905</v>
      </c>
      <c r="AG9" s="148">
        <v>2608.9357180156035</v>
      </c>
      <c r="AH9" s="148">
        <v>2832.0710751584597</v>
      </c>
      <c r="AI9" s="148">
        <v>3161.4928112695702</v>
      </c>
      <c r="AJ9" s="148">
        <v>3292.5193043251256</v>
      </c>
      <c r="AK9" s="148">
        <v>3553.1892001584583</v>
      </c>
      <c r="AL9" s="148">
        <v>3657.4052418251249</v>
      </c>
      <c r="AM9" s="148">
        <v>3613.2627765473471</v>
      </c>
      <c r="AN9" s="148">
        <v>3647.8948946029022</v>
      </c>
      <c r="AO9" s="148">
        <v>3845.9410057140144</v>
      </c>
      <c r="AP9" s="148">
        <v>4025.4925936078771</v>
      </c>
      <c r="AQ9" s="148">
        <v>4163.4256885559789</v>
      </c>
      <c r="AR9" s="148">
        <v>4405.370484751631</v>
      </c>
      <c r="AS9" s="148">
        <v>4704.6022304511071</v>
      </c>
      <c r="AT9" s="148">
        <v>5019.377284231392</v>
      </c>
      <c r="AU9" s="148">
        <v>5193.3939856202778</v>
      </c>
      <c r="AV9" s="148">
        <v>5327.8511731202761</v>
      </c>
      <c r="AW9" s="148">
        <v>5468.9799578424972</v>
      </c>
      <c r="AX9" s="148">
        <v>5657.2008606202735</v>
      </c>
      <c r="AY9" s="148">
        <v>6609.7811308497403</v>
      </c>
      <c r="AZ9" s="148">
        <v>5754.8362212941029</v>
      </c>
      <c r="BA9" s="148">
        <v>804.90205228810839</v>
      </c>
      <c r="BB9" s="148">
        <v>1066.3311984791519</v>
      </c>
      <c r="BC9" s="148">
        <v>1316.5014264431259</v>
      </c>
      <c r="BD9" s="148">
        <v>1598.3574666344325</v>
      </c>
      <c r="BE9" s="148">
        <v>2809.736587408076</v>
      </c>
    </row>
    <row r="10" spans="2:57" x14ac:dyDescent="0.25">
      <c r="B10" s="51" t="s">
        <v>88</v>
      </c>
      <c r="C10" s="49">
        <v>21888.48</v>
      </c>
      <c r="D10" s="49">
        <v>52914.49</v>
      </c>
      <c r="E10" s="49">
        <v>54673.489087036651</v>
      </c>
      <c r="F10" s="49">
        <v>68952.514240276621</v>
      </c>
      <c r="G10" s="49">
        <v>118293.25199272294</v>
      </c>
      <c r="H10" s="49">
        <v>184805.58830074637</v>
      </c>
      <c r="I10" s="49">
        <v>265351.54824569618</v>
      </c>
      <c r="J10" s="49">
        <v>316091.86399821442</v>
      </c>
      <c r="K10" s="49">
        <v>331360.76100246538</v>
      </c>
      <c r="L10" s="49">
        <v>369651.67606963508</v>
      </c>
      <c r="M10" s="49">
        <v>183080.60828332443</v>
      </c>
      <c r="N10" s="49">
        <v>215629.36730509758</v>
      </c>
      <c r="O10" s="49">
        <v>320738.29754685785</v>
      </c>
      <c r="P10" s="49">
        <v>381941.07483278483</v>
      </c>
      <c r="Q10" s="49">
        <v>412191.66100534156</v>
      </c>
      <c r="R10" s="49">
        <v>450145.55133221322</v>
      </c>
      <c r="S10" s="49">
        <v>480685.71891578968</v>
      </c>
      <c r="T10" s="49">
        <v>541508.8266178302</v>
      </c>
      <c r="U10" s="49">
        <v>561909.83741499344</v>
      </c>
      <c r="V10" s="49">
        <v>615385.84651561279</v>
      </c>
      <c r="W10" s="49">
        <v>685363.89284558839</v>
      </c>
      <c r="X10" s="49">
        <v>726160.08575171628</v>
      </c>
      <c r="Y10" s="49">
        <v>770735.85158225882</v>
      </c>
      <c r="Z10" s="49">
        <v>780659.54894832708</v>
      </c>
      <c r="AA10" s="49">
        <v>800698.45677987696</v>
      </c>
      <c r="AB10" s="49">
        <v>814182.7547070767</v>
      </c>
      <c r="AC10" s="49">
        <v>827306.14447455411</v>
      </c>
      <c r="AD10" s="49">
        <v>194342.81553892637</v>
      </c>
      <c r="AE10" s="49">
        <v>252530.28392805366</v>
      </c>
      <c r="AF10" s="49">
        <v>288511.0463102365</v>
      </c>
      <c r="AG10" s="49">
        <v>347181.6005922209</v>
      </c>
      <c r="AH10" s="49">
        <v>362447.20951706241</v>
      </c>
      <c r="AI10" s="49">
        <v>380797.66670579283</v>
      </c>
      <c r="AJ10" s="49">
        <v>392043.39740146772</v>
      </c>
      <c r="AK10" s="49">
        <v>388490.20820130926</v>
      </c>
      <c r="AL10" s="49">
        <v>384832.80295948411</v>
      </c>
      <c r="AM10" s="49">
        <v>381077.23934960342</v>
      </c>
      <c r="AN10" s="49">
        <v>377429.34445500054</v>
      </c>
      <c r="AO10" s="49">
        <v>425715.26344928652</v>
      </c>
      <c r="AP10" s="49">
        <v>421689.77085567865</v>
      </c>
      <c r="AQ10" s="49">
        <v>505144.1951671227</v>
      </c>
      <c r="AR10" s="49">
        <v>531667.97468237102</v>
      </c>
      <c r="AS10" s="49">
        <v>576156.34245191992</v>
      </c>
      <c r="AT10" s="49">
        <v>586398.04516768851</v>
      </c>
      <c r="AU10" s="49">
        <v>615796.00118206826</v>
      </c>
      <c r="AV10" s="49">
        <v>628014.55000894796</v>
      </c>
      <c r="AW10" s="49">
        <v>622545.57005110546</v>
      </c>
      <c r="AX10" s="49">
        <v>662621.9059450631</v>
      </c>
      <c r="AY10" s="49">
        <v>679474.76481421338</v>
      </c>
      <c r="AZ10" s="49">
        <v>724042.7485929192</v>
      </c>
      <c r="BA10" s="49">
        <v>143047.34535856283</v>
      </c>
      <c r="BB10" s="49">
        <v>143539.05416008367</v>
      </c>
      <c r="BC10" s="49">
        <v>258990.95273364053</v>
      </c>
      <c r="BD10" s="49">
        <v>355951.55297533941</v>
      </c>
      <c r="BE10" s="49">
        <v>546023.71638793126</v>
      </c>
    </row>
    <row r="11" spans="2:57" x14ac:dyDescent="0.25">
      <c r="B11" s="51" t="s">
        <v>89</v>
      </c>
      <c r="C11" s="150">
        <v>-5191.2544667231996</v>
      </c>
      <c r="D11" s="150">
        <v>-12549.641755246599</v>
      </c>
      <c r="E11" s="155">
        <v>-12966.820648780598</v>
      </c>
      <c r="F11" s="148">
        <v>-16353.353341192767</v>
      </c>
      <c r="G11" s="148">
        <v>-28055.414208315793</v>
      </c>
      <c r="H11" s="148">
        <v>-43830.034600011437</v>
      </c>
      <c r="I11" s="155">
        <v>-62932.986213861674</v>
      </c>
      <c r="J11" s="155">
        <v>-74938.110841104688</v>
      </c>
      <c r="K11" s="155">
        <v>-78558.015136181493</v>
      </c>
      <c r="L11" s="155">
        <v>-87635.910407560878</v>
      </c>
      <c r="M11" s="155">
        <v>-43404.201369985705</v>
      </c>
      <c r="N11" s="155">
        <v>-51120.763512590624</v>
      </c>
      <c r="O11" s="155">
        <v>-76039.673367516429</v>
      </c>
      <c r="P11" s="155">
        <v>-90549.444198132129</v>
      </c>
      <c r="Q11" s="155">
        <v>-97721.162416163366</v>
      </c>
      <c r="R11" s="155">
        <v>-106719.15687318712</v>
      </c>
      <c r="S11" s="155">
        <v>-113959.52818339868</v>
      </c>
      <c r="T11" s="155">
        <v>-128379.28808807534</v>
      </c>
      <c r="U11" s="155">
        <v>-133215.8985248344</v>
      </c>
      <c r="V11" s="155">
        <v>-145685.82991825967</v>
      </c>
      <c r="W11" s="155">
        <v>-162252.36262837175</v>
      </c>
      <c r="X11" s="155">
        <v>-171910.41254077558</v>
      </c>
      <c r="Y11" s="155">
        <v>-182463.23476773239</v>
      </c>
      <c r="Z11" s="155">
        <v>-185274.57869933208</v>
      </c>
      <c r="AA11" s="155">
        <v>-190030.42932728733</v>
      </c>
      <c r="AB11" s="155">
        <v>-193230.6689463169</v>
      </c>
      <c r="AC11" s="155">
        <v>-196345.25393224583</v>
      </c>
      <c r="AD11" s="155">
        <v>-46123.541716390289</v>
      </c>
      <c r="AE11" s="155">
        <v>-59933.221884780636</v>
      </c>
      <c r="AF11" s="155">
        <v>-68472.566084976861</v>
      </c>
      <c r="AG11" s="155">
        <v>-82396.897429280274</v>
      </c>
      <c r="AH11" s="155">
        <v>-85362.116996620476</v>
      </c>
      <c r="AI11" s="155">
        <v>-89683.943271881508</v>
      </c>
      <c r="AJ11" s="155">
        <v>-92335.033223619233</v>
      </c>
      <c r="AK11" s="155">
        <v>-91498.177291288695</v>
      </c>
      <c r="AL11" s="155">
        <v>-90636.776138369038</v>
      </c>
      <c r="AM11" s="155">
        <v>-89752.256483172183</v>
      </c>
      <c r="AN11" s="155">
        <v>-88893.095230815976</v>
      </c>
      <c r="AO11" s="155">
        <v>-100265.51462142932</v>
      </c>
      <c r="AP11" s="155">
        <v>-99317.420622561156</v>
      </c>
      <c r="AQ11" s="155">
        <v>-118972.81360336476</v>
      </c>
      <c r="AR11" s="155">
        <v>-125219.75993376924</v>
      </c>
      <c r="AS11" s="155">
        <v>-135697.77064200546</v>
      </c>
      <c r="AT11" s="155">
        <v>-138811.55885405006</v>
      </c>
      <c r="AU11" s="155">
        <v>-145772.92899678246</v>
      </c>
      <c r="AV11" s="155">
        <v>-148665.33759827618</v>
      </c>
      <c r="AW11" s="155">
        <v>-147370.70556827102</v>
      </c>
      <c r="AX11" s="155">
        <v>-156857.68641177574</v>
      </c>
      <c r="AY11" s="155">
        <v>-160847.14167717149</v>
      </c>
      <c r="AZ11" s="155">
        <v>-171397.39780490196</v>
      </c>
      <c r="BA11" s="155">
        <v>-33862.562403952186</v>
      </c>
      <c r="BB11" s="155">
        <v>-33978.961068564488</v>
      </c>
      <c r="BC11" s="155">
        <v>-61309.053146136932</v>
      </c>
      <c r="BD11" s="155">
        <v>-84261.834046608565</v>
      </c>
      <c r="BE11" s="155">
        <v>-129256.24116880832</v>
      </c>
    </row>
    <row r="12" spans="2:57" x14ac:dyDescent="0.25">
      <c r="B12" s="51" t="s">
        <v>90</v>
      </c>
      <c r="C12" s="49">
        <v>16697.2255332768</v>
      </c>
      <c r="D12" s="49">
        <v>40364.848244753397</v>
      </c>
      <c r="E12" s="156">
        <v>41706.668438256049</v>
      </c>
      <c r="F12" s="156">
        <v>52599.160899083858</v>
      </c>
      <c r="G12" s="156">
        <v>90237.837784407151</v>
      </c>
      <c r="H12" s="156">
        <v>140975.55370073492</v>
      </c>
      <c r="I12" s="156">
        <v>202418.5620318345</v>
      </c>
      <c r="J12" s="156">
        <v>241153.75315710972</v>
      </c>
      <c r="K12" s="156">
        <v>252802.74586628389</v>
      </c>
      <c r="L12" s="156">
        <v>282015.76566207421</v>
      </c>
      <c r="M12" s="156">
        <v>139676.40691333872</v>
      </c>
      <c r="N12" s="156">
        <v>164508.60379250697</v>
      </c>
      <c r="O12" s="156">
        <v>244698.62417934142</v>
      </c>
      <c r="P12" s="156">
        <v>291391.63063465268</v>
      </c>
      <c r="Q12" s="156">
        <v>314470.4985891782</v>
      </c>
      <c r="R12" s="156">
        <v>343426.39445902611</v>
      </c>
      <c r="S12" s="156">
        <v>366726.19073239097</v>
      </c>
      <c r="T12" s="156">
        <v>413129.53852975485</v>
      </c>
      <c r="U12" s="156">
        <v>428693.93889015901</v>
      </c>
      <c r="V12" s="156">
        <v>469700.01659735315</v>
      </c>
      <c r="W12" s="156">
        <v>523111.53021721664</v>
      </c>
      <c r="X12" s="156">
        <v>554249.67321094067</v>
      </c>
      <c r="Y12" s="156">
        <v>588272.6168145265</v>
      </c>
      <c r="Z12" s="156">
        <v>595384.970248995</v>
      </c>
      <c r="AA12" s="156">
        <v>610668.02745258959</v>
      </c>
      <c r="AB12" s="156">
        <v>620952.08576075977</v>
      </c>
      <c r="AC12" s="156">
        <v>630960.89054230833</v>
      </c>
      <c r="AD12" s="156">
        <v>148219.27382253608</v>
      </c>
      <c r="AE12" s="156">
        <v>192597.06204327301</v>
      </c>
      <c r="AF12" s="156">
        <v>220038.48022525964</v>
      </c>
      <c r="AG12" s="156">
        <v>264784.70316294063</v>
      </c>
      <c r="AH12" s="156">
        <v>277085.09252044192</v>
      </c>
      <c r="AI12" s="156">
        <v>291113.72343391133</v>
      </c>
      <c r="AJ12" s="156">
        <v>299708.3641778485</v>
      </c>
      <c r="AK12" s="156">
        <v>296992.03091002058</v>
      </c>
      <c r="AL12" s="156">
        <v>294196.02682111505</v>
      </c>
      <c r="AM12" s="156">
        <v>291324.98286643124</v>
      </c>
      <c r="AN12" s="156">
        <v>288536.24922418455</v>
      </c>
      <c r="AO12" s="156">
        <v>325449.7488278572</v>
      </c>
      <c r="AP12" s="156">
        <v>322372.35023311747</v>
      </c>
      <c r="AQ12" s="156">
        <v>386171.38156375795</v>
      </c>
      <c r="AR12" s="156">
        <v>406448.21474860178</v>
      </c>
      <c r="AS12" s="156">
        <v>440458.57180991443</v>
      </c>
      <c r="AT12" s="156">
        <v>447586.48631363845</v>
      </c>
      <c r="AU12" s="156">
        <v>470023.0721852858</v>
      </c>
      <c r="AV12" s="156">
        <v>479349.21241067175</v>
      </c>
      <c r="AW12" s="156">
        <v>475174.86448283447</v>
      </c>
      <c r="AX12" s="156">
        <v>505764.21953328734</v>
      </c>
      <c r="AY12" s="156">
        <v>518627.62313704193</v>
      </c>
      <c r="AZ12" s="156">
        <v>552645.35078801727</v>
      </c>
      <c r="BA12" s="156">
        <v>109184.78295461065</v>
      </c>
      <c r="BB12" s="156">
        <v>109560.09309151919</v>
      </c>
      <c r="BC12" s="156">
        <v>197681.89958750361</v>
      </c>
      <c r="BD12" s="156">
        <v>271689.71892873081</v>
      </c>
      <c r="BE12" s="156">
        <v>416767.47521912295</v>
      </c>
    </row>
    <row r="13" spans="2:57" x14ac:dyDescent="0.25">
      <c r="B13" s="51" t="s">
        <v>91</v>
      </c>
      <c r="C13" s="52">
        <v>9.0399999999999994E-2</v>
      </c>
      <c r="D13" s="52">
        <v>9.0399999999999994E-2</v>
      </c>
      <c r="E13" s="157">
        <v>9.0399999999999994E-2</v>
      </c>
      <c r="F13" s="52">
        <v>9.0399999999999994E-2</v>
      </c>
      <c r="G13" s="52">
        <v>9.0399999999999994E-2</v>
      </c>
      <c r="H13" s="52">
        <v>9.0399999999999994E-2</v>
      </c>
      <c r="I13" s="157">
        <v>9.0399999999999994E-2</v>
      </c>
      <c r="J13" s="157">
        <v>9.0399999999999994E-2</v>
      </c>
      <c r="K13" s="157">
        <v>9.0399999999999994E-2</v>
      </c>
      <c r="L13" s="157">
        <v>9.0399999999999994E-2</v>
      </c>
      <c r="M13" s="157">
        <v>9.0399999999999994E-2</v>
      </c>
      <c r="N13" s="157">
        <v>8.2900000000000001E-2</v>
      </c>
      <c r="O13" s="157">
        <v>8.2900000000000001E-2</v>
      </c>
      <c r="P13" s="190">
        <v>8.2900000000000001E-2</v>
      </c>
      <c r="Q13" s="190">
        <v>8.2900000000000001E-2</v>
      </c>
      <c r="R13" s="190">
        <v>8.2900000000000001E-2</v>
      </c>
      <c r="S13" s="190">
        <v>8.2900000000000001E-2</v>
      </c>
      <c r="T13" s="190">
        <v>8.2900000000000001E-2</v>
      </c>
      <c r="U13" s="190">
        <v>8.2900000000000001E-2</v>
      </c>
      <c r="V13" s="190">
        <v>8.2900000000000001E-2</v>
      </c>
      <c r="W13" s="190">
        <v>8.2900000000000001E-2</v>
      </c>
      <c r="X13" s="190">
        <v>8.2900000000000001E-2</v>
      </c>
      <c r="Y13" s="190">
        <v>8.2900000000000001E-2</v>
      </c>
      <c r="Z13" s="190">
        <v>8.2900000000000001E-2</v>
      </c>
      <c r="AA13" s="190">
        <v>8.2900000000000001E-2</v>
      </c>
      <c r="AB13" s="190">
        <v>8.2900000000000001E-2</v>
      </c>
      <c r="AC13" s="190">
        <v>8.2900000000000001E-2</v>
      </c>
      <c r="AD13" s="190">
        <v>7.6300000000000007E-2</v>
      </c>
      <c r="AE13" s="190">
        <v>7.6300000000000007E-2</v>
      </c>
      <c r="AF13" s="190">
        <v>7.6300000000000007E-2</v>
      </c>
      <c r="AG13" s="190">
        <v>8.3599999999999994E-2</v>
      </c>
      <c r="AH13" s="190">
        <v>8.3599999999999994E-2</v>
      </c>
      <c r="AI13" s="190">
        <v>8.3599999999999994E-2</v>
      </c>
      <c r="AJ13" s="190">
        <v>8.3599999999999994E-2</v>
      </c>
      <c r="AK13" s="190">
        <v>8.3599999999999994E-2</v>
      </c>
      <c r="AL13" s="190">
        <v>8.3599999999999994E-2</v>
      </c>
      <c r="AM13" s="190">
        <v>8.3599999999999994E-2</v>
      </c>
      <c r="AN13" s="190">
        <v>8.3599999999999994E-2</v>
      </c>
      <c r="AO13" s="190">
        <v>8.3599999999999994E-2</v>
      </c>
      <c r="AP13" s="190">
        <v>8.3599999999999994E-2</v>
      </c>
      <c r="AQ13" s="190">
        <v>8.3599999999999994E-2</v>
      </c>
      <c r="AR13" s="190">
        <v>8.3599999999999994E-2</v>
      </c>
      <c r="AS13" s="190">
        <v>8.3599999999999994E-2</v>
      </c>
      <c r="AT13" s="190">
        <v>8.3599999999999994E-2</v>
      </c>
      <c r="AU13" s="190">
        <v>8.3599999999999994E-2</v>
      </c>
      <c r="AV13" s="190">
        <v>8.3599999999999994E-2</v>
      </c>
      <c r="AW13" s="190">
        <v>8.3599999999999994E-2</v>
      </c>
      <c r="AX13" s="190">
        <v>8.3599999999999994E-2</v>
      </c>
      <c r="AY13" s="190">
        <v>8.3599999999999994E-2</v>
      </c>
      <c r="AZ13" s="190">
        <v>8.3599999999999994E-2</v>
      </c>
      <c r="BA13" s="190">
        <v>8.5400000000000004E-2</v>
      </c>
      <c r="BB13" s="190">
        <v>8.5400000000000004E-2</v>
      </c>
      <c r="BC13" s="190">
        <v>8.5400000000000004E-2</v>
      </c>
      <c r="BD13" s="190">
        <v>8.5400000000000004E-2</v>
      </c>
      <c r="BE13" s="190">
        <v>8.5400000000000004E-2</v>
      </c>
    </row>
    <row r="14" spans="2:57" x14ac:dyDescent="0.25">
      <c r="B14" s="51" t="s">
        <v>92</v>
      </c>
      <c r="C14" s="151">
        <v>0.04</v>
      </c>
      <c r="D14" s="151">
        <v>0.04</v>
      </c>
      <c r="E14" s="151">
        <v>0.04</v>
      </c>
      <c r="F14" s="151">
        <v>0.04</v>
      </c>
      <c r="G14" s="151">
        <v>0.04</v>
      </c>
      <c r="H14" s="151">
        <v>0.04</v>
      </c>
      <c r="I14" s="151">
        <v>0.04</v>
      </c>
      <c r="J14" s="151">
        <v>0.03</v>
      </c>
      <c r="K14" s="151">
        <v>0.03</v>
      </c>
      <c r="L14" s="151">
        <v>0.03</v>
      </c>
      <c r="M14" s="151">
        <v>0.03</v>
      </c>
      <c r="N14" s="151">
        <v>0.03</v>
      </c>
      <c r="O14" s="151">
        <v>0.03</v>
      </c>
      <c r="P14" s="151">
        <v>0.03</v>
      </c>
      <c r="Q14" s="151">
        <v>0.03</v>
      </c>
      <c r="R14" s="151">
        <v>0.03</v>
      </c>
      <c r="S14" s="151">
        <v>0.03</v>
      </c>
      <c r="T14" s="151">
        <v>0.03</v>
      </c>
      <c r="U14" s="151">
        <v>0.03</v>
      </c>
      <c r="V14" s="151">
        <v>0.03</v>
      </c>
      <c r="W14" s="151">
        <v>0.03</v>
      </c>
      <c r="X14" s="151">
        <v>0.03</v>
      </c>
      <c r="Y14" s="151">
        <v>0.03</v>
      </c>
      <c r="Z14" s="151">
        <v>0.03</v>
      </c>
      <c r="AA14" s="151">
        <v>0.03</v>
      </c>
      <c r="AB14" s="151">
        <v>0.03</v>
      </c>
      <c r="AC14" s="151">
        <v>0.03</v>
      </c>
      <c r="AD14" s="151">
        <v>0.03</v>
      </c>
      <c r="AE14" s="151">
        <v>0.03</v>
      </c>
      <c r="AF14" s="151">
        <v>0.03</v>
      </c>
      <c r="AG14" s="151">
        <v>0.03</v>
      </c>
      <c r="AH14" s="151">
        <v>0.03</v>
      </c>
      <c r="AI14" s="151">
        <v>0.03</v>
      </c>
      <c r="AJ14" s="151">
        <v>0.03</v>
      </c>
      <c r="AK14" s="151">
        <v>0.03</v>
      </c>
      <c r="AL14" s="151">
        <v>0.03</v>
      </c>
      <c r="AM14" s="151">
        <v>0.03</v>
      </c>
      <c r="AN14" s="151">
        <v>0.03</v>
      </c>
      <c r="AO14" s="151">
        <v>0.03</v>
      </c>
      <c r="AP14" s="151">
        <v>0.03</v>
      </c>
      <c r="AQ14" s="151">
        <v>0.03</v>
      </c>
      <c r="AR14" s="151">
        <v>0.03</v>
      </c>
      <c r="AS14" s="151">
        <v>0.03</v>
      </c>
      <c r="AT14" s="151">
        <v>0.03</v>
      </c>
      <c r="AU14" s="151">
        <v>0.03</v>
      </c>
      <c r="AV14" s="151">
        <v>0.03</v>
      </c>
      <c r="AW14" s="151">
        <v>0.03</v>
      </c>
      <c r="AX14" s="151">
        <v>0.03</v>
      </c>
      <c r="AY14" s="151">
        <v>0.03</v>
      </c>
      <c r="AZ14" s="151">
        <v>0.03</v>
      </c>
      <c r="BA14" s="151">
        <v>0.03</v>
      </c>
      <c r="BB14" s="151">
        <v>0.03</v>
      </c>
      <c r="BC14" s="151">
        <v>0.03</v>
      </c>
      <c r="BD14" s="151">
        <v>0.03</v>
      </c>
      <c r="BE14" s="151">
        <v>0.03</v>
      </c>
    </row>
    <row r="15" spans="2:57" x14ac:dyDescent="0.25">
      <c r="B15" s="51" t="s">
        <v>83</v>
      </c>
      <c r="C15" s="152">
        <v>5.0399999999999993E-2</v>
      </c>
      <c r="D15" s="152">
        <v>5.0399999999999993E-2</v>
      </c>
      <c r="E15" s="151">
        <v>5.0399999999999993E-2</v>
      </c>
      <c r="F15" s="151">
        <v>5.0399999999999993E-2</v>
      </c>
      <c r="G15" s="151">
        <v>5.0399999999999993E-2</v>
      </c>
      <c r="H15" s="151">
        <v>5.0399999999999993E-2</v>
      </c>
      <c r="I15" s="151">
        <v>5.0399999999999993E-2</v>
      </c>
      <c r="J15" s="151">
        <v>6.0399999999999995E-2</v>
      </c>
      <c r="K15" s="151">
        <v>6.0399999999999995E-2</v>
      </c>
      <c r="L15" s="151">
        <v>6.0399999999999995E-2</v>
      </c>
      <c r="M15" s="151">
        <v>6.0399999999999995E-2</v>
      </c>
      <c r="N15" s="151">
        <v>5.2900000000000003E-2</v>
      </c>
      <c r="O15" s="151">
        <v>5.2900000000000003E-2</v>
      </c>
      <c r="P15" s="151">
        <v>5.2900000000000003E-2</v>
      </c>
      <c r="Q15" s="151">
        <v>5.2900000000000003E-2</v>
      </c>
      <c r="R15" s="151">
        <v>5.2900000000000003E-2</v>
      </c>
      <c r="S15" s="151">
        <v>5.2900000000000003E-2</v>
      </c>
      <c r="T15" s="151">
        <v>5.2900000000000003E-2</v>
      </c>
      <c r="U15" s="151">
        <v>5.2900000000000003E-2</v>
      </c>
      <c r="V15" s="151">
        <v>5.2900000000000003E-2</v>
      </c>
      <c r="W15" s="151">
        <v>5.2900000000000003E-2</v>
      </c>
      <c r="X15" s="151">
        <v>5.2900000000000003E-2</v>
      </c>
      <c r="Y15" s="151">
        <v>5.2900000000000003E-2</v>
      </c>
      <c r="Z15" s="151">
        <v>5.2900000000000003E-2</v>
      </c>
      <c r="AA15" s="151">
        <v>5.2900000000000003E-2</v>
      </c>
      <c r="AB15" s="151">
        <v>5.2900000000000003E-2</v>
      </c>
      <c r="AC15" s="151">
        <v>5.2900000000000003E-2</v>
      </c>
      <c r="AD15" s="151">
        <v>4.6300000000000008E-2</v>
      </c>
      <c r="AE15" s="151">
        <v>4.6300000000000008E-2</v>
      </c>
      <c r="AF15" s="151">
        <v>4.6300000000000008E-2</v>
      </c>
      <c r="AG15" s="151">
        <v>5.3599999999999995E-2</v>
      </c>
      <c r="AH15" s="151">
        <v>5.3599999999999995E-2</v>
      </c>
      <c r="AI15" s="151">
        <v>5.3599999999999995E-2</v>
      </c>
      <c r="AJ15" s="151">
        <v>5.3599999999999995E-2</v>
      </c>
      <c r="AK15" s="151">
        <v>5.3599999999999995E-2</v>
      </c>
      <c r="AL15" s="151">
        <v>5.3599999999999995E-2</v>
      </c>
      <c r="AM15" s="151">
        <v>5.3599999999999995E-2</v>
      </c>
      <c r="AN15" s="151">
        <v>5.3599999999999995E-2</v>
      </c>
      <c r="AO15" s="151">
        <v>5.3599999999999995E-2</v>
      </c>
      <c r="AP15" s="151">
        <v>5.3599999999999995E-2</v>
      </c>
      <c r="AQ15" s="151">
        <v>5.3599999999999995E-2</v>
      </c>
      <c r="AR15" s="151">
        <v>5.3599999999999995E-2</v>
      </c>
      <c r="AS15" s="151">
        <v>5.3599999999999995E-2</v>
      </c>
      <c r="AT15" s="151">
        <v>5.3599999999999995E-2</v>
      </c>
      <c r="AU15" s="151">
        <v>5.3599999999999995E-2</v>
      </c>
      <c r="AV15" s="151">
        <v>5.3599999999999995E-2</v>
      </c>
      <c r="AW15" s="151">
        <v>5.3599999999999995E-2</v>
      </c>
      <c r="AX15" s="151">
        <v>5.3599999999999995E-2</v>
      </c>
      <c r="AY15" s="151">
        <v>5.3599999999999995E-2</v>
      </c>
      <c r="AZ15" s="151">
        <v>5.3599999999999995E-2</v>
      </c>
      <c r="BA15" s="151">
        <v>5.5400000000000005E-2</v>
      </c>
      <c r="BB15" s="151">
        <v>5.5400000000000005E-2</v>
      </c>
      <c r="BC15" s="151">
        <v>5.5400000000000005E-2</v>
      </c>
      <c r="BD15" s="151">
        <v>5.5400000000000005E-2</v>
      </c>
      <c r="BE15" s="151">
        <v>5.5400000000000005E-2</v>
      </c>
    </row>
    <row r="16" spans="2:57" x14ac:dyDescent="0.25">
      <c r="B16" s="51" t="s">
        <v>84</v>
      </c>
      <c r="C16" s="49">
        <v>70.128347239762562</v>
      </c>
      <c r="D16" s="49">
        <v>169.53236262796426</v>
      </c>
      <c r="E16" s="154">
        <v>175.16800744067538</v>
      </c>
      <c r="F16" s="154">
        <v>220.9164757761522</v>
      </c>
      <c r="G16" s="154">
        <v>378.99891869451</v>
      </c>
      <c r="H16" s="154">
        <v>592.09732554308664</v>
      </c>
      <c r="I16" s="154">
        <v>850.15796053370491</v>
      </c>
      <c r="J16" s="154">
        <v>1213.807224224119</v>
      </c>
      <c r="K16" s="154">
        <v>1272.4404875269622</v>
      </c>
      <c r="L16" s="154">
        <v>1419.4793538324402</v>
      </c>
      <c r="M16" s="154">
        <v>703.03791479713823</v>
      </c>
      <c r="N16" s="154">
        <v>725.20876171863495</v>
      </c>
      <c r="O16" s="154">
        <v>1078.7131015905968</v>
      </c>
      <c r="P16" s="154">
        <v>1284.5514383810939</v>
      </c>
      <c r="Q16" s="154">
        <v>1386.2907812806272</v>
      </c>
      <c r="R16" s="154">
        <v>1513.9380222402069</v>
      </c>
      <c r="S16" s="154">
        <v>1616.6512908119569</v>
      </c>
      <c r="T16" s="154">
        <v>1821.212715685336</v>
      </c>
      <c r="U16" s="154">
        <v>1889.8257806074512</v>
      </c>
      <c r="V16" s="154">
        <v>2070.5942398333318</v>
      </c>
      <c r="W16" s="154">
        <v>2306.0499957075635</v>
      </c>
      <c r="X16" s="154">
        <v>2443.3173094048971</v>
      </c>
      <c r="Y16" s="154">
        <v>2593.3017857907043</v>
      </c>
      <c r="Z16" s="154">
        <v>2624.6554105143196</v>
      </c>
      <c r="AA16" s="154">
        <v>2692.0282210201658</v>
      </c>
      <c r="AB16" s="154">
        <v>2737.3637780620161</v>
      </c>
      <c r="AC16" s="154">
        <v>2781.4859258073425</v>
      </c>
      <c r="AD16" s="154">
        <v>571.87936483195176</v>
      </c>
      <c r="AE16" s="154">
        <v>743.10366438362848</v>
      </c>
      <c r="AF16" s="154">
        <v>848.98180286912691</v>
      </c>
      <c r="AG16" s="154">
        <v>1182.7050074611348</v>
      </c>
      <c r="AH16" s="154">
        <v>1237.6467465913072</v>
      </c>
      <c r="AI16" s="154">
        <v>1300.3079646714707</v>
      </c>
      <c r="AJ16" s="154">
        <v>1338.6973599943899</v>
      </c>
      <c r="AK16" s="154">
        <v>1326.5644047314252</v>
      </c>
      <c r="AL16" s="154">
        <v>1314.0755864676471</v>
      </c>
      <c r="AM16" s="154">
        <v>1301.2515901367262</v>
      </c>
      <c r="AN16" s="154">
        <v>1288.7952465346909</v>
      </c>
      <c r="AO16" s="154">
        <v>1453.6755447644289</v>
      </c>
      <c r="AP16" s="154">
        <v>1439.929831041258</v>
      </c>
      <c r="AQ16" s="154">
        <v>1724.8988376514521</v>
      </c>
      <c r="AR16" s="154">
        <v>1815.4686925437545</v>
      </c>
      <c r="AS16" s="154">
        <v>1967.381620750951</v>
      </c>
      <c r="AT16" s="154">
        <v>1999.219638867585</v>
      </c>
      <c r="AU16" s="154">
        <v>2099.4363890942764</v>
      </c>
      <c r="AV16" s="154">
        <v>2141.0931487676671</v>
      </c>
      <c r="AW16" s="154">
        <v>2122.4477280233273</v>
      </c>
      <c r="AX16" s="154">
        <v>2259.0801805820165</v>
      </c>
      <c r="AY16" s="154">
        <v>2316.5367166787873</v>
      </c>
      <c r="AZ16" s="154">
        <v>2468.4825668531439</v>
      </c>
      <c r="BA16" s="154">
        <v>504.06974797378592</v>
      </c>
      <c r="BB16" s="154">
        <v>505.80242977251368</v>
      </c>
      <c r="BC16" s="154">
        <v>912.63143642897512</v>
      </c>
      <c r="BD16" s="154">
        <v>1254.3008690543074</v>
      </c>
      <c r="BE16" s="154">
        <v>1924.0765105949513</v>
      </c>
    </row>
    <row r="17" spans="2:57" x14ac:dyDescent="0.25">
      <c r="B17" s="42"/>
      <c r="C17" s="49"/>
    </row>
    <row r="20" spans="2:57" x14ac:dyDescent="0.25">
      <c r="B20" s="42"/>
      <c r="C20" s="40"/>
    </row>
    <row r="21" spans="2:57" x14ac:dyDescent="0.25">
      <c r="C21" s="40"/>
    </row>
    <row r="23" spans="2:57" x14ac:dyDescent="0.25">
      <c r="C23" s="42"/>
    </row>
    <row r="24" spans="2:57" x14ac:dyDescent="0.25">
      <c r="C24" s="49"/>
      <c r="W24" s="49"/>
      <c r="X24" s="49"/>
      <c r="AX24" s="49"/>
      <c r="AY24" s="49"/>
      <c r="AZ24" s="49"/>
      <c r="BA24" s="49"/>
      <c r="BB24" s="49"/>
      <c r="BC24" s="49"/>
      <c r="BD24" s="49"/>
      <c r="BE24" s="49"/>
    </row>
    <row r="25" spans="2:57" x14ac:dyDescent="0.25">
      <c r="B25" s="42"/>
      <c r="C25" s="49"/>
      <c r="N25" s="49"/>
    </row>
    <row r="26" spans="2:57" x14ac:dyDescent="0.25">
      <c r="N26" s="49"/>
    </row>
  </sheetData>
  <printOptions headings="1"/>
  <pageMargins left="0.2" right="0.2" top="0.5" bottom="0.5" header="0.3" footer="0.3"/>
  <pageSetup scale="17" orientation="landscape" cellComments="asDisplayed" r:id="rId1"/>
  <headerFooter>
    <oddHeader>&amp;C&amp;A</oddHeader>
    <oddFooter>&amp;RSchedule JNG-D3</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CJ183"/>
  <sheetViews>
    <sheetView tabSelected="1" zoomScaleNormal="100" zoomScaleSheetLayoutView="80" workbookViewId="0">
      <pane xSplit="2" ySplit="4" topLeftCell="BX5" activePane="bottomRight" state="frozen"/>
      <selection activeCell="J13" sqref="J13"/>
      <selection pane="topRight" activeCell="J13" sqref="J13"/>
      <selection pane="bottomLeft" activeCell="J13" sqref="J13"/>
      <selection pane="bottomRight" activeCell="J13" sqref="J13"/>
    </sheetView>
  </sheetViews>
  <sheetFormatPr defaultColWidth="9.140625" defaultRowHeight="15" zeroHeight="1" outlineLevelRow="1" x14ac:dyDescent="0.25"/>
  <cols>
    <col min="1" max="1" width="3.140625" style="1" customWidth="1"/>
    <col min="2" max="2" width="48.28515625" customWidth="1"/>
    <col min="3" max="5" width="11.140625" bestFit="1" customWidth="1"/>
    <col min="6" max="8" width="12.7109375" bestFit="1" customWidth="1"/>
    <col min="9" max="13" width="13.5703125" bestFit="1" customWidth="1"/>
    <col min="14" max="14" width="13.5703125" bestFit="1" customWidth="1" collapsed="1"/>
    <col min="15" max="15" width="13.85546875" bestFit="1" customWidth="1"/>
    <col min="16" max="22" width="13.5703125" bestFit="1" customWidth="1"/>
    <col min="23" max="23" width="14.28515625" bestFit="1" customWidth="1"/>
    <col min="24" max="25" width="13.5703125" bestFit="1" customWidth="1"/>
    <col min="26" max="26" width="13.5703125" bestFit="1" customWidth="1" collapsed="1"/>
    <col min="27" max="27" width="13.85546875" bestFit="1" customWidth="1"/>
    <col min="28" max="33" width="13.5703125" bestFit="1" customWidth="1"/>
    <col min="34" max="34" width="14.5703125" bestFit="1" customWidth="1"/>
    <col min="35" max="38" width="15.5703125" bestFit="1" customWidth="1"/>
    <col min="39" max="39" width="14.85546875" customWidth="1"/>
    <col min="40" max="40" width="14.28515625" customWidth="1"/>
    <col min="41" max="42" width="15.5703125" customWidth="1"/>
    <col min="43" max="50" width="14.5703125" customWidth="1"/>
    <col min="51" max="51" width="13.85546875" customWidth="1"/>
    <col min="52" max="52" width="14.28515625" customWidth="1"/>
    <col min="53" max="58" width="14.5703125" customWidth="1"/>
    <col min="59" max="64" width="14.5703125" bestFit="1" customWidth="1"/>
    <col min="65" max="65" width="15.28515625" bestFit="1" customWidth="1"/>
    <col min="66" max="72" width="14.5703125" bestFit="1" customWidth="1"/>
    <col min="73" max="74" width="15.5703125" bestFit="1" customWidth="1"/>
    <col min="75" max="88" width="14.5703125" bestFit="1" customWidth="1"/>
  </cols>
  <sheetData>
    <row r="1" spans="1:88" ht="15.75" x14ac:dyDescent="0.25">
      <c r="A1" s="41" t="s">
        <v>70</v>
      </c>
      <c r="V1" s="34"/>
      <c r="AL1" s="34"/>
    </row>
    <row r="2" spans="1:88" ht="15.75" x14ac:dyDescent="0.25">
      <c r="A2" s="41" t="s">
        <v>6</v>
      </c>
      <c r="B2" s="28"/>
      <c r="C2" s="91"/>
      <c r="D2" s="44"/>
      <c r="E2" s="44"/>
      <c r="F2" s="137"/>
      <c r="G2" s="44"/>
      <c r="H2" s="44"/>
      <c r="I2" s="44"/>
      <c r="J2" s="44"/>
      <c r="K2" s="44"/>
      <c r="O2" s="34"/>
      <c r="R2" s="34"/>
      <c r="S2" s="34"/>
      <c r="U2" s="34"/>
      <c r="V2" s="34"/>
      <c r="W2" s="34"/>
      <c r="X2" s="34"/>
      <c r="AA2" s="34"/>
      <c r="AB2" s="34"/>
      <c r="AC2" s="34"/>
      <c r="AG2" s="34"/>
      <c r="AL2" s="34"/>
      <c r="AM2" s="34"/>
      <c r="AN2" s="34"/>
      <c r="AO2" s="34"/>
      <c r="AY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row>
    <row r="3" spans="1:88" x14ac:dyDescent="0.25">
      <c r="A3" s="48"/>
      <c r="F3" s="34"/>
    </row>
    <row r="4" spans="1:88" x14ac:dyDescent="0.25">
      <c r="C4" s="10">
        <v>43435</v>
      </c>
      <c r="D4" s="10">
        <v>43466</v>
      </c>
      <c r="E4" s="10">
        <v>43497</v>
      </c>
      <c r="F4" s="10">
        <v>43525</v>
      </c>
      <c r="G4" s="10">
        <v>43556</v>
      </c>
      <c r="H4" s="10">
        <v>43586</v>
      </c>
      <c r="I4" s="10">
        <v>43617</v>
      </c>
      <c r="J4" s="10">
        <v>43647</v>
      </c>
      <c r="K4" s="10">
        <v>43678</v>
      </c>
      <c r="L4" s="10">
        <v>43709</v>
      </c>
      <c r="M4" s="10">
        <v>43739</v>
      </c>
      <c r="N4" s="10">
        <v>43770</v>
      </c>
      <c r="O4" s="10">
        <v>43800</v>
      </c>
      <c r="P4" s="10">
        <v>43831</v>
      </c>
      <c r="Q4" s="10">
        <v>43862</v>
      </c>
      <c r="R4" s="10">
        <v>43891</v>
      </c>
      <c r="S4" s="10">
        <v>43922</v>
      </c>
      <c r="T4" s="10">
        <v>43952</v>
      </c>
      <c r="U4" s="10">
        <v>43983</v>
      </c>
      <c r="V4" s="10">
        <v>44013</v>
      </c>
      <c r="W4" s="10">
        <v>44044</v>
      </c>
      <c r="X4" s="10">
        <v>44075</v>
      </c>
      <c r="Y4" s="10">
        <v>44105</v>
      </c>
      <c r="Z4" s="10">
        <v>44136</v>
      </c>
      <c r="AA4" s="10">
        <v>44166</v>
      </c>
      <c r="AB4" s="10">
        <v>44197</v>
      </c>
      <c r="AC4" s="10">
        <v>44228</v>
      </c>
      <c r="AD4" s="10">
        <v>44256</v>
      </c>
      <c r="AE4" s="10">
        <v>44287</v>
      </c>
      <c r="AF4" s="10">
        <v>44317</v>
      </c>
      <c r="AG4" s="10">
        <v>44348</v>
      </c>
      <c r="AH4" s="10">
        <v>44378</v>
      </c>
      <c r="AI4" s="10">
        <v>44409</v>
      </c>
      <c r="AJ4" s="10">
        <v>44440</v>
      </c>
      <c r="AK4" s="10">
        <v>44470</v>
      </c>
      <c r="AL4" s="10">
        <v>44501</v>
      </c>
      <c r="AM4" s="10">
        <v>44531</v>
      </c>
      <c r="AN4" s="10">
        <v>44562</v>
      </c>
      <c r="AO4" s="10">
        <v>44593</v>
      </c>
      <c r="AP4" s="10">
        <v>44621</v>
      </c>
      <c r="AQ4" s="10">
        <v>44652</v>
      </c>
      <c r="AR4" s="10">
        <v>44682</v>
      </c>
      <c r="AS4" s="10">
        <v>44713</v>
      </c>
      <c r="AT4" s="10">
        <v>44743</v>
      </c>
      <c r="AU4" s="10">
        <v>44774</v>
      </c>
      <c r="AV4" s="10">
        <v>44805</v>
      </c>
      <c r="AW4" s="10">
        <v>44835</v>
      </c>
      <c r="AX4" s="10">
        <v>44866</v>
      </c>
      <c r="AY4" s="10">
        <v>44896</v>
      </c>
      <c r="AZ4" s="10">
        <v>44927</v>
      </c>
      <c r="BA4" s="10">
        <v>44958</v>
      </c>
      <c r="BB4" s="10">
        <v>44986</v>
      </c>
      <c r="BC4" s="10">
        <v>45017</v>
      </c>
      <c r="BD4" s="10">
        <v>45047</v>
      </c>
      <c r="BE4" s="10">
        <v>45078</v>
      </c>
      <c r="BF4" s="10">
        <v>45108</v>
      </c>
      <c r="BG4" s="10">
        <v>45139</v>
      </c>
      <c r="BH4" s="10">
        <v>45170</v>
      </c>
      <c r="BI4" s="10">
        <v>45200</v>
      </c>
      <c r="BJ4" s="10">
        <v>45231</v>
      </c>
      <c r="BK4" s="10">
        <v>45261</v>
      </c>
      <c r="BL4" s="10">
        <v>45292</v>
      </c>
      <c r="BM4" s="10">
        <v>45323</v>
      </c>
      <c r="BN4" s="10">
        <v>45352</v>
      </c>
      <c r="BO4" s="10">
        <v>45383</v>
      </c>
      <c r="BP4" s="10">
        <v>45413</v>
      </c>
      <c r="BQ4" s="10">
        <v>45444</v>
      </c>
      <c r="BR4" s="10">
        <v>45474</v>
      </c>
      <c r="BS4" s="10">
        <v>45505</v>
      </c>
      <c r="BT4" s="10">
        <v>45536</v>
      </c>
      <c r="BU4" s="10">
        <v>45566</v>
      </c>
      <c r="BV4" s="10">
        <v>45597</v>
      </c>
      <c r="BW4" s="10">
        <v>45627</v>
      </c>
      <c r="BX4" s="10">
        <v>45658</v>
      </c>
      <c r="BY4" s="10">
        <v>45689</v>
      </c>
      <c r="BZ4" s="10">
        <v>45717</v>
      </c>
      <c r="CA4" s="10">
        <v>45748</v>
      </c>
      <c r="CB4" s="10">
        <v>45778</v>
      </c>
      <c r="CC4" s="10">
        <v>45809</v>
      </c>
      <c r="CD4" s="10">
        <v>45839</v>
      </c>
      <c r="CE4" s="10">
        <v>45870</v>
      </c>
      <c r="CF4" s="10">
        <v>45901</v>
      </c>
      <c r="CG4" s="10">
        <v>45931</v>
      </c>
      <c r="CH4" s="10">
        <v>45962</v>
      </c>
      <c r="CI4" s="10">
        <v>45992</v>
      </c>
      <c r="CJ4" s="10">
        <v>46023</v>
      </c>
    </row>
    <row r="5" spans="1:88" ht="15" customHeight="1" x14ac:dyDescent="0.25">
      <c r="A5" s="279" t="s">
        <v>0</v>
      </c>
      <c r="B5" s="5"/>
      <c r="C5" s="25"/>
      <c r="D5" s="25"/>
      <c r="E5" s="25"/>
      <c r="F5" s="25"/>
      <c r="G5" s="25"/>
      <c r="H5" s="25"/>
      <c r="I5" s="25"/>
      <c r="J5" s="25"/>
      <c r="K5" s="25"/>
      <c r="L5" s="25"/>
      <c r="M5" s="25"/>
      <c r="N5" s="25"/>
      <c r="O5" s="7"/>
      <c r="P5" s="25"/>
      <c r="Q5" s="25"/>
      <c r="R5" s="25"/>
      <c r="S5" s="25"/>
      <c r="T5" s="25"/>
      <c r="U5" s="25"/>
      <c r="V5" s="25"/>
      <c r="W5" s="25"/>
      <c r="X5" s="25"/>
      <c r="Y5" s="25"/>
      <c r="Z5" s="25"/>
      <c r="AA5" s="25"/>
      <c r="AB5" s="25"/>
      <c r="AC5" s="25"/>
      <c r="AD5" s="134">
        <f>'MEEIA 3 adjs'!BA1+'MEEIA 3 adjs'!BE11</f>
        <v>-21982.399999997611</v>
      </c>
      <c r="AE5" s="25"/>
      <c r="AF5" s="25"/>
      <c r="AG5" s="25"/>
      <c r="AH5" s="25"/>
      <c r="AI5" s="25"/>
      <c r="AJ5" s="25"/>
      <c r="AK5" s="25"/>
      <c r="AL5" s="186">
        <f>'MEEIA 3 adjs'!BH9+'MEEIA 3 adjs'!BJ9</f>
        <v>-60592.04</v>
      </c>
      <c r="AM5" s="25"/>
      <c r="AN5" s="25"/>
      <c r="AO5" s="189">
        <v>-696083.55703392881</v>
      </c>
      <c r="AP5" s="25"/>
      <c r="AQ5" s="25"/>
      <c r="AR5" s="25"/>
      <c r="AS5" s="25"/>
      <c r="AT5" s="25"/>
      <c r="AU5" s="25"/>
      <c r="AV5" s="25"/>
      <c r="AW5" s="25"/>
      <c r="AX5" s="25"/>
      <c r="AY5" s="25"/>
      <c r="AZ5" s="186">
        <f>'MEEIA 3 adjs'!DZ11-24.64</f>
        <v>-558.34000000006984</v>
      </c>
      <c r="BA5" s="202"/>
      <c r="BB5" s="186">
        <f>'MEEIA 3 adjs'!FG11</f>
        <v>-896.79848963662516</v>
      </c>
      <c r="BC5" s="202"/>
      <c r="BD5" s="202"/>
      <c r="BE5" s="202"/>
      <c r="BF5" s="202"/>
      <c r="BG5" s="202"/>
      <c r="BH5" s="202"/>
      <c r="BI5" s="186">
        <f>'MEEIA 3 adjs'!FR6+'MEEIA 3 adjs'!FR11</f>
        <v>345.9166797879152</v>
      </c>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row>
    <row r="6" spans="1:88" s="3" customFormat="1" ht="15" customHeight="1" x14ac:dyDescent="0.25">
      <c r="A6" s="279"/>
      <c r="B6" s="5" t="s">
        <v>8</v>
      </c>
      <c r="C6" s="20">
        <v>472906.7</v>
      </c>
      <c r="D6" s="20">
        <v>121950.46</v>
      </c>
      <c r="E6" s="20">
        <v>306057.09999999998</v>
      </c>
      <c r="F6" s="20">
        <v>3254515.75</v>
      </c>
      <c r="G6" s="20">
        <v>1441686.8700000006</v>
      </c>
      <c r="H6" s="20">
        <v>2646810.4000000004</v>
      </c>
      <c r="I6" s="20">
        <v>3090012.3199999994</v>
      </c>
      <c r="J6" s="20">
        <v>3806682.3899999997</v>
      </c>
      <c r="K6" s="20">
        <v>5667444.0099999998</v>
      </c>
      <c r="L6" s="21">
        <v>4665040.7600000016</v>
      </c>
      <c r="M6" s="21">
        <v>4693766.1500000032</v>
      </c>
      <c r="N6" s="20">
        <v>7981786.3300000001</v>
      </c>
      <c r="O6" s="21">
        <v>14289408.219999997</v>
      </c>
      <c r="P6" s="21">
        <v>2300282.3399999994</v>
      </c>
      <c r="Q6" s="20">
        <v>3266635.3100000005</v>
      </c>
      <c r="R6" s="20">
        <v>4668387.1399999997</v>
      </c>
      <c r="S6" s="20">
        <v>3355052.560000001</v>
      </c>
      <c r="T6" s="20">
        <v>3504036.8800000004</v>
      </c>
      <c r="U6" s="20">
        <v>4570550.08</v>
      </c>
      <c r="V6" s="20">
        <v>4337551.2399999993</v>
      </c>
      <c r="W6" s="20">
        <v>5132057.5999999996</v>
      </c>
      <c r="X6" s="20">
        <v>6881005.1299999999</v>
      </c>
      <c r="Y6" s="20">
        <v>5075926.8299999991</v>
      </c>
      <c r="Z6" s="20">
        <v>8226323.5899999999</v>
      </c>
      <c r="AA6" s="20">
        <v>17050986.669999998</v>
      </c>
      <c r="AB6" s="20">
        <v>3390691.4000000004</v>
      </c>
      <c r="AC6" s="20">
        <v>3040542.4899999993</v>
      </c>
      <c r="AD6" s="20">
        <f>6776151.45</f>
        <v>6776151.4500000002</v>
      </c>
      <c r="AE6" s="147">
        <f>3593026.47+'PAYS interest calculation'!C16</f>
        <v>3593096.5983472401</v>
      </c>
      <c r="AF6" s="147">
        <f>3249647.22+'PAYS interest calculation'!D16</f>
        <v>3249816.752362628</v>
      </c>
      <c r="AG6" s="158">
        <f>6100963.25+'PAYS interest calculation'!E16</f>
        <v>6101138.4180074409</v>
      </c>
      <c r="AH6" s="158">
        <f>5073828.74+'PAYS interest calculation'!F16</f>
        <v>5074049.6564757768</v>
      </c>
      <c r="AI6" s="147">
        <f>6150373.04+'PAYS interest calculation'!G16</f>
        <v>6150752.0389186945</v>
      </c>
      <c r="AJ6" s="147">
        <f>4538294.08+'PAYS interest calculation'!H16</f>
        <v>4538886.177325543</v>
      </c>
      <c r="AK6" s="147">
        <f>5907219.36+'PAYS interest calculation'!I16</f>
        <v>5908069.5179605344</v>
      </c>
      <c r="AL6" s="147">
        <f>11096066.47+'PAYS interest calculation'!J16</f>
        <v>11097280.277224224</v>
      </c>
      <c r="AM6" s="147">
        <f>21855224.8+'PAYS interest calculation'!K16</f>
        <v>21856497.240487527</v>
      </c>
      <c r="AN6" s="147">
        <f>-1207424.55+'PAYS interest calculation'!L16</f>
        <v>-1206005.0706461675</v>
      </c>
      <c r="AO6" s="147">
        <f>3291300.03+'PAYS interest calculation'!M16</f>
        <v>3292003.067914797</v>
      </c>
      <c r="AP6" s="158">
        <f>3839817.3+'PAYS interest calculation'!N16+(-1*'PAYS interest calculation'!N6)</f>
        <v>3848947.3665742185</v>
      </c>
      <c r="AQ6" s="158">
        <f>4451070.5+'PAYS interest calculation'!O16</f>
        <v>4452149.213101591</v>
      </c>
      <c r="AR6" s="158">
        <f>3308454.75+'PAYS interest calculation'!P16</f>
        <v>3309739.301438381</v>
      </c>
      <c r="AS6" s="158">
        <f>6746528.94+'PAYS interest calculation'!Q16</f>
        <v>6747915.2307812814</v>
      </c>
      <c r="AT6" s="158">
        <f>3532913.25+'PAYS interest calculation'!R16</f>
        <v>3534427.1880222401</v>
      </c>
      <c r="AU6" s="158">
        <f>5675518.56+'PAYS interest calculation'!S16</f>
        <v>5677135.2112908112</v>
      </c>
      <c r="AV6" s="158">
        <f>6239208.9+'PAYS interest calculation'!T16</f>
        <v>6241030.1127156857</v>
      </c>
      <c r="AW6" s="158">
        <f>4202063.07+'PAYS interest calculation'!U16</f>
        <v>4203952.8957806081</v>
      </c>
      <c r="AX6" s="158">
        <f>6028471.43+'PAYS interest calculation'!V16</f>
        <v>6030542.0242398335</v>
      </c>
      <c r="AY6" s="158">
        <f>20769312.92+'PAYS interest calculation'!W16+(-1*'PAYS interest calculation'!W6)</f>
        <v>20772311.523251541</v>
      </c>
      <c r="AZ6" s="158">
        <f>2815642.18+'PAYS interest calculation'!X16</f>
        <v>2818085.4973094049</v>
      </c>
      <c r="BA6" s="158">
        <f>4564689.01-16389.29+'PAYS interest calculation'!Y16</f>
        <v>4550893.0217857901</v>
      </c>
      <c r="BB6" s="158">
        <f>4460594.75+'PAYS interest calculation'!Z16</f>
        <v>4463219.4054105142</v>
      </c>
      <c r="BC6" s="158">
        <f>3633263.4+'PAYS interest calculation'!AA16</f>
        <v>3635955.4282210199</v>
      </c>
      <c r="BD6" s="158">
        <f>5937741.17+'PAYS interest calculation'!AB16</f>
        <v>5940478.5337780621</v>
      </c>
      <c r="BE6" s="158">
        <f>4862173.61+'PAYS interest calculation'!AC16</f>
        <v>4864955.095925808</v>
      </c>
      <c r="BF6" s="158">
        <f>6175408.01+'PAYS interest calculation'!AD16</f>
        <v>6175979.8893648321</v>
      </c>
      <c r="BG6" s="158">
        <f>4735345.8+'PAYS interest calculation'!AE16</f>
        <v>4736088.9036643831</v>
      </c>
      <c r="BH6" s="158">
        <f>4815688.12+'PAYS interest calculation'!AF16</f>
        <v>4816537.1018028697</v>
      </c>
      <c r="BI6" s="158">
        <f>5798518.26+'PAYS interest calculation'!AG16</f>
        <v>5799700.9650074607</v>
      </c>
      <c r="BJ6" s="158">
        <f>3434104.79+'PAYS interest calculation'!AH16</f>
        <v>3435342.4367465912</v>
      </c>
      <c r="BK6" s="158">
        <f>23145164.92+'PAYS interest calculation'!AI16</f>
        <v>23146465.227964673</v>
      </c>
      <c r="BL6" s="158">
        <f>2917029.21+'PAYS interest calculation'!AJ16</f>
        <v>2918367.9073599945</v>
      </c>
      <c r="BM6" s="158">
        <f>2323921.44+'PAYS interest calculation'!AK16</f>
        <v>2325248.0044047316</v>
      </c>
      <c r="BN6" s="158">
        <f>3747318.07+'PAYS interest calculation'!AL16</f>
        <v>3748632.1455864673</v>
      </c>
      <c r="BO6" s="158">
        <f>4256435.48+'PAYS interest calculation'!AM16+(-1*'PAYS interest calculation'!AM6)</f>
        <v>4257879.0324234702</v>
      </c>
      <c r="BP6" s="158">
        <f>4536483.3+'PAYS interest calculation'!AN16</f>
        <v>4537772.0952465348</v>
      </c>
      <c r="BQ6" s="158">
        <f>5859965.18+'PAYS interest calculation'!AO16</f>
        <v>5861418.8555447645</v>
      </c>
      <c r="BR6" s="158">
        <f>5029541.55+'PAYS interest calculation'!AP16</f>
        <v>5030981.4798310408</v>
      </c>
      <c r="BS6" s="158">
        <f>6371369.34+'PAYS interest calculation'!AQ16</f>
        <v>6373094.238837651</v>
      </c>
      <c r="BT6" s="158">
        <f>4598441.92+'PAYS interest calculation'!AR16</f>
        <v>4600257.3886925438</v>
      </c>
      <c r="BU6" s="158">
        <f>6369088.47+'PAYS interest calculation'!AS16</f>
        <v>6371055.8516207505</v>
      </c>
      <c r="BV6" s="158">
        <f>3897982.03+'PAYS interest calculation'!AT16</f>
        <v>3899981.2496388676</v>
      </c>
      <c r="BW6" s="158">
        <f>22235614.07+'PAYS interest calculation'!AU16</f>
        <v>22237713.506389096</v>
      </c>
      <c r="BX6" s="20">
        <f>71709.59</f>
        <v>71709.59</v>
      </c>
      <c r="BY6" s="20">
        <f>-444328.92</f>
        <v>-444328.92</v>
      </c>
      <c r="BZ6" s="20">
        <f>59469.49</f>
        <v>59469.49</v>
      </c>
      <c r="CA6" s="20">
        <v>28215.05</v>
      </c>
      <c r="CB6" s="20">
        <v>25011.7</v>
      </c>
      <c r="CC6" s="20">
        <v>282915.7</v>
      </c>
      <c r="CD6" s="20">
        <v>8145</v>
      </c>
      <c r="CE6" s="20">
        <v>-208501.23</v>
      </c>
      <c r="CF6" s="20">
        <v>-142275</v>
      </c>
      <c r="CG6" s="20">
        <v>118664.15000000001</v>
      </c>
      <c r="CH6" s="101">
        <f>SUM('[1]PCR (M3)'!$CG$15:$CG$18)</f>
        <v>-118664.15000000001</v>
      </c>
      <c r="CI6" s="101">
        <f>SUM('[1]PCR (M3)'!$CH$15:$CH$18)</f>
        <v>0</v>
      </c>
      <c r="CJ6" s="101">
        <f>SUM('[1]PCR (M3)'!$CI$15:$CI$18)</f>
        <v>0</v>
      </c>
    </row>
    <row r="7" spans="1:88" s="3" customFormat="1" x14ac:dyDescent="0.25">
      <c r="A7" s="279"/>
      <c r="B7" s="5" t="s">
        <v>9</v>
      </c>
      <c r="C7" s="21">
        <v>0</v>
      </c>
      <c r="D7" s="21">
        <v>0</v>
      </c>
      <c r="E7" s="21">
        <v>0</v>
      </c>
      <c r="F7" s="21">
        <v>0</v>
      </c>
      <c r="G7" s="21">
        <v>0</v>
      </c>
      <c r="H7" s="21">
        <v>453008.63</v>
      </c>
      <c r="I7" s="21">
        <v>6131398.7699999996</v>
      </c>
      <c r="J7" s="21">
        <v>7440020.2300000004</v>
      </c>
      <c r="K7" s="21">
        <v>7787637.1200000001</v>
      </c>
      <c r="L7" s="20">
        <v>7415530.5499999998</v>
      </c>
      <c r="M7" s="21">
        <v>6393806.0300000003</v>
      </c>
      <c r="N7" s="21">
        <v>5729648.6699999999</v>
      </c>
      <c r="O7" s="20">
        <v>7016994.2000000002</v>
      </c>
      <c r="P7" s="21">
        <v>7580344.1500000004</v>
      </c>
      <c r="Q7" s="21">
        <v>6780583.4199999999</v>
      </c>
      <c r="R7" s="21">
        <v>5258818.8899999997</v>
      </c>
      <c r="S7" s="21">
        <v>4379338.6900000004</v>
      </c>
      <c r="T7" s="21">
        <v>4010923.17</v>
      </c>
      <c r="U7" s="21">
        <v>4897738.25</v>
      </c>
      <c r="V7" s="21">
        <v>6248757.4000000004</v>
      </c>
      <c r="W7" s="21">
        <v>6053644.0300000003</v>
      </c>
      <c r="X7" s="21">
        <v>5708518.8099999996</v>
      </c>
      <c r="Y7" s="21">
        <v>4362797.6900000004</v>
      </c>
      <c r="Z7" s="21">
        <v>4453895.6900000004</v>
      </c>
      <c r="AA7" s="21">
        <v>5320333.05</v>
      </c>
      <c r="AB7" s="21">
        <v>6316759.2699999996</v>
      </c>
      <c r="AC7" s="21">
        <v>7583892.4100000001</v>
      </c>
      <c r="AD7" s="21">
        <v>7418563.8899999997</v>
      </c>
      <c r="AE7" s="21">
        <v>5953301.3499999996</v>
      </c>
      <c r="AF7" s="21">
        <v>5846801.6900000004</v>
      </c>
      <c r="AG7" s="21">
        <v>6866409.0999999996</v>
      </c>
      <c r="AH7" s="21">
        <v>8666483.5800000001</v>
      </c>
      <c r="AI7" s="21">
        <v>8626819.1899999995</v>
      </c>
      <c r="AJ7" s="21">
        <v>8648916.9199999999</v>
      </c>
      <c r="AK7" s="21">
        <v>6801979.5499999998</v>
      </c>
      <c r="AL7" s="21">
        <v>6087767.6399999997</v>
      </c>
      <c r="AM7" s="21">
        <v>7335343.4299999997</v>
      </c>
      <c r="AN7" s="21">
        <v>8532489.0299999993</v>
      </c>
      <c r="AO7" s="21">
        <v>8009630.25</v>
      </c>
      <c r="AP7" s="21">
        <v>5791599.6900000004</v>
      </c>
      <c r="AQ7" s="21">
        <v>4647344.92</v>
      </c>
      <c r="AR7" s="21">
        <v>4780045.8499999996</v>
      </c>
      <c r="AS7" s="21">
        <v>5750871.1299999999</v>
      </c>
      <c r="AT7" s="21">
        <v>7180666.5599999996</v>
      </c>
      <c r="AU7" s="21">
        <v>6958397.0999999996</v>
      </c>
      <c r="AV7" s="21">
        <v>6191523.1299999999</v>
      </c>
      <c r="AW7" s="21">
        <v>4873657.1900000004</v>
      </c>
      <c r="AX7" s="21">
        <v>4698871.1399999997</v>
      </c>
      <c r="AY7" s="21">
        <v>6121032.0199999996</v>
      </c>
      <c r="AZ7" s="21">
        <v>6865628.9100000001</v>
      </c>
      <c r="BA7" s="21">
        <v>5890167.4000000004</v>
      </c>
      <c r="BB7" s="21">
        <v>5071608.0599999996</v>
      </c>
      <c r="BC7" s="21">
        <v>4647331.4400000004</v>
      </c>
      <c r="BD7" s="21">
        <v>4309653.22</v>
      </c>
      <c r="BE7" s="21">
        <v>5155063.0199999996</v>
      </c>
      <c r="BF7" s="21">
        <v>6058263.3600000003</v>
      </c>
      <c r="BG7" s="21">
        <v>6335389.6200000001</v>
      </c>
      <c r="BH7" s="21">
        <v>6078515.6699999999</v>
      </c>
      <c r="BI7" s="21">
        <v>4916922.6100000003</v>
      </c>
      <c r="BJ7" s="21">
        <v>4476188.62</v>
      </c>
      <c r="BK7" s="21">
        <v>5371445.6299999999</v>
      </c>
      <c r="BL7" s="21">
        <v>6350625.54</v>
      </c>
      <c r="BM7" s="21">
        <v>6157898.4299999997</v>
      </c>
      <c r="BN7" s="21">
        <v>5189954.0999999996</v>
      </c>
      <c r="BO7" s="21">
        <v>4936121.25</v>
      </c>
      <c r="BP7" s="21">
        <v>4755779.78</v>
      </c>
      <c r="BQ7" s="21">
        <v>5885472.2199999997</v>
      </c>
      <c r="BR7" s="21">
        <v>7100974.6299999999</v>
      </c>
      <c r="BS7" s="21">
        <v>6727331.3300000001</v>
      </c>
      <c r="BT7" s="21">
        <v>6489892.6600000001</v>
      </c>
      <c r="BU7" s="21">
        <v>5283977.3600000003</v>
      </c>
      <c r="BV7" s="21">
        <v>4586936.13</v>
      </c>
      <c r="BW7" s="21">
        <v>5950544.8300000001</v>
      </c>
      <c r="BX7" s="21">
        <v>7361534.7300000004</v>
      </c>
      <c r="BY7" s="21">
        <v>4312960.79</v>
      </c>
      <c r="BZ7" s="21">
        <v>-133154.74</v>
      </c>
      <c r="CA7" s="21">
        <v>-125081.95</v>
      </c>
      <c r="CB7" s="21">
        <v>-94161.86</v>
      </c>
      <c r="CC7" s="21">
        <v>-138695.31</v>
      </c>
      <c r="CD7" s="21">
        <v>-249132.42</v>
      </c>
      <c r="CE7" s="21">
        <v>-264903.81</v>
      </c>
      <c r="CF7" s="21">
        <v>-194094.86</v>
      </c>
      <c r="CG7" s="21">
        <v>-144960.18</v>
      </c>
      <c r="CH7" s="108">
        <f>SUM('[1]PCR (M3)'!$CG$35:$CG$39)</f>
        <v>-152047.89755576418</v>
      </c>
      <c r="CI7" s="108">
        <f>SUM('[1]PCR (M3)'!$CH$35:$CH$39)</f>
        <v>-207497.95737591121</v>
      </c>
      <c r="CJ7" s="108">
        <f>SUM('[1]PCR (M3)'!$CI$35:$CI$39)</f>
        <v>-287960.87265270954</v>
      </c>
    </row>
    <row r="8" spans="1:88" s="3" customFormat="1" x14ac:dyDescent="0.25">
      <c r="A8" s="279"/>
      <c r="B8" s="5" t="s">
        <v>10</v>
      </c>
      <c r="C8" s="7">
        <f t="shared" ref="C8" si="0">IF(OR(C6="",C7=""),"",C6-C7)</f>
        <v>472906.7</v>
      </c>
      <c r="D8" s="7">
        <f t="shared" ref="D8:AE8" si="1">IF(OR(D6="",D7=""),"",D6-D7)</f>
        <v>121950.46</v>
      </c>
      <c r="E8" s="7">
        <f t="shared" si="1"/>
        <v>306057.09999999998</v>
      </c>
      <c r="F8" s="7">
        <f t="shared" si="1"/>
        <v>3254515.75</v>
      </c>
      <c r="G8" s="7">
        <f t="shared" si="1"/>
        <v>1441686.8700000006</v>
      </c>
      <c r="H8" s="7">
        <f>IF(OR(H6="",H7=""),"",H6-H7)</f>
        <v>2193801.7700000005</v>
      </c>
      <c r="I8" s="8">
        <f t="shared" si="1"/>
        <v>-3041386.45</v>
      </c>
      <c r="J8" s="8">
        <f t="shared" si="1"/>
        <v>-3633337.8400000008</v>
      </c>
      <c r="K8" s="8">
        <f t="shared" si="1"/>
        <v>-2120193.1100000003</v>
      </c>
      <c r="L8" s="8">
        <f t="shared" si="1"/>
        <v>-2750489.7899999982</v>
      </c>
      <c r="M8" s="8">
        <f t="shared" si="1"/>
        <v>-1700039.8799999971</v>
      </c>
      <c r="N8" s="8">
        <f t="shared" si="1"/>
        <v>2252137.66</v>
      </c>
      <c r="O8" s="8">
        <f>IF(OR(O6="",O7=""),"",O6-O7)</f>
        <v>7272414.0199999968</v>
      </c>
      <c r="P8" s="8">
        <f t="shared" si="1"/>
        <v>-5280061.8100000005</v>
      </c>
      <c r="Q8" s="8">
        <f t="shared" si="1"/>
        <v>-3513948.1099999994</v>
      </c>
      <c r="R8" s="8">
        <f t="shared" si="1"/>
        <v>-590431.75</v>
      </c>
      <c r="S8" s="8">
        <f t="shared" si="1"/>
        <v>-1024286.1299999994</v>
      </c>
      <c r="T8" s="8">
        <f>IF(OR(T6="",T7=""),"",T6-T7)</f>
        <v>-506886.28999999957</v>
      </c>
      <c r="U8" s="8">
        <f t="shared" si="1"/>
        <v>-327188.16999999993</v>
      </c>
      <c r="V8" s="8">
        <f t="shared" si="1"/>
        <v>-1911206.1600000011</v>
      </c>
      <c r="W8" s="8">
        <f>IF(OR(W6="",W7=""),"",W6-W7)</f>
        <v>-921586.43000000063</v>
      </c>
      <c r="X8" s="8">
        <f>IF(OR(X6="",X7=""),"",X6-X7)</f>
        <v>1172486.3200000003</v>
      </c>
      <c r="Y8" s="8">
        <f t="shared" si="1"/>
        <v>713129.13999999873</v>
      </c>
      <c r="Z8" s="8">
        <f t="shared" si="1"/>
        <v>3772427.8999999994</v>
      </c>
      <c r="AA8" s="8">
        <f t="shared" si="1"/>
        <v>11730653.619999997</v>
      </c>
      <c r="AB8" s="8">
        <f t="shared" si="1"/>
        <v>-2926067.8699999992</v>
      </c>
      <c r="AC8" s="8">
        <f t="shared" si="1"/>
        <v>-4543349.9200000009</v>
      </c>
      <c r="AD8" s="8">
        <f>IF(OR(AD6="",AD7=""),"",AD6-AD7)</f>
        <v>-642412.43999999948</v>
      </c>
      <c r="AE8" s="8">
        <f t="shared" si="1"/>
        <v>-2360204.7516527595</v>
      </c>
      <c r="AF8" s="8">
        <f t="shared" ref="AF8" si="2">IF(OR(AF6="",AF7=""),"",AF6-AF7)</f>
        <v>-2596984.9376373724</v>
      </c>
      <c r="AG8" s="8">
        <f t="shared" ref="AG8:AW8" si="3">IF(OR(AG6="",AG7=""),"",AG6-AG7)</f>
        <v>-765270.68199255876</v>
      </c>
      <c r="AH8" s="8">
        <f t="shared" si="3"/>
        <v>-3592433.9235242233</v>
      </c>
      <c r="AI8" s="8">
        <f t="shared" si="3"/>
        <v>-2476067.151081305</v>
      </c>
      <c r="AJ8" s="8">
        <f t="shared" si="3"/>
        <v>-4110030.7426744569</v>
      </c>
      <c r="AK8" s="8">
        <f t="shared" si="3"/>
        <v>-893910.03203946538</v>
      </c>
      <c r="AL8" s="8">
        <f>IF(OR(AL6="",AL7=""),"",AL6-AL7)</f>
        <v>5009512.6372242244</v>
      </c>
      <c r="AM8" s="8">
        <f t="shared" si="3"/>
        <v>14521153.810487527</v>
      </c>
      <c r="AN8" s="8">
        <f t="shared" si="3"/>
        <v>-9738494.1006461661</v>
      </c>
      <c r="AO8" s="8">
        <f>IF(OR(AO6="",AO7=""),"",AO6-AO7)</f>
        <v>-4717627.182085203</v>
      </c>
      <c r="AP8" s="8">
        <f t="shared" si="3"/>
        <v>-1942652.3234257819</v>
      </c>
      <c r="AQ8" s="8">
        <f t="shared" si="3"/>
        <v>-195195.70689840894</v>
      </c>
      <c r="AR8" s="8">
        <f t="shared" si="3"/>
        <v>-1470306.5485616187</v>
      </c>
      <c r="AS8" s="8">
        <f t="shared" si="3"/>
        <v>997044.10078128148</v>
      </c>
      <c r="AT8" s="8">
        <f t="shared" si="3"/>
        <v>-3646239.3719777595</v>
      </c>
      <c r="AU8" s="8">
        <f t="shared" si="3"/>
        <v>-1281261.8887091884</v>
      </c>
      <c r="AV8" s="8">
        <f t="shared" si="3"/>
        <v>49506.982715685852</v>
      </c>
      <c r="AW8" s="8">
        <f t="shared" si="3"/>
        <v>-669704.29421939235</v>
      </c>
      <c r="AX8" s="8">
        <f t="shared" ref="AX8" si="4">IF(OR(AX6="",AX7=""),"",AX6-AX7)</f>
        <v>1331670.8842398338</v>
      </c>
      <c r="AY8" s="8">
        <f>IF(OR(AY6="",AY7=""),"",AY6-AY7)</f>
        <v>14651279.503251541</v>
      </c>
      <c r="AZ8" s="8">
        <f t="shared" ref="AZ8" si="5">IF(OR(AZ6="",AZ7=""),"",AZ6-AZ7)</f>
        <v>-4047543.4126905953</v>
      </c>
      <c r="BA8" s="8">
        <f t="shared" ref="BA8:BF8" si="6">IF(OR(BA6="",BA7=""),"",BA6-BA7)</f>
        <v>-1339274.3782142103</v>
      </c>
      <c r="BB8" s="8">
        <f t="shared" si="6"/>
        <v>-608388.65458948538</v>
      </c>
      <c r="BC8" s="8">
        <f t="shared" si="6"/>
        <v>-1011376.0117789805</v>
      </c>
      <c r="BD8" s="8">
        <f t="shared" si="6"/>
        <v>1630825.3137780624</v>
      </c>
      <c r="BE8" s="8">
        <f t="shared" si="6"/>
        <v>-290107.9240741916</v>
      </c>
      <c r="BF8" s="8">
        <f t="shared" si="6"/>
        <v>117716.52936483175</v>
      </c>
      <c r="BG8" s="8">
        <f t="shared" ref="BG8" si="7">IF(OR(BG6="",BG7=""),"",BG6-BG7)</f>
        <v>-1599300.716335617</v>
      </c>
      <c r="BH8" s="8">
        <f t="shared" ref="BH8:BM8" si="8">IF(OR(BH6="",BH7=""),"",BH6-BH7)</f>
        <v>-1261978.5681971302</v>
      </c>
      <c r="BI8" s="8">
        <f t="shared" si="8"/>
        <v>882778.35500746034</v>
      </c>
      <c r="BJ8" s="8">
        <f t="shared" si="8"/>
        <v>-1040846.1832534089</v>
      </c>
      <c r="BK8" s="8">
        <f t="shared" si="8"/>
        <v>17775019.597964674</v>
      </c>
      <c r="BL8" s="8">
        <f t="shared" si="8"/>
        <v>-3432257.6326400056</v>
      </c>
      <c r="BM8" s="8">
        <f t="shared" si="8"/>
        <v>-3832650.4255952681</v>
      </c>
      <c r="BN8" s="8">
        <f t="shared" ref="BN8" si="9">IF(OR(BN6="",BN7=""),"",BN6-BN7)</f>
        <v>-1441321.9544135323</v>
      </c>
      <c r="BO8" s="8">
        <f t="shared" ref="BO8:BT8" si="10">IF(OR(BO6="",BO7=""),"",BO6-BO7)</f>
        <v>-678242.21757652983</v>
      </c>
      <c r="BP8" s="8">
        <f t="shared" si="10"/>
        <v>-218007.68475346547</v>
      </c>
      <c r="BQ8" s="8">
        <f t="shared" si="10"/>
        <v>-24053.364455235191</v>
      </c>
      <c r="BR8" s="8">
        <f t="shared" si="10"/>
        <v>-2069993.1501689591</v>
      </c>
      <c r="BS8" s="8">
        <f t="shared" si="10"/>
        <v>-354237.0911623491</v>
      </c>
      <c r="BT8" s="8">
        <f t="shared" si="10"/>
        <v>-1889635.2713074563</v>
      </c>
      <c r="BU8" s="8">
        <f t="shared" ref="BU8:BV8" si="11">IF(OR(BU6="",BU7=""),"",BU6-BU7)</f>
        <v>1087078.4916207502</v>
      </c>
      <c r="BV8" s="8">
        <f t="shared" si="11"/>
        <v>-686954.88036113232</v>
      </c>
      <c r="BW8" s="8">
        <f t="shared" ref="BW8:BX8" si="12">IF(OR(BW6="",BW7=""),"",BW6-BW7)</f>
        <v>16287168.676389096</v>
      </c>
      <c r="BX8" s="7">
        <f t="shared" si="12"/>
        <v>-7289825.1400000006</v>
      </c>
      <c r="BY8" s="8">
        <f t="shared" ref="BY8:BZ8" si="13">IF(OR(BY6="",BY7=""),"",BY6-BY7)</f>
        <v>-4757289.71</v>
      </c>
      <c r="BZ8" s="8">
        <f t="shared" si="13"/>
        <v>192624.22999999998</v>
      </c>
      <c r="CA8" s="8">
        <f t="shared" ref="CA8:CB8" si="14">IF(OR(CA6="",CA7=""),"",CA6-CA7)</f>
        <v>153297</v>
      </c>
      <c r="CB8" s="8">
        <f t="shared" si="14"/>
        <v>119173.56</v>
      </c>
      <c r="CC8" s="8">
        <f t="shared" ref="CC8:CD8" si="15">IF(OR(CC6="",CC7=""),"",CC6-CC7)</f>
        <v>421611.01</v>
      </c>
      <c r="CD8" s="8">
        <f t="shared" si="15"/>
        <v>257277.42</v>
      </c>
      <c r="CE8" s="8">
        <f t="shared" ref="CE8:CF8" si="16">IF(OR(CE6="",CE7=""),"",CE6-CE7)</f>
        <v>56402.579999999987</v>
      </c>
      <c r="CF8" s="8">
        <f t="shared" si="16"/>
        <v>51819.859999999986</v>
      </c>
      <c r="CG8" s="8">
        <f t="shared" ref="CG8:CH8" si="17">IF(OR(CG6="",CG7=""),"",CG6-CG7)</f>
        <v>263624.33</v>
      </c>
      <c r="CH8" s="8">
        <f t="shared" si="17"/>
        <v>33383.747555764174</v>
      </c>
      <c r="CI8" s="8">
        <f t="shared" ref="CI8:CJ8" si="18">IF(OR(CI6="",CI7=""),"",CI6-CI7)</f>
        <v>207497.95737591121</v>
      </c>
      <c r="CJ8" s="8">
        <f t="shared" si="18"/>
        <v>287960.87265270954</v>
      </c>
    </row>
    <row r="9" spans="1:88" s="3" customFormat="1" x14ac:dyDescent="0.25">
      <c r="A9" s="279"/>
      <c r="B9" s="5" t="s">
        <v>3</v>
      </c>
      <c r="C9" s="22">
        <v>0</v>
      </c>
      <c r="D9" s="22">
        <v>0</v>
      </c>
      <c r="E9" s="22">
        <v>0</v>
      </c>
      <c r="F9" s="22">
        <v>2.7878150000000001E-2</v>
      </c>
      <c r="G9" s="22">
        <v>2.6622739999999999E-2</v>
      </c>
      <c r="H9" s="22">
        <v>2.677361E-2</v>
      </c>
      <c r="I9" s="22">
        <v>2.6500570000000001E-2</v>
      </c>
      <c r="J9" s="22">
        <v>2.594869E-2</v>
      </c>
      <c r="K9" s="22">
        <v>2.3511899999999999E-2</v>
      </c>
      <c r="L9" s="22">
        <v>2.21687E-2</v>
      </c>
      <c r="M9" s="22">
        <v>2.113932E-2</v>
      </c>
      <c r="N9" s="22">
        <v>1.8159890000000001E-2</v>
      </c>
      <c r="O9" s="22">
        <v>1.9151990000000001E-2</v>
      </c>
      <c r="P9" s="22">
        <v>1.8890779999999999E-2</v>
      </c>
      <c r="Q9" s="22">
        <v>1.8035829999999999E-2</v>
      </c>
      <c r="R9" s="22">
        <v>1.888592E-2</v>
      </c>
      <c r="S9" s="22">
        <v>9.3845999999999999E-3</v>
      </c>
      <c r="T9" s="22">
        <v>1.2906700000000001E-3</v>
      </c>
      <c r="U9" s="22">
        <v>1.2563100000000001E-3</v>
      </c>
      <c r="V9" s="22">
        <v>1.9366299999999999E-3</v>
      </c>
      <c r="W9" s="22">
        <v>1.3658500000000001E-3</v>
      </c>
      <c r="X9" s="22">
        <v>1.23916E-3</v>
      </c>
      <c r="Y9" s="22">
        <v>2E-3</v>
      </c>
      <c r="Z9" s="22">
        <v>2.5244400000000002E-3</v>
      </c>
      <c r="AA9" s="22">
        <v>2.8469900000000002E-3</v>
      </c>
      <c r="AB9" s="22">
        <v>2.0613900000000002E-3</v>
      </c>
      <c r="AC9" s="22">
        <v>2.3221700000000001E-3</v>
      </c>
      <c r="AD9" s="22">
        <v>2.1367399999999998E-3</v>
      </c>
      <c r="AE9" s="22">
        <v>2.2512299999999999E-3</v>
      </c>
      <c r="AF9" s="22">
        <v>2.2427200000000001E-3</v>
      </c>
      <c r="AG9" s="22">
        <v>2.01659E-3</v>
      </c>
      <c r="AH9" s="22">
        <v>1.3954900000000001E-3</v>
      </c>
      <c r="AI9" s="22">
        <v>2.0509899999999999E-3</v>
      </c>
      <c r="AJ9" s="22">
        <v>1.9323299999999999E-3</v>
      </c>
      <c r="AK9" s="22">
        <v>1.5E-3</v>
      </c>
      <c r="AL9" s="22">
        <v>1.5320900000000001E-3</v>
      </c>
      <c r="AM9" s="22">
        <v>2.6046400000000001E-3</v>
      </c>
      <c r="AN9" s="22">
        <v>2.3444999999999998E-3</v>
      </c>
      <c r="AO9" s="22">
        <v>2.9584899999999998E-3</v>
      </c>
      <c r="AP9" s="22">
        <v>6.8829599999999996E-3</v>
      </c>
      <c r="AQ9" s="22">
        <v>6.0041599999999997E-3</v>
      </c>
      <c r="AR9" s="22">
        <v>9.4970499999999999E-3</v>
      </c>
      <c r="AS9" s="22">
        <v>1.4858659999999999E-2</v>
      </c>
      <c r="AT9" s="22">
        <v>2.0566899999999999E-2</v>
      </c>
      <c r="AU9" s="22">
        <v>2.564054E-2</v>
      </c>
      <c r="AV9" s="22">
        <v>2.8416960000000002E-2</v>
      </c>
      <c r="AW9" s="22">
        <v>3.4701200000000001E-2</v>
      </c>
      <c r="AX9" s="22">
        <v>4.286098E-2</v>
      </c>
      <c r="AY9" s="22">
        <v>4.617603E-2</v>
      </c>
      <c r="AZ9" s="22">
        <v>4.7842519999999999E-2</v>
      </c>
      <c r="BA9" s="22">
        <v>4.847945E-2</v>
      </c>
      <c r="BB9" s="22">
        <v>4.9894139999999997E-2</v>
      </c>
      <c r="BC9" s="22">
        <v>5.2487209999999999E-2</v>
      </c>
      <c r="BD9" s="22">
        <v>5.3267839534246943E-2</v>
      </c>
      <c r="BE9" s="22">
        <v>5.3948219999999998E-2</v>
      </c>
      <c r="BF9" s="22">
        <v>5.4426639999999998E-2</v>
      </c>
      <c r="BG9" s="22">
        <v>5.5204789999999997E-2</v>
      </c>
      <c r="BH9" s="22">
        <v>5.5351270000000001E-2</v>
      </c>
      <c r="BI9" s="22">
        <v>5.5174559999999997E-2</v>
      </c>
      <c r="BJ9" s="22">
        <v>5.5580579999999997E-2</v>
      </c>
      <c r="BK9" s="22">
        <v>5.5475749999999997E-2</v>
      </c>
      <c r="BL9" s="22">
        <v>5.3783249999999998E-2</v>
      </c>
      <c r="BM9" s="22">
        <v>5.377171E-2</v>
      </c>
      <c r="BN9" s="22">
        <v>5.4286330000000001E-2</v>
      </c>
      <c r="BO9" s="22">
        <v>5.5001649999999999E-2</v>
      </c>
      <c r="BP9" s="22">
        <v>5.4899999999999997E-2</v>
      </c>
      <c r="BQ9" s="22">
        <v>5.5527970000000003E-2</v>
      </c>
      <c r="BR9" s="22">
        <v>5.581407E-2</v>
      </c>
      <c r="BS9" s="22">
        <v>5.56397E-2</v>
      </c>
      <c r="BT9" s="22">
        <v>5.3053490000000002E-2</v>
      </c>
      <c r="BU9" s="22">
        <v>4.9407439999999997E-2</v>
      </c>
      <c r="BV9" s="22">
        <v>4.84476E-2</v>
      </c>
      <c r="BW9" s="22">
        <v>4.6904139999999997E-2</v>
      </c>
      <c r="BX9" s="22">
        <v>4.5497750000000003E-2</v>
      </c>
      <c r="BY9" s="22">
        <v>4.5607639999999998E-2</v>
      </c>
      <c r="BZ9" s="22">
        <v>4.6190130000000003E-2</v>
      </c>
      <c r="CA9" s="22">
        <v>4.6179980000000002E-2</v>
      </c>
      <c r="CB9" s="22">
        <v>4.5943270000000001E-2</v>
      </c>
      <c r="CC9" s="22">
        <v>4.5978989999999997E-2</v>
      </c>
      <c r="CD9" s="22">
        <v>4.6030420000000002E-2</v>
      </c>
      <c r="CE9" s="22">
        <v>4.5683689999999999E-2</v>
      </c>
      <c r="CF9" s="22">
        <v>4.4067750000000003E-2</v>
      </c>
      <c r="CG9" s="22">
        <v>4.1449880000000001E-2</v>
      </c>
      <c r="CH9" s="255">
        <v>4.1449880000000001E-2</v>
      </c>
      <c r="CI9" s="255">
        <v>4.1449880000000001E-2</v>
      </c>
      <c r="CJ9" s="255">
        <v>4.1449880000000001E-2</v>
      </c>
    </row>
    <row r="10" spans="1:88" s="3" customFormat="1" x14ac:dyDescent="0.25">
      <c r="A10" s="279"/>
      <c r="B10" s="5" t="s">
        <v>4</v>
      </c>
      <c r="C10" s="8">
        <f>IF(OR(C9="",C8=""),"",ROUND((C9*C8)/12,2))</f>
        <v>0</v>
      </c>
      <c r="D10" s="8">
        <f>IF(OR(D9="",D8="",C13=""),"",ROUND(((C13+D8)*D9)/12,2))</f>
        <v>0</v>
      </c>
      <c r="E10" s="8">
        <f t="shared" ref="E10:K10" si="19">IF(OR(E9="",E8="",D13=""),"",ROUND(((D13+E8)*E9)/12,2))</f>
        <v>0</v>
      </c>
      <c r="F10" s="8">
        <f t="shared" si="19"/>
        <v>9653.81</v>
      </c>
      <c r="G10" s="8">
        <f t="shared" si="19"/>
        <v>12438.97</v>
      </c>
      <c r="H10" s="8">
        <f t="shared" si="19"/>
        <v>17431.88</v>
      </c>
      <c r="I10" s="8">
        <f t="shared" si="19"/>
        <v>10576.06</v>
      </c>
      <c r="J10" s="8">
        <f t="shared" si="19"/>
        <v>2521.9899999999998</v>
      </c>
      <c r="K10" s="8">
        <f t="shared" si="19"/>
        <v>-1864.05</v>
      </c>
      <c r="L10" s="8">
        <f t="shared" ref="L10" si="20">IF(OR(L9="",L8="",K13=""),"",ROUND(((K13+L8)*L9)/12,2))</f>
        <v>-6842.24</v>
      </c>
      <c r="M10" s="8">
        <f t="shared" ref="M10" si="21">IF(OR(M9="",M8="",L13=""),"",ROUND(((L13+M8)*M9)/12,2))</f>
        <v>-9531.39</v>
      </c>
      <c r="N10" s="8">
        <f t="shared" ref="N10" si="22">IF(OR(N9="",N8="",M13=""),"",ROUND(((M13+N8)*N9)/12,2))</f>
        <v>-4794.22</v>
      </c>
      <c r="O10" s="8">
        <f t="shared" ref="O10" si="23">IF(OR(O9="",O8="",N13=""),"",ROUND(((N13+O8)*O9)/12,2))</f>
        <v>6542.98</v>
      </c>
      <c r="P10" s="8">
        <f t="shared" ref="P10" si="24">IF(OR(P9="",P8="",O13=""),"",ROUND(((O13+P8)*P9)/12,2))</f>
        <v>-1848</v>
      </c>
      <c r="Q10" s="8">
        <f t="shared" ref="Q10" si="25">IF(OR(Q9="",Q8="",P13=""),"",ROUND(((P13+Q8)*Q9)/12,2))</f>
        <v>-7048.55</v>
      </c>
      <c r="R10" s="8">
        <f t="shared" ref="R10" si="26">IF(OR(R9="",R8="",Q13=""),"",ROUND(((Q13+R8)*R9)/12,2))</f>
        <v>-8321.11</v>
      </c>
      <c r="S10" s="8">
        <f t="shared" ref="S10" si="27">IF(OR(S9="",S8="",R13=""),"",ROUND(((R13+S8)*S9)/12,2))</f>
        <v>-4942.3900000000003</v>
      </c>
      <c r="T10" s="8">
        <f t="shared" ref="T10" si="28">IF(OR(T9="",T8="",S13=""),"",ROUND(((S13+T8)*T9)/12,2))</f>
        <v>-734.78</v>
      </c>
      <c r="U10" s="8">
        <f t="shared" ref="U10" si="29">IF(OR(U9="",U8="",T13=""),"",ROUND(((T13+U8)*U9)/12,2))</f>
        <v>-749.55</v>
      </c>
      <c r="V10" s="8">
        <f t="shared" ref="V10" si="30">IF(OR(V9="",V8="",U13=""),"",ROUND(((U13+V8)*V9)/12,2))</f>
        <v>-1464.01</v>
      </c>
      <c r="W10" s="8">
        <f t="shared" ref="W10" si="31">IF(OR(W9="",W8="",V13=""),"",ROUND(((V13+W8)*W9)/12,2))</f>
        <v>-1137.5899999999999</v>
      </c>
      <c r="X10" s="8">
        <f t="shared" ref="X10" si="32">IF(OR(X9="",X8="",W13=""),"",ROUND(((W13+X8)*X9)/12,2))</f>
        <v>-911.11</v>
      </c>
      <c r="Y10" s="8">
        <f t="shared" ref="Y10" si="33">IF(OR(Y9="",Y8="",X13=""),"",ROUND(((X13+Y8)*Y9)/12,2))</f>
        <v>-1351.83</v>
      </c>
      <c r="Z10" s="8">
        <f t="shared" ref="Z10" si="34">IF(OR(Z9="",Z8="",Y13=""),"",ROUND(((Y13+Z8)*Z9)/12,2))</f>
        <v>-912.99</v>
      </c>
      <c r="AA10" s="8">
        <f>IF(OR(AA9="",AA8="",Z13=""),"",ROUND(((Z13+AA8)*AA9)/12,2))</f>
        <v>1753.23</v>
      </c>
      <c r="AB10" s="8">
        <f>IF(OR(AB9="",AB8="",AA13=""),"",ROUND(((AA13+AB8)*AB9)/12,2))</f>
        <v>767.1</v>
      </c>
      <c r="AC10" s="8">
        <f t="shared" ref="AC10" si="35">IF(OR(AC9="",AC8="",AB13=""),"",ROUND(((AB13+AC8)*AC9)/12,2))</f>
        <v>-14.91</v>
      </c>
      <c r="AD10" s="8">
        <f>IF(OR(AD9="",AD8="",AC13=""),"",ROUND(((AC13+AD8+AD5)*AD9)/12,2))+'MEEIA 3 adjs'!BE11</f>
        <v>-623.98999999999546</v>
      </c>
      <c r="AE10" s="8">
        <f>IF(OR(AE9="",AE8="",AD13=""),"",ROUND(((AD13+AE8)*AE9)/12,2))</f>
        <v>-581.91</v>
      </c>
      <c r="AF10" s="8">
        <f>IF(OR(AF9="",AF8="",AE13=""),"",ROUND(((AE13+AF8)*AF9)/12,2))</f>
        <v>-1065.17</v>
      </c>
      <c r="AG10" s="8">
        <f t="shared" ref="AG10:AX10" si="36">IF(OR(AG9="",AG8="",AF13=""),"",ROUND(((AF13+AG8)*AG9)/12,2))</f>
        <v>-1086.56</v>
      </c>
      <c r="AH10" s="8">
        <f t="shared" si="36"/>
        <v>-1169.8</v>
      </c>
      <c r="AI10" s="8">
        <f t="shared" si="36"/>
        <v>-2142.6799999999998</v>
      </c>
      <c r="AJ10" s="8">
        <f t="shared" si="36"/>
        <v>-2680.89</v>
      </c>
      <c r="AK10" s="8">
        <f t="shared" si="36"/>
        <v>-2193.15</v>
      </c>
      <c r="AL10" s="8">
        <f>IF(OR(AL9="",AL8="",AK13=""),"",ROUND(((AK13+AL8+AL5)*AL9)/12,2))+'MEEIA 3 adjs'!BW19</f>
        <v>-1732.83</v>
      </c>
      <c r="AM10" s="8">
        <f>IF(OR(AM9="",AM8="",AL13=""),"",ROUND(((AL13+AM8)*AM9)/12,2))</f>
        <v>416.97</v>
      </c>
      <c r="AN10" s="8">
        <f t="shared" si="36"/>
        <v>-1527.25</v>
      </c>
      <c r="AO10" s="8">
        <f>IF(OR(AO9="",AO8="",AN13=""),"",ROUND(((AN13+AO5+AO8)*AO9)/12,2))</f>
        <v>-3262.3</v>
      </c>
      <c r="AP10" s="8">
        <f t="shared" si="36"/>
        <v>-8705.91</v>
      </c>
      <c r="AQ10" s="8">
        <f t="shared" si="36"/>
        <v>-7696.38</v>
      </c>
      <c r="AR10" s="8">
        <f t="shared" si="36"/>
        <v>-13343.43</v>
      </c>
      <c r="AS10" s="8">
        <f t="shared" si="36"/>
        <v>-19658.490000000002</v>
      </c>
      <c r="AT10" s="8">
        <f t="shared" si="36"/>
        <v>-33493.69</v>
      </c>
      <c r="AU10" s="8">
        <f t="shared" si="36"/>
        <v>-44565.49</v>
      </c>
      <c r="AV10" s="8">
        <f t="shared" si="36"/>
        <v>-49379.45</v>
      </c>
      <c r="AW10" s="8">
        <f t="shared" si="36"/>
        <v>-62378.84</v>
      </c>
      <c r="AX10" s="8">
        <f t="shared" si="36"/>
        <v>-72513.259999999995</v>
      </c>
      <c r="AY10" s="8">
        <f>IF(OR(AY9="",AY8="",AX13=""),"",ROUND(((AX13+AY8)*AY9)/12,2))</f>
        <v>-22022.62</v>
      </c>
      <c r="AZ10" s="8">
        <f>IF(OR(AZ9="",AZ8="",AY13=""),"",ROUND(((AY13+AZ8+AZ5)*AZ9)/12,2))+AZ5</f>
        <v>-39602.840000000069</v>
      </c>
      <c r="BA10" s="8">
        <f>IF(OR(BA9="",BA8="",AZ13=""),"",ROUND(((AZ13+BA8)*BA9)/12,2))</f>
        <v>-45132.639999999999</v>
      </c>
      <c r="BB10" s="8">
        <f>IF(OR(BB9="",BB8="",BA13=""),"",ROUND(((BA13+BB8+BB5)*BB9)/12,2))+BB5</f>
        <v>-50067.438489636625</v>
      </c>
      <c r="BC10" s="8">
        <f t="shared" ref="BC10:BG10" si="37">IF(OR(BC9="",BC8="",BB13=""),"",ROUND(((BB13+BC8)*BC9)/12,2))</f>
        <v>-56364.87</v>
      </c>
      <c r="BD10" s="8">
        <f t="shared" si="37"/>
        <v>-50214.16</v>
      </c>
      <c r="BE10" s="8">
        <f t="shared" si="37"/>
        <v>-52385.52</v>
      </c>
      <c r="BF10" s="8">
        <f t="shared" si="37"/>
        <v>-52553.77</v>
      </c>
      <c r="BG10" s="8">
        <f t="shared" si="37"/>
        <v>-60904.33</v>
      </c>
      <c r="BH10" s="8">
        <f>IF(OR(BH9="",BH8="",BG13=""),"",ROUND(((BG13+BH8)*BH9)/12,2))</f>
        <v>-67167.87</v>
      </c>
      <c r="BI10" s="8">
        <f>IF(OR(BI9="",BI8="",BH13=""),"",ROUND(((BH13+BI8+BI5)*BI9)/12,2))+'MEEIA 3 adjs'!FR11</f>
        <v>-63197.030000000021</v>
      </c>
      <c r="BJ10" s="8">
        <f t="shared" ref="BJ10:BZ10" si="38">IF(OR(BJ9="",BJ8="",BI13=""),"",ROUND(((BI13+BJ8)*BJ9)/12,2))</f>
        <v>-68780.490000000005</v>
      </c>
      <c r="BK10" s="8">
        <f t="shared" si="38"/>
        <v>13204.81</v>
      </c>
      <c r="BL10" s="8">
        <f t="shared" si="38"/>
        <v>-2522.0300000000002</v>
      </c>
      <c r="BM10" s="8">
        <f t="shared" si="38"/>
        <v>-19706.810000000001</v>
      </c>
      <c r="BN10" s="8">
        <f t="shared" si="38"/>
        <v>-26504.9</v>
      </c>
      <c r="BO10" s="8">
        <f t="shared" si="38"/>
        <v>-30084.34</v>
      </c>
      <c r="BP10" s="8">
        <f t="shared" si="38"/>
        <v>-31163.759999999998</v>
      </c>
      <c r="BQ10" s="8">
        <f t="shared" si="38"/>
        <v>-31775.73</v>
      </c>
      <c r="BR10" s="8">
        <f t="shared" si="38"/>
        <v>-41715.14</v>
      </c>
      <c r="BS10" s="8">
        <f t="shared" si="38"/>
        <v>-43420.71</v>
      </c>
      <c r="BT10" s="8">
        <f t="shared" si="38"/>
        <v>-49948.73</v>
      </c>
      <c r="BU10" s="8">
        <f t="shared" si="38"/>
        <v>-42245.9</v>
      </c>
      <c r="BV10" s="8">
        <f t="shared" si="38"/>
        <v>-44369.19</v>
      </c>
      <c r="BW10" s="8">
        <f t="shared" si="38"/>
        <v>20532.22</v>
      </c>
      <c r="BX10" s="7">
        <f t="shared" si="38"/>
        <v>-7644.8</v>
      </c>
      <c r="BY10" s="8">
        <f t="shared" si="38"/>
        <v>-25773.05</v>
      </c>
      <c r="BZ10" s="8">
        <f t="shared" si="38"/>
        <v>-25459.97</v>
      </c>
      <c r="CA10" s="8">
        <f t="shared" ref="CA10:CJ10" si="39">IF(OR(CA9="",CA8="",BZ13=""),"",ROUND(((BZ13+CA8)*CA9)/12,2))</f>
        <v>-24962.42</v>
      </c>
      <c r="CB10" s="8">
        <f t="shared" si="39"/>
        <v>-24473.77</v>
      </c>
      <c r="CC10" s="8">
        <f t="shared" si="39"/>
        <v>-22971.13</v>
      </c>
      <c r="CD10" s="8">
        <f t="shared" si="39"/>
        <v>-22098.06</v>
      </c>
      <c r="CE10" s="8">
        <f t="shared" si="39"/>
        <v>-21801.01</v>
      </c>
      <c r="CF10" s="8">
        <f t="shared" si="39"/>
        <v>-20919.61</v>
      </c>
      <c r="CG10" s="8">
        <f t="shared" si="39"/>
        <v>-18838.53</v>
      </c>
      <c r="CH10" s="8">
        <f t="shared" si="39"/>
        <v>-18788.29</v>
      </c>
      <c r="CI10" s="8">
        <f t="shared" si="39"/>
        <v>-18136.46</v>
      </c>
      <c r="CJ10" s="8">
        <f t="shared" si="39"/>
        <v>-17204.439999999999</v>
      </c>
    </row>
    <row r="11" spans="1:88" s="3" customFormat="1" x14ac:dyDescent="0.25">
      <c r="A11" s="279"/>
      <c r="B11" s="6" t="s">
        <v>5</v>
      </c>
      <c r="C11" s="8">
        <f>C10</f>
        <v>0</v>
      </c>
      <c r="D11" s="8">
        <f>D10</f>
        <v>0</v>
      </c>
      <c r="E11" s="8">
        <f>IF(OR(D11="",E10=""),"",D11+E10)</f>
        <v>0</v>
      </c>
      <c r="F11" s="8">
        <f t="shared" ref="F11:AF11" si="40">IF(OR(E11="",F10=""),"",E11+F10)</f>
        <v>9653.81</v>
      </c>
      <c r="G11" s="8">
        <f t="shared" si="40"/>
        <v>22092.78</v>
      </c>
      <c r="H11" s="8">
        <f t="shared" si="40"/>
        <v>39524.660000000003</v>
      </c>
      <c r="I11" s="8">
        <f t="shared" si="40"/>
        <v>50100.72</v>
      </c>
      <c r="J11" s="8">
        <f t="shared" si="40"/>
        <v>52622.71</v>
      </c>
      <c r="K11" s="8">
        <f t="shared" si="40"/>
        <v>50758.659999999996</v>
      </c>
      <c r="L11" s="8">
        <f t="shared" si="40"/>
        <v>43916.42</v>
      </c>
      <c r="M11" s="8">
        <f t="shared" si="40"/>
        <v>34385.03</v>
      </c>
      <c r="N11" s="8">
        <f t="shared" si="40"/>
        <v>29590.809999999998</v>
      </c>
      <c r="O11" s="8">
        <f>IF(OR(N11="",O10=""),"",N11+O10)</f>
        <v>36133.789999999994</v>
      </c>
      <c r="P11" s="8">
        <f t="shared" si="40"/>
        <v>34285.789999999994</v>
      </c>
      <c r="Q11" s="8">
        <f t="shared" si="40"/>
        <v>27237.239999999994</v>
      </c>
      <c r="R11" s="8">
        <f t="shared" si="40"/>
        <v>18916.129999999994</v>
      </c>
      <c r="S11" s="8">
        <f t="shared" si="40"/>
        <v>13973.739999999994</v>
      </c>
      <c r="T11" s="8">
        <f>IF(OR(S11="",T10=""),"",S11+T10)</f>
        <v>13238.959999999994</v>
      </c>
      <c r="U11" s="8">
        <f t="shared" si="40"/>
        <v>12489.409999999994</v>
      </c>
      <c r="V11" s="8">
        <f t="shared" si="40"/>
        <v>11025.399999999994</v>
      </c>
      <c r="W11" s="8">
        <f t="shared" si="40"/>
        <v>9887.809999999994</v>
      </c>
      <c r="X11" s="8">
        <f>IF(OR(W11="",X10=""),"",W11+X10+X5)</f>
        <v>8976.6999999999935</v>
      </c>
      <c r="Y11" s="8">
        <f t="shared" si="40"/>
        <v>7624.8699999999935</v>
      </c>
      <c r="Z11" s="8">
        <f t="shared" si="40"/>
        <v>6711.8799999999937</v>
      </c>
      <c r="AA11" s="8">
        <f t="shared" si="40"/>
        <v>8465.1099999999933</v>
      </c>
      <c r="AB11" s="8">
        <f t="shared" si="40"/>
        <v>9232.2099999999937</v>
      </c>
      <c r="AC11" s="8">
        <f t="shared" si="40"/>
        <v>9217.2999999999938</v>
      </c>
      <c r="AD11" s="8">
        <f t="shared" si="40"/>
        <v>8593.3099999999977</v>
      </c>
      <c r="AE11" s="8">
        <f t="shared" si="40"/>
        <v>8011.3999999999978</v>
      </c>
      <c r="AF11" s="8">
        <f t="shared" si="40"/>
        <v>6946.2299999999977</v>
      </c>
      <c r="AG11" s="8">
        <f t="shared" ref="AG11" si="41">IF(OR(AF11="",AG10=""),"",AF11+AG10)</f>
        <v>5859.6699999999983</v>
      </c>
      <c r="AH11" s="8">
        <f t="shared" ref="AH11" si="42">IF(OR(AG11="",AH10=""),"",AG11+AH10)</f>
        <v>4689.8699999999981</v>
      </c>
      <c r="AI11" s="8">
        <f t="shared" ref="AI11" si="43">IF(OR(AH11="",AI10=""),"",AH11+AI10)</f>
        <v>2547.1899999999982</v>
      </c>
      <c r="AJ11" s="8">
        <f t="shared" ref="AJ11" si="44">IF(OR(AI11="",AJ10=""),"",AI11+AJ10)</f>
        <v>-133.70000000000164</v>
      </c>
      <c r="AK11" s="8">
        <f t="shared" ref="AK11" si="45">IF(OR(AJ11="",AK10=""),"",AJ11+AK10)</f>
        <v>-2326.8500000000017</v>
      </c>
      <c r="AL11" s="8">
        <f>IF(OR(AK11="",AL10=""),"",AK11+AL10)</f>
        <v>-4059.6800000000017</v>
      </c>
      <c r="AM11" s="8">
        <f t="shared" ref="AM11" si="46">IF(OR(AL11="",AM10=""),"",AL11+AM10)</f>
        <v>-3642.7100000000019</v>
      </c>
      <c r="AN11" s="8">
        <f t="shared" ref="AN11" si="47">IF(OR(AM11="",AN10=""),"",AM11+AN10)</f>
        <v>-5169.9600000000019</v>
      </c>
      <c r="AO11" s="8">
        <f>IF(OR(AN11="",AO10=""),"",AN11+AO10)</f>
        <v>-8432.260000000002</v>
      </c>
      <c r="AP11" s="8">
        <f t="shared" ref="AP11" si="48">IF(OR(AO11="",AP10=""),"",AO11+AP10)</f>
        <v>-17138.170000000002</v>
      </c>
      <c r="AQ11" s="8">
        <f t="shared" ref="AQ11" si="49">IF(OR(AP11="",AQ10=""),"",AP11+AQ10)</f>
        <v>-24834.550000000003</v>
      </c>
      <c r="AR11" s="8">
        <f t="shared" ref="AR11" si="50">IF(OR(AQ11="",AR10=""),"",AQ11+AR10)</f>
        <v>-38177.980000000003</v>
      </c>
      <c r="AS11" s="8">
        <f t="shared" ref="AS11" si="51">IF(OR(AR11="",AS10=""),"",AR11+AS10)</f>
        <v>-57836.47</v>
      </c>
      <c r="AT11" s="8">
        <f t="shared" ref="AT11" si="52">IF(OR(AS11="",AT10=""),"",AS11+AT10)</f>
        <v>-91330.16</v>
      </c>
      <c r="AU11" s="8">
        <f t="shared" ref="AU11" si="53">IF(OR(AT11="",AU10=""),"",AT11+AU10)</f>
        <v>-135895.65</v>
      </c>
      <c r="AV11" s="8">
        <f t="shared" ref="AV11" si="54">IF(OR(AU11="",AV10=""),"",AU11+AV10)</f>
        <v>-185275.09999999998</v>
      </c>
      <c r="AW11" s="8">
        <f t="shared" ref="AW11:AY11" si="55">IF(OR(AV11="",AW10=""),"",AV11+AW10)</f>
        <v>-247653.93999999997</v>
      </c>
      <c r="AX11" s="8">
        <f t="shared" si="55"/>
        <v>-320167.19999999995</v>
      </c>
      <c r="AY11" s="8">
        <f t="shared" si="55"/>
        <v>-342189.81999999995</v>
      </c>
      <c r="AZ11" s="8">
        <f t="shared" ref="AZ11:BG11" si="56">IF(OR(AY11="",AZ10=""),"",AY11+AZ10)</f>
        <v>-381792.66000000003</v>
      </c>
      <c r="BA11" s="8">
        <f t="shared" si="56"/>
        <v>-426925.30000000005</v>
      </c>
      <c r="BB11" s="8">
        <f t="shared" si="56"/>
        <v>-476992.73848963669</v>
      </c>
      <c r="BC11" s="8">
        <f t="shared" si="56"/>
        <v>-533357.60848963668</v>
      </c>
      <c r="BD11" s="8">
        <f t="shared" si="56"/>
        <v>-583571.76848963671</v>
      </c>
      <c r="BE11" s="8">
        <f t="shared" si="56"/>
        <v>-635957.28848963673</v>
      </c>
      <c r="BF11" s="8">
        <f t="shared" si="56"/>
        <v>-688511.05848963675</v>
      </c>
      <c r="BG11" s="8">
        <f t="shared" si="56"/>
        <v>-749415.38848963671</v>
      </c>
      <c r="BH11" s="8">
        <f t="shared" ref="BH11:CJ11" si="57">IF(OR(BG11="",BH10=""),"",BG11+BH10)</f>
        <v>-816583.2584896367</v>
      </c>
      <c r="BI11" s="8">
        <f t="shared" si="57"/>
        <v>-879780.28848963673</v>
      </c>
      <c r="BJ11" s="8">
        <f t="shared" si="57"/>
        <v>-948560.77848963672</v>
      </c>
      <c r="BK11" s="8">
        <f t="shared" si="57"/>
        <v>-935355.96848963667</v>
      </c>
      <c r="BL11" s="8">
        <f t="shared" si="57"/>
        <v>-937877.9984896367</v>
      </c>
      <c r="BM11" s="8">
        <f t="shared" si="57"/>
        <v>-957584.80848963675</v>
      </c>
      <c r="BN11" s="8">
        <f t="shared" si="57"/>
        <v>-984089.70848963677</v>
      </c>
      <c r="BO11" s="8">
        <f t="shared" si="57"/>
        <v>-1014174.0484896367</v>
      </c>
      <c r="BP11" s="8">
        <f t="shared" si="57"/>
        <v>-1045337.8084896368</v>
      </c>
      <c r="BQ11" s="8">
        <f t="shared" si="57"/>
        <v>-1077113.5384896367</v>
      </c>
      <c r="BR11" s="8">
        <f t="shared" si="57"/>
        <v>-1118828.6784896366</v>
      </c>
      <c r="BS11" s="8">
        <f t="shared" si="57"/>
        <v>-1162249.3884896366</v>
      </c>
      <c r="BT11" s="8">
        <f t="shared" si="57"/>
        <v>-1212198.1184896366</v>
      </c>
      <c r="BU11" s="8">
        <f t="shared" si="57"/>
        <v>-1254444.0184896365</v>
      </c>
      <c r="BV11" s="8">
        <f t="shared" si="57"/>
        <v>-1298813.2084896364</v>
      </c>
      <c r="BW11" s="8">
        <f t="shared" si="57"/>
        <v>-1278280.9884896365</v>
      </c>
      <c r="BX11" s="8">
        <f t="shared" si="57"/>
        <v>-1285925.7884896365</v>
      </c>
      <c r="BY11" s="8">
        <f t="shared" si="57"/>
        <v>-1311698.8384896365</v>
      </c>
      <c r="BZ11" s="8">
        <f t="shared" si="57"/>
        <v>-1337158.8084896365</v>
      </c>
      <c r="CA11" s="8">
        <f t="shared" si="57"/>
        <v>-1362121.2284896364</v>
      </c>
      <c r="CB11" s="8">
        <f t="shared" si="57"/>
        <v>-1386594.9984896365</v>
      </c>
      <c r="CC11" s="8">
        <f t="shared" si="57"/>
        <v>-1409566.1284896364</v>
      </c>
      <c r="CD11" s="8">
        <f t="shared" si="57"/>
        <v>-1431664.1884896364</v>
      </c>
      <c r="CE11" s="8">
        <f t="shared" si="57"/>
        <v>-1453465.1984896364</v>
      </c>
      <c r="CF11" s="8">
        <f t="shared" si="57"/>
        <v>-1474384.8084896365</v>
      </c>
      <c r="CG11" s="8">
        <f t="shared" si="57"/>
        <v>-1493223.3384896365</v>
      </c>
      <c r="CH11" s="8">
        <f t="shared" si="57"/>
        <v>-1512011.6284896366</v>
      </c>
      <c r="CI11" s="8">
        <f t="shared" si="57"/>
        <v>-1530148.0884896365</v>
      </c>
      <c r="CJ11" s="8">
        <f t="shared" si="57"/>
        <v>-1547352.5284896365</v>
      </c>
    </row>
    <row r="12" spans="1:88" s="3" customFormat="1" x14ac:dyDescent="0.25">
      <c r="A12" s="279"/>
      <c r="B12" s="5" t="s">
        <v>11</v>
      </c>
      <c r="C12" s="8">
        <f>IF(OR(C10="",C8=""),"",C8+C10)</f>
        <v>472906.7</v>
      </c>
      <c r="D12" s="8">
        <f>IF(OR(D10="",D8=""),"",D8+D10)</f>
        <v>121950.46</v>
      </c>
      <c r="E12" s="8">
        <f>IF(OR(E10="",E8=""),"",E8+E10)</f>
        <v>306057.09999999998</v>
      </c>
      <c r="F12" s="8">
        <f t="shared" ref="F12:H12" si="58">IF(OR(F10="",F8=""),"",F8+F10)</f>
        <v>3264169.56</v>
      </c>
      <c r="G12" s="8">
        <f>IF(OR(G10="",G8=""),"",G8+G10)</f>
        <v>1454125.8400000005</v>
      </c>
      <c r="H12" s="8">
        <f t="shared" si="58"/>
        <v>2211233.6500000004</v>
      </c>
      <c r="I12" s="8">
        <f>IF(OR(I10="",I8=""),"",I8+I10)</f>
        <v>-3030810.39</v>
      </c>
      <c r="J12" s="8">
        <f t="shared" ref="J12:M12" si="59">IF(OR(J10="",J8=""),"",J8+J10)</f>
        <v>-3630815.8500000006</v>
      </c>
      <c r="K12" s="8">
        <f>IF(OR(K10="",K8=""),"",K8+K10)</f>
        <v>-2122057.16</v>
      </c>
      <c r="L12" s="8">
        <f t="shared" si="59"/>
        <v>-2757332.0299999984</v>
      </c>
      <c r="M12" s="8">
        <f t="shared" si="59"/>
        <v>-1709571.269999997</v>
      </c>
      <c r="N12" s="8">
        <f>IF(OR(N10="",N8=""),"",N8+N10)</f>
        <v>2247343.44</v>
      </c>
      <c r="O12" s="8">
        <f>IF(OR(O10="",O8=""),"",O8+O10)</f>
        <v>7278956.9999999972</v>
      </c>
      <c r="P12" s="8">
        <f t="shared" ref="P12:X12" si="60">IF(OR(P10="",P8=""),"",P8+P10)</f>
        <v>-5281909.8100000005</v>
      </c>
      <c r="Q12" s="8">
        <f t="shared" si="60"/>
        <v>-3520996.6599999992</v>
      </c>
      <c r="R12" s="8">
        <f t="shared" si="60"/>
        <v>-598752.86</v>
      </c>
      <c r="S12" s="8">
        <f t="shared" si="60"/>
        <v>-1029228.5199999994</v>
      </c>
      <c r="T12" s="8">
        <f>IF(OR(T10="",T8=""),"",T8+T10)</f>
        <v>-507621.0699999996</v>
      </c>
      <c r="U12" s="8">
        <f t="shared" si="60"/>
        <v>-327937.71999999991</v>
      </c>
      <c r="V12" s="8">
        <f>IF(OR(V10="",V8=""),"",V8+V10)</f>
        <v>-1912670.1700000011</v>
      </c>
      <c r="W12" s="8">
        <f t="shared" si="60"/>
        <v>-922724.0200000006</v>
      </c>
      <c r="X12" s="8">
        <f t="shared" si="60"/>
        <v>1171575.2100000002</v>
      </c>
      <c r="Y12" s="8">
        <f>IF(OR(Y10="",Y8=""),"",Y8+Y10)</f>
        <v>711777.30999999878</v>
      </c>
      <c r="Z12" s="8">
        <f t="shared" ref="Z12:AE12" si="61">IF(OR(Z10="",Z8=""),"",Z8+Z10)</f>
        <v>3771514.9099999992</v>
      </c>
      <c r="AA12" s="8">
        <f t="shared" si="61"/>
        <v>11732406.849999998</v>
      </c>
      <c r="AB12" s="8">
        <f t="shared" si="61"/>
        <v>-2925300.7699999991</v>
      </c>
      <c r="AC12" s="8">
        <f t="shared" si="61"/>
        <v>-4543364.830000001</v>
      </c>
      <c r="AD12" s="8">
        <f>IF(OR(AD10="",AD8=""),"",AD8+AD10)+'MEEIA 3 adjs'!BA1</f>
        <v>-664526.86999999708</v>
      </c>
      <c r="AE12" s="8">
        <f t="shared" si="61"/>
        <v>-2360786.6616527596</v>
      </c>
      <c r="AF12" s="8">
        <f t="shared" ref="AF12" si="62">IF(OR(AF10="",AF8=""),"",AF8+AF10)</f>
        <v>-2598050.1076373723</v>
      </c>
      <c r="AG12" s="8">
        <f t="shared" ref="AG12:AW12" si="63">IF(OR(AG10="",AG8=""),"",AG8+AG10)</f>
        <v>-766357.24199255882</v>
      </c>
      <c r="AH12" s="8">
        <f t="shared" si="63"/>
        <v>-3593603.7235242231</v>
      </c>
      <c r="AI12" s="8">
        <f t="shared" si="63"/>
        <v>-2478209.8310813052</v>
      </c>
      <c r="AJ12" s="8">
        <f t="shared" si="63"/>
        <v>-4112711.632674457</v>
      </c>
      <c r="AK12" s="8">
        <f>IF(OR(AK10="",AK8=""),"",AK8+AK10)</f>
        <v>-896103.18203946541</v>
      </c>
      <c r="AL12" s="8">
        <f>IF(OR(AL10="",AL8=""),"",AL8+AL10)+'MEEIA 3 adjs'!BH9</f>
        <v>4947312.0972242244</v>
      </c>
      <c r="AM12" s="8">
        <f t="shared" si="63"/>
        <v>14521570.780487528</v>
      </c>
      <c r="AN12" s="8">
        <f>IF(OR(AN10="",AN8=""),"",AN8+AN10)</f>
        <v>-9740021.3506461661</v>
      </c>
      <c r="AO12" s="8">
        <f>IF(OR(AO10="",AO8=""),"",AO8+AO10)</f>
        <v>-4720889.4820852028</v>
      </c>
      <c r="AP12" s="8">
        <f t="shared" si="63"/>
        <v>-1951358.2334257818</v>
      </c>
      <c r="AQ12" s="8">
        <f t="shared" si="63"/>
        <v>-202892.08689840895</v>
      </c>
      <c r="AR12" s="8">
        <f t="shared" si="63"/>
        <v>-1483649.9785616186</v>
      </c>
      <c r="AS12" s="8">
        <f t="shared" si="63"/>
        <v>977385.61078128149</v>
      </c>
      <c r="AT12" s="8">
        <f t="shared" si="63"/>
        <v>-3679733.0619777595</v>
      </c>
      <c r="AU12" s="8">
        <f t="shared" si="63"/>
        <v>-1325827.3787091884</v>
      </c>
      <c r="AV12" s="8">
        <f t="shared" si="63"/>
        <v>127.53271568585478</v>
      </c>
      <c r="AW12" s="8">
        <f t="shared" si="63"/>
        <v>-732083.13421939232</v>
      </c>
      <c r="AX12" s="8">
        <f t="shared" ref="AX12:AY12" si="64">IF(OR(AX10="",AX8=""),"",AX8+AX10)</f>
        <v>1259157.6242398338</v>
      </c>
      <c r="AY12" s="8">
        <f t="shared" si="64"/>
        <v>14629256.883251542</v>
      </c>
      <c r="AZ12" s="8">
        <f t="shared" ref="AZ12:BE12" si="65">IF(OR(AZ10="",AZ8=""),"",AZ8+AZ10)</f>
        <v>-4087146.2526905951</v>
      </c>
      <c r="BA12" s="8">
        <f t="shared" si="65"/>
        <v>-1384407.0182142102</v>
      </c>
      <c r="BB12" s="8">
        <f t="shared" si="65"/>
        <v>-658456.09307912202</v>
      </c>
      <c r="BC12" s="8">
        <f t="shared" si="65"/>
        <v>-1067740.8817789806</v>
      </c>
      <c r="BD12" s="8">
        <f t="shared" si="65"/>
        <v>1580611.1537780624</v>
      </c>
      <c r="BE12" s="8">
        <f t="shared" si="65"/>
        <v>-342493.44407419162</v>
      </c>
      <c r="BF12" s="8">
        <f t="shared" ref="BF12:BG12" si="66">IF(OR(BF10="",BF8=""),"",BF8+BF10)</f>
        <v>65162.759364831749</v>
      </c>
      <c r="BG12" s="8">
        <f t="shared" si="66"/>
        <v>-1660205.0463356171</v>
      </c>
      <c r="BH12" s="8">
        <f>IF(OR(BH10="",BH8=""),"",BH8+BH10)</f>
        <v>-1329146.4381971303</v>
      </c>
      <c r="BI12" s="8">
        <f>IF(OR(BI10="",BI8=""),"",BI8+BI10)+'MEEIA 3 adjs'!FR6</f>
        <v>819922.51168724825</v>
      </c>
      <c r="BJ12" s="8">
        <f t="shared" ref="BJ12:BO12" si="67">IF(OR(BJ10="",BJ8=""),"",BJ8+BJ10)</f>
        <v>-1109626.6732534089</v>
      </c>
      <c r="BK12" s="8">
        <f t="shared" si="67"/>
        <v>17788224.407964673</v>
      </c>
      <c r="BL12" s="8">
        <f t="shared" si="67"/>
        <v>-3434779.6626400054</v>
      </c>
      <c r="BM12" s="8">
        <f t="shared" si="67"/>
        <v>-3852357.2355952682</v>
      </c>
      <c r="BN12" s="8">
        <f t="shared" si="67"/>
        <v>-1467826.8544135322</v>
      </c>
      <c r="BO12" s="8">
        <f t="shared" si="67"/>
        <v>-708326.5575765298</v>
      </c>
      <c r="BP12" s="8">
        <f t="shared" ref="BP12:BQ12" si="68">IF(OR(BP10="",BP8=""),"",BP8+BP10)</f>
        <v>-249171.44475346548</v>
      </c>
      <c r="BQ12" s="8">
        <f t="shared" si="68"/>
        <v>-55829.094455235187</v>
      </c>
      <c r="BR12" s="8">
        <f t="shared" ref="BR12:BS12" si="69">IF(OR(BR10="",BR8=""),"",BR8+BR10)</f>
        <v>-2111708.2901689592</v>
      </c>
      <c r="BS12" s="8">
        <f t="shared" si="69"/>
        <v>-397657.80116234912</v>
      </c>
      <c r="BT12" s="8">
        <f t="shared" ref="BT12:BU12" si="70">IF(OR(BT10="",BT8=""),"",BT8+BT10)</f>
        <v>-1939584.0013074563</v>
      </c>
      <c r="BU12" s="8">
        <f t="shared" si="70"/>
        <v>1044832.5916207501</v>
      </c>
      <c r="BV12" s="8">
        <f t="shared" ref="BV12:BW12" si="71">IF(OR(BV10="",BV8=""),"",BV8+BV10)</f>
        <v>-731324.07036113227</v>
      </c>
      <c r="BW12" s="8">
        <f t="shared" si="71"/>
        <v>16307700.896389097</v>
      </c>
      <c r="BX12" s="8">
        <f t="shared" ref="BX12:BY12" si="72">IF(OR(BX10="",BX8=""),"",BX8+BX10)</f>
        <v>-7297469.9400000004</v>
      </c>
      <c r="BY12" s="8">
        <f t="shared" si="72"/>
        <v>-4783062.76</v>
      </c>
      <c r="BZ12" s="8">
        <f t="shared" ref="BZ12:CA12" si="73">IF(OR(BZ10="",BZ8=""),"",BZ8+BZ10)</f>
        <v>167164.25999999998</v>
      </c>
      <c r="CA12" s="8">
        <f t="shared" si="73"/>
        <v>128334.58</v>
      </c>
      <c r="CB12" s="8">
        <f t="shared" ref="CB12:CC12" si="74">IF(OR(CB10="",CB8=""),"",CB8+CB10)</f>
        <v>94699.79</v>
      </c>
      <c r="CC12" s="8">
        <f t="shared" si="74"/>
        <v>398639.88</v>
      </c>
      <c r="CD12" s="8">
        <f t="shared" ref="CD12:CE12" si="75">IF(OR(CD10="",CD8=""),"",CD8+CD10)</f>
        <v>235179.36000000002</v>
      </c>
      <c r="CE12" s="8">
        <f t="shared" si="75"/>
        <v>34601.569999999992</v>
      </c>
      <c r="CF12" s="8">
        <f t="shared" ref="CF12:CG12" si="76">IF(OR(CF10="",CF8=""),"",CF8+CF10)</f>
        <v>30900.249999999985</v>
      </c>
      <c r="CG12" s="8">
        <f t="shared" si="76"/>
        <v>244785.80000000002</v>
      </c>
      <c r="CH12" s="8">
        <f t="shared" ref="CH12:CI12" si="77">IF(OR(CH10="",CH8=""),"",CH8+CH10)</f>
        <v>14595.457555764173</v>
      </c>
      <c r="CI12" s="8">
        <f t="shared" si="77"/>
        <v>189361.49737591122</v>
      </c>
      <c r="CJ12" s="8">
        <f t="shared" ref="CJ12" si="78">IF(OR(CJ10="",CJ8=""),"",CJ8+CJ10)</f>
        <v>270756.43265270954</v>
      </c>
    </row>
    <row r="13" spans="1:88" s="3" customFormat="1" x14ac:dyDescent="0.25">
      <c r="A13" s="279"/>
      <c r="B13" s="9" t="s">
        <v>2</v>
      </c>
      <c r="C13" s="87">
        <f>C12</f>
        <v>472906.7</v>
      </c>
      <c r="D13" s="87">
        <f>IF(OR(D12="",C13=""),"",D12+C13)</f>
        <v>594857.16</v>
      </c>
      <c r="E13" s="87">
        <f>IF(OR(E12="",D13=""),"",E12+D13)</f>
        <v>900914.26</v>
      </c>
      <c r="F13" s="8">
        <f>IF(OR(F12="",E13=""),"",F12+E13)</f>
        <v>4165083.8200000003</v>
      </c>
      <c r="G13" s="8">
        <f t="shared" ref="G13:AF13" si="79">IF(OR(G12="",F13=""),"",G12+F13)</f>
        <v>5619209.6600000011</v>
      </c>
      <c r="H13" s="8">
        <f t="shared" si="79"/>
        <v>7830443.3100000015</v>
      </c>
      <c r="I13" s="8">
        <f t="shared" si="79"/>
        <v>4799632.9200000018</v>
      </c>
      <c r="J13" s="8">
        <f t="shared" si="79"/>
        <v>1168817.0700000012</v>
      </c>
      <c r="K13" s="8">
        <f>IF(OR(K12="",J13=""),"",K12+J13)</f>
        <v>-953240.08999999892</v>
      </c>
      <c r="L13" s="8">
        <f t="shared" si="79"/>
        <v>-3710572.1199999973</v>
      </c>
      <c r="M13" s="8">
        <f t="shared" si="79"/>
        <v>-5420143.3899999941</v>
      </c>
      <c r="N13" s="8">
        <f>IF(OR(N12="",M13=""),"",N12+M13)</f>
        <v>-3172799.9499999941</v>
      </c>
      <c r="O13" s="8">
        <f>IF(OR(O12="",N13=""),"",O12+N13+O5)</f>
        <v>4106157.0500000031</v>
      </c>
      <c r="P13" s="8">
        <f t="shared" si="79"/>
        <v>-1175752.7599999974</v>
      </c>
      <c r="Q13" s="8">
        <f t="shared" si="79"/>
        <v>-4696749.4199999962</v>
      </c>
      <c r="R13" s="8">
        <f t="shared" si="79"/>
        <v>-5295502.2799999965</v>
      </c>
      <c r="S13" s="8">
        <f t="shared" si="79"/>
        <v>-6324730.7999999961</v>
      </c>
      <c r="T13" s="8">
        <f>IF(OR(T12="",S13=""),"",T12+S13)</f>
        <v>-6832351.8699999955</v>
      </c>
      <c r="U13" s="8">
        <f t="shared" si="79"/>
        <v>-7160289.5899999952</v>
      </c>
      <c r="V13" s="8">
        <f>IF(OR(V12="",U13=""),"",V12+U13)</f>
        <v>-9072959.7599999961</v>
      </c>
      <c r="W13" s="8">
        <f t="shared" si="79"/>
        <v>-9995683.7799999975</v>
      </c>
      <c r="X13" s="8">
        <f>IF(OR(X12="",W13=""),"",X12+W13+X5)</f>
        <v>-8824108.5699999966</v>
      </c>
      <c r="Y13" s="8">
        <f t="shared" si="79"/>
        <v>-8112331.2599999979</v>
      </c>
      <c r="Z13" s="8">
        <f t="shared" si="79"/>
        <v>-4340816.3499999987</v>
      </c>
      <c r="AA13" s="8">
        <f t="shared" si="79"/>
        <v>7391590.4999999991</v>
      </c>
      <c r="AB13" s="7">
        <f t="shared" si="79"/>
        <v>4466289.7300000004</v>
      </c>
      <c r="AC13" s="7">
        <f t="shared" si="79"/>
        <v>-77075.100000000559</v>
      </c>
      <c r="AD13" s="8">
        <f>IF(OR(AD12="",AC13=""),"",AD12+AC13)</f>
        <v>-741601.96999999764</v>
      </c>
      <c r="AE13" s="8">
        <f t="shared" si="79"/>
        <v>-3102388.6316527575</v>
      </c>
      <c r="AF13" s="8">
        <f t="shared" si="79"/>
        <v>-5700438.7392901294</v>
      </c>
      <c r="AG13" s="8">
        <f t="shared" ref="AG13" si="80">IF(OR(AG12="",AF13=""),"",AG12+AF13)</f>
        <v>-6466795.9812826887</v>
      </c>
      <c r="AH13" s="8">
        <f t="shared" ref="AH13" si="81">IF(OR(AH12="",AG13=""),"",AH12+AG13)</f>
        <v>-10060399.704806913</v>
      </c>
      <c r="AI13" s="8">
        <f t="shared" ref="AI13" si="82">IF(OR(AI12="",AH13=""),"",AI12+AH13)</f>
        <v>-12538609.535888217</v>
      </c>
      <c r="AJ13" s="8">
        <f t="shared" ref="AJ13" si="83">IF(OR(AJ12="",AI13=""),"",AJ12+AI13)</f>
        <v>-16651321.168562675</v>
      </c>
      <c r="AK13" s="8">
        <f t="shared" ref="AK13" si="84">IF(OR(AK12="",AJ13=""),"",AK12+AJ13)</f>
        <v>-17547424.350602139</v>
      </c>
      <c r="AL13" s="8">
        <f>IF(OR(AL12="",AK13=""),"",AL12+AK13)</f>
        <v>-12600112.253377914</v>
      </c>
      <c r="AM13" s="8">
        <f t="shared" ref="AM13" si="85">IF(OR(AM12="",AL13=""),"",AM12+AL13)</f>
        <v>1921458.5271096136</v>
      </c>
      <c r="AN13" s="8">
        <f t="shared" ref="AN13" si="86">IF(OR(AN12="",AM13=""),"",AN12+AM13)</f>
        <v>-7818562.8235365525</v>
      </c>
      <c r="AO13" s="8">
        <f>IF(OR(AO12="",AN13=""),"",AO12+AN13+AO5)</f>
        <v>-13235535.862655682</v>
      </c>
      <c r="AP13" s="8">
        <f t="shared" ref="AP13" si="87">IF(OR(AP12="",AO13=""),"",AP12+AO13)</f>
        <v>-15186894.096081464</v>
      </c>
      <c r="AQ13" s="8">
        <f t="shared" ref="AQ13" si="88">IF(OR(AQ12="",AP13=""),"",AQ12+AP13)</f>
        <v>-15389786.182979872</v>
      </c>
      <c r="AR13" s="8">
        <f t="shared" ref="AR13" si="89">IF(OR(AR12="",AQ13=""),"",AR12+AQ13)</f>
        <v>-16873436.161541492</v>
      </c>
      <c r="AS13" s="8">
        <f t="shared" ref="AS13" si="90">IF(OR(AS12="",AR13=""),"",AS12+AR13)</f>
        <v>-15896050.55076021</v>
      </c>
      <c r="AT13" s="8">
        <f t="shared" ref="AT13" si="91">IF(OR(AT12="",AS13=""),"",AT12+AS13)</f>
        <v>-19575783.612737969</v>
      </c>
      <c r="AU13" s="8">
        <f t="shared" ref="AU13" si="92">IF(OR(AU12="",AT13=""),"",AU12+AT13)</f>
        <v>-20901610.991447158</v>
      </c>
      <c r="AV13" s="8">
        <f t="shared" ref="AV13" si="93">IF(OR(AV12="",AU13=""),"",AV12+AU13)</f>
        <v>-20901483.458731472</v>
      </c>
      <c r="AW13" s="8">
        <f t="shared" ref="AW13:AY13" si="94">IF(OR(AW12="",AV13=""),"",AW12+AV13)</f>
        <v>-21633566.592950866</v>
      </c>
      <c r="AX13" s="8">
        <f t="shared" si="94"/>
        <v>-20374408.968711033</v>
      </c>
      <c r="AY13" s="8">
        <f t="shared" si="94"/>
        <v>-5745152.0854594912</v>
      </c>
      <c r="AZ13" s="8">
        <f t="shared" ref="AZ13:BG13" si="95">IF(OR(AZ12="",AY13=""),"",AZ12+AY13)</f>
        <v>-9832298.3381500859</v>
      </c>
      <c r="BA13" s="8">
        <f t="shared" si="95"/>
        <v>-11216705.356364297</v>
      </c>
      <c r="BB13" s="8">
        <f t="shared" si="95"/>
        <v>-11875161.449443419</v>
      </c>
      <c r="BC13" s="8">
        <f t="shared" si="95"/>
        <v>-12942902.3312224</v>
      </c>
      <c r="BD13" s="8">
        <f t="shared" si="95"/>
        <v>-11362291.177444337</v>
      </c>
      <c r="BE13" s="8">
        <f t="shared" si="95"/>
        <v>-11704784.621518528</v>
      </c>
      <c r="BF13" s="8">
        <f t="shared" si="95"/>
        <v>-11639621.862153696</v>
      </c>
      <c r="BG13" s="8">
        <f t="shared" si="95"/>
        <v>-13299826.908489313</v>
      </c>
      <c r="BH13" s="8">
        <f t="shared" ref="BH13:CJ13" si="96">IF(OR(BH12="",BG13=""),"",BH12+BG13)</f>
        <v>-14628973.346686443</v>
      </c>
      <c r="BI13" s="8">
        <f t="shared" si="96"/>
        <v>-13809050.834999194</v>
      </c>
      <c r="BJ13" s="8">
        <f t="shared" si="96"/>
        <v>-14918677.508252604</v>
      </c>
      <c r="BK13" s="8">
        <f t="shared" si="96"/>
        <v>2869546.899712069</v>
      </c>
      <c r="BL13" s="8">
        <f t="shared" si="96"/>
        <v>-565232.76292793639</v>
      </c>
      <c r="BM13" s="8">
        <f t="shared" si="96"/>
        <v>-4417589.9985232046</v>
      </c>
      <c r="BN13" s="8">
        <f t="shared" si="96"/>
        <v>-5885416.8529367372</v>
      </c>
      <c r="BO13" s="8">
        <f t="shared" si="96"/>
        <v>-6593743.4105132669</v>
      </c>
      <c r="BP13" s="8">
        <f t="shared" si="96"/>
        <v>-6842914.8552667322</v>
      </c>
      <c r="BQ13" s="8">
        <f t="shared" si="96"/>
        <v>-6898743.9497219678</v>
      </c>
      <c r="BR13" s="8">
        <f t="shared" si="96"/>
        <v>-9010452.2398909274</v>
      </c>
      <c r="BS13" s="8">
        <f t="shared" si="96"/>
        <v>-9408110.0410532765</v>
      </c>
      <c r="BT13" s="8">
        <f t="shared" si="96"/>
        <v>-11347694.042360732</v>
      </c>
      <c r="BU13" s="8">
        <f t="shared" si="96"/>
        <v>-10302861.450739982</v>
      </c>
      <c r="BV13" s="8">
        <f t="shared" si="96"/>
        <v>-11034185.521101113</v>
      </c>
      <c r="BW13" s="7">
        <f t="shared" si="96"/>
        <v>5273515.3752879836</v>
      </c>
      <c r="BX13" s="7">
        <f t="shared" si="96"/>
        <v>-2023954.5647120168</v>
      </c>
      <c r="BY13" s="8">
        <f t="shared" si="96"/>
        <v>-6807017.3247120166</v>
      </c>
      <c r="BZ13" s="8">
        <f t="shared" si="96"/>
        <v>-6639853.0647120168</v>
      </c>
      <c r="CA13" s="8">
        <f t="shared" si="96"/>
        <v>-6511518.4847120168</v>
      </c>
      <c r="CB13" s="8">
        <f t="shared" si="96"/>
        <v>-6416818.6947120167</v>
      </c>
      <c r="CC13" s="8">
        <f t="shared" si="96"/>
        <v>-6018178.8147120168</v>
      </c>
      <c r="CD13" s="8">
        <f t="shared" si="96"/>
        <v>-5782999.4547120165</v>
      </c>
      <c r="CE13" s="8">
        <f t="shared" si="96"/>
        <v>-5748397.8847120162</v>
      </c>
      <c r="CF13" s="8">
        <f t="shared" si="96"/>
        <v>-5717497.6347120162</v>
      </c>
      <c r="CG13" s="8">
        <f t="shared" si="96"/>
        <v>-5472711.8347120164</v>
      </c>
      <c r="CH13" s="8">
        <f t="shared" si="96"/>
        <v>-5458116.377156252</v>
      </c>
      <c r="CI13" s="8">
        <f t="shared" si="96"/>
        <v>-5268754.8797803409</v>
      </c>
      <c r="CJ13" s="8">
        <f t="shared" si="96"/>
        <v>-4997998.4471276309</v>
      </c>
    </row>
    <row r="14" spans="1:88" s="4" customFormat="1" ht="8.25" customHeight="1" x14ac:dyDescent="0.25">
      <c r="A14" s="35"/>
      <c r="B14" s="11"/>
      <c r="C14" s="86"/>
      <c r="D14" s="86"/>
      <c r="E14" s="86"/>
      <c r="F14" s="84"/>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row>
    <row r="15" spans="1:88" s="4" customFormat="1" ht="15" customHeight="1" x14ac:dyDescent="0.25">
      <c r="A15" s="276" t="s">
        <v>24</v>
      </c>
      <c r="B15" s="14"/>
      <c r="C15" s="88"/>
      <c r="D15" s="88"/>
      <c r="E15" s="88"/>
      <c r="F15" s="7"/>
      <c r="G15" s="7"/>
      <c r="H15" s="7"/>
      <c r="I15" s="7"/>
      <c r="J15" s="7"/>
      <c r="K15" s="7"/>
      <c r="L15" s="7"/>
      <c r="M15" s="7"/>
      <c r="N15" s="100">
        <f>N26+N36+N46+N56+N66</f>
        <v>157.77999999999946</v>
      </c>
      <c r="O15" s="7"/>
      <c r="P15" s="7"/>
      <c r="Q15" s="7"/>
      <c r="R15" s="7"/>
      <c r="S15" s="7"/>
      <c r="T15" s="7"/>
      <c r="U15" s="7"/>
      <c r="V15" s="7"/>
      <c r="W15" s="7"/>
      <c r="X15" s="7"/>
      <c r="Y15" s="7"/>
      <c r="Z15" s="100">
        <f>Z26+Z36+Z46+Z56+Z66</f>
        <v>835.41999999999939</v>
      </c>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100">
        <f>AZ26+AZ36+AZ46+AZ56+AZ66</f>
        <v>-254.26999999999953</v>
      </c>
      <c r="BA15" s="7"/>
      <c r="BB15" s="7"/>
      <c r="BC15" s="7"/>
      <c r="BD15" s="7"/>
      <c r="BE15" s="7"/>
      <c r="BF15" s="7"/>
      <c r="BG15" s="7"/>
      <c r="BH15" s="7"/>
      <c r="BI15" s="7"/>
      <c r="BJ15" s="7"/>
      <c r="BK15" s="7"/>
      <c r="BL15" s="7"/>
      <c r="BM15" s="60">
        <f>+SUM(BM26,BM36,BM46,BM56,BM66)</f>
        <v>69483.785486213426</v>
      </c>
      <c r="BN15" s="7"/>
      <c r="BO15" s="7"/>
      <c r="BP15" s="7"/>
      <c r="BQ15" s="7"/>
      <c r="BR15" s="7"/>
      <c r="BS15" s="7"/>
      <c r="BT15" s="7"/>
      <c r="BU15" s="7"/>
      <c r="BV15" s="7"/>
      <c r="BW15" s="7"/>
      <c r="BX15" s="7"/>
      <c r="BY15" s="7"/>
      <c r="BZ15" s="7"/>
      <c r="CA15" s="7"/>
      <c r="CB15" s="7"/>
      <c r="CC15" s="7"/>
      <c r="CD15" s="7"/>
      <c r="CE15" s="7"/>
      <c r="CF15" s="7"/>
      <c r="CG15" s="7"/>
      <c r="CH15" s="7"/>
      <c r="CI15" s="7"/>
      <c r="CJ15" s="7"/>
    </row>
    <row r="16" spans="1:88" s="2" customFormat="1" ht="15" customHeight="1" x14ac:dyDescent="0.25">
      <c r="A16" s="276"/>
      <c r="B16" s="14" t="s">
        <v>27</v>
      </c>
      <c r="C16" s="82"/>
      <c r="D16" s="82"/>
      <c r="E16" s="82"/>
      <c r="F16" s="18">
        <f>IF(F67="","",SUM(F67,F57,F47,F37,F27))</f>
        <v>0.71203150918887492</v>
      </c>
      <c r="G16" s="18">
        <f t="shared" ref="F16:AE19" si="97">IF(G67="","",SUM(G67,G57,G47,G37,G27))</f>
        <v>4695.4207688607348</v>
      </c>
      <c r="H16" s="18">
        <f t="shared" si="97"/>
        <v>39935.570121927383</v>
      </c>
      <c r="I16" s="18">
        <f t="shared" si="97"/>
        <v>291676.37356246018</v>
      </c>
      <c r="J16" s="18">
        <f t="shared" si="97"/>
        <v>544866.33457860805</v>
      </c>
      <c r="K16" s="18">
        <f t="shared" si="97"/>
        <v>663040.94756639062</v>
      </c>
      <c r="L16" s="18">
        <f t="shared" si="97"/>
        <v>547744.67638274864</v>
      </c>
      <c r="M16" s="18">
        <f t="shared" si="97"/>
        <v>270067.89072131994</v>
      </c>
      <c r="N16" s="18">
        <f t="shared" si="97"/>
        <v>449448.83291898982</v>
      </c>
      <c r="O16" s="18">
        <f t="shared" si="97"/>
        <v>672384.11562352558</v>
      </c>
      <c r="P16" s="18">
        <f t="shared" si="97"/>
        <v>860299.05315340089</v>
      </c>
      <c r="Q16" s="18">
        <f t="shared" si="97"/>
        <v>921069.68539476907</v>
      </c>
      <c r="R16" s="18">
        <f t="shared" si="97"/>
        <v>727242.36549864151</v>
      </c>
      <c r="S16" s="18">
        <f t="shared" si="97"/>
        <v>330495.27100759087</v>
      </c>
      <c r="T16" s="18">
        <f t="shared" si="97"/>
        <v>448514.38010054693</v>
      </c>
      <c r="U16" s="18">
        <f t="shared" si="97"/>
        <v>1166466.8526526124</v>
      </c>
      <c r="V16" s="18">
        <f t="shared" si="97"/>
        <v>1596902.1714481553</v>
      </c>
      <c r="W16" s="18">
        <f>IF(W67="","",SUM(W67,W57,W47,W37,W27))</f>
        <v>1748272.4117888492</v>
      </c>
      <c r="X16" s="18">
        <f t="shared" si="97"/>
        <v>1519471.01623757</v>
      </c>
      <c r="Y16" s="18">
        <f t="shared" si="97"/>
        <v>764880.45368540613</v>
      </c>
      <c r="Z16" s="18">
        <f t="shared" ref="Z16:Z20" si="98">IF(Z67="","",SUM(Z67,Z57,Z47,Z37,Z27))</f>
        <v>908807.65228987066</v>
      </c>
      <c r="AA16" s="18">
        <f t="shared" si="97"/>
        <v>1120062.8565557792</v>
      </c>
      <c r="AB16" s="18">
        <f t="shared" si="97"/>
        <v>1377220.6643166305</v>
      </c>
      <c r="AC16" s="18">
        <f t="shared" si="97"/>
        <v>1195166.5723548159</v>
      </c>
      <c r="AD16" s="18">
        <f t="shared" si="97"/>
        <v>1300632.3993987506</v>
      </c>
      <c r="AE16" s="18">
        <f t="shared" si="97"/>
        <v>1205822.8207733985</v>
      </c>
      <c r="AF16" s="18">
        <f t="shared" ref="AF16" si="99">IF(AF67="","",SUM(AF67,AF57,AF47,AF37,AF27))</f>
        <v>1472551.2785682739</v>
      </c>
      <c r="AG16" s="18">
        <f t="shared" ref="AG16:AW16" si="100">IF(AG67="","",SUM(AG67,AG57,AG47,AG37,AG27))</f>
        <v>3602609.9103061222</v>
      </c>
      <c r="AH16" s="18">
        <f t="shared" si="100"/>
        <v>4524979.9029475963</v>
      </c>
      <c r="AI16" s="18">
        <f t="shared" si="100"/>
        <v>4557691.9623519126</v>
      </c>
      <c r="AJ16" s="18">
        <f t="shared" si="100"/>
        <v>3395133.6257571932</v>
      </c>
      <c r="AK16" s="18">
        <f t="shared" si="100"/>
        <v>1618999.5517252116</v>
      </c>
      <c r="AL16" s="18">
        <f t="shared" si="100"/>
        <v>1693340.1593012405</v>
      </c>
      <c r="AM16" s="18">
        <f t="shared" si="100"/>
        <v>2043834.5150522972</v>
      </c>
      <c r="AN16" s="18">
        <f t="shared" si="100"/>
        <v>2546894.0685010902</v>
      </c>
      <c r="AO16" s="18">
        <f t="shared" si="100"/>
        <v>2089616.4766016018</v>
      </c>
      <c r="AP16" s="18">
        <f t="shared" si="100"/>
        <v>912247.85076541686</v>
      </c>
      <c r="AQ16" s="18">
        <f t="shared" si="100"/>
        <v>846334.21711913729</v>
      </c>
      <c r="AR16" s="18">
        <f t="shared" si="100"/>
        <v>1066637.678205363</v>
      </c>
      <c r="AS16" s="18">
        <f>IF(AS67="","",SUM(AS67,AS57,AS47,AS37,AS27))</f>
        <v>2863352.6421243409</v>
      </c>
      <c r="AT16" s="18">
        <f t="shared" si="100"/>
        <v>3675557.5237109675</v>
      </c>
      <c r="AU16" s="18">
        <f t="shared" si="100"/>
        <v>3342039.9312423691</v>
      </c>
      <c r="AV16" s="18">
        <f t="shared" si="100"/>
        <v>2373846.5851787962</v>
      </c>
      <c r="AW16" s="18">
        <f t="shared" si="100"/>
        <v>1051178.3111241481</v>
      </c>
      <c r="AX16" s="18">
        <f t="shared" ref="AX16:AY16" si="101">IF(AX67="","",SUM(AX67,AX57,AX47,AX37,AX27))</f>
        <v>1105092.1759465141</v>
      </c>
      <c r="AY16" s="18">
        <f t="shared" si="101"/>
        <v>1381965.5186848878</v>
      </c>
      <c r="AZ16" s="18">
        <f t="shared" ref="AZ16:BA16" si="102">IF(AZ67="","",SUM(AZ67,AZ57,AZ47,AZ37,AZ27))</f>
        <v>1700717.7639811411</v>
      </c>
      <c r="BA16" s="18">
        <f t="shared" si="102"/>
        <v>1356926.8590753335</v>
      </c>
      <c r="BB16" s="18">
        <f t="shared" ref="BB16:BC16" si="103">IF(BB67="","",SUM(BB67,BB57,BB47,BB37,BB27))</f>
        <v>1353802.1905861669</v>
      </c>
      <c r="BC16" s="18">
        <f t="shared" si="103"/>
        <v>1239676.1204544338</v>
      </c>
      <c r="BD16" s="18">
        <f t="shared" ref="BD16:BE16" si="104">IF(BD67="","",SUM(BD67,BD57,BD47,BD37,BD27))</f>
        <v>1628086.4160208032</v>
      </c>
      <c r="BE16" s="18">
        <f t="shared" si="104"/>
        <v>4511630.5078466404</v>
      </c>
      <c r="BF16" s="18">
        <f t="shared" ref="BF16:BG16" si="105">IF(BF67="","",SUM(BF67,BF57,BF47,BF37,BF27))</f>
        <v>1051039.3753533266</v>
      </c>
      <c r="BG16" s="18">
        <f t="shared" si="105"/>
        <v>1133487.8662933947</v>
      </c>
      <c r="BH16" s="18">
        <f t="shared" ref="BH16:BI16" si="106">IF(BH67="","",SUM(BH67,BH57,BH47,BH37,BH27))</f>
        <v>808760.63763167639</v>
      </c>
      <c r="BI16" s="18">
        <f t="shared" si="106"/>
        <v>375458.03446689073</v>
      </c>
      <c r="BJ16" s="18">
        <f t="shared" ref="BJ16:BK16" si="107">IF(BJ67="","",SUM(BJ67,BJ57,BJ47,BJ37,BJ27))</f>
        <v>426692.32957000914</v>
      </c>
      <c r="BK16" s="18">
        <f t="shared" si="107"/>
        <v>579421.78363716719</v>
      </c>
      <c r="BL16" s="18">
        <f t="shared" ref="BL16:BM16" si="108">IF(BL67="","",SUM(BL67,BL57,BL47,BL37,BL27))</f>
        <v>801605.52584873384</v>
      </c>
      <c r="BM16" s="18">
        <f t="shared" si="108"/>
        <v>596790.15800777823</v>
      </c>
      <c r="BN16" s="18">
        <f t="shared" ref="BN16:BO16" si="109">IF(BN67="","",SUM(BN67,BN57,BN47,BN37,BN27))</f>
        <v>601738.66705846821</v>
      </c>
      <c r="BO16" s="18">
        <f t="shared" si="109"/>
        <v>554067.14924048469</v>
      </c>
      <c r="BP16" s="18">
        <f t="shared" ref="BP16:BQ16" si="110">IF(BP67="","",SUM(BP67,BP57,BP47,BP37,BP27))</f>
        <v>754375.92963655689</v>
      </c>
      <c r="BQ16" s="18">
        <f t="shared" si="110"/>
        <v>2025351.8248758968</v>
      </c>
      <c r="BR16" s="18">
        <f t="shared" ref="BR16:BS16" si="111">IF(BR67="","",SUM(BR67,BR57,BR47,BR37,BR27))</f>
        <v>2625386.5745604574</v>
      </c>
      <c r="BS16" s="18">
        <f t="shared" si="111"/>
        <v>2540999.4109809548</v>
      </c>
      <c r="BT16" s="18">
        <f t="shared" ref="BT16:BU16" si="112">IF(BT67="","",SUM(BT67,BT57,BT47,BT37,BT27))</f>
        <v>1733783.3413791929</v>
      </c>
      <c r="BU16" s="18">
        <f t="shared" si="112"/>
        <v>755529.95697051461</v>
      </c>
      <c r="BV16" s="18">
        <f t="shared" ref="BV16:BW16" si="113">IF(BV67="","",SUM(BV67,BV57,BV47,BV37,BV27))</f>
        <v>800386.7883500997</v>
      </c>
      <c r="BW16" s="18">
        <f t="shared" si="113"/>
        <v>1026238.810692295</v>
      </c>
      <c r="BX16" s="18">
        <f t="shared" ref="BX16:BY16" si="114">IF(BX67="","",SUM(BX67,BX57,BX47,BX37,BX27))</f>
        <v>1231550.2114614553</v>
      </c>
      <c r="BY16" s="18">
        <f t="shared" si="114"/>
        <v>965580.38748209178</v>
      </c>
      <c r="BZ16" s="18">
        <f t="shared" ref="BZ16:CA16" si="115">IF(BZ67="","",SUM(BZ67,BZ57,BZ47,BZ37,BZ27))</f>
        <v>943950.69423399284</v>
      </c>
      <c r="CA16" s="18">
        <f t="shared" si="115"/>
        <v>832657.91061831987</v>
      </c>
      <c r="CB16" s="18">
        <f t="shared" ref="CB16:CC16" si="116">IF(CB67="","",SUM(CB67,CB57,CB47,CB37,CB27))</f>
        <v>1073282.4949379705</v>
      </c>
      <c r="CC16" s="18">
        <f t="shared" si="116"/>
        <v>275621.41704727127</v>
      </c>
      <c r="CD16" s="18">
        <f t="shared" ref="CD16:CE16" si="117">IF(CD67="","",SUM(CD67,CD57,CD47,CD37,CD27))</f>
        <v>346705.76946718805</v>
      </c>
      <c r="CE16" s="18">
        <f t="shared" si="117"/>
        <v>320216.89179785782</v>
      </c>
      <c r="CF16" s="18">
        <f t="shared" ref="CF16:CG16" si="118">IF(CF67="","",SUM(CF67,CF57,CF47,CF37,CF27))</f>
        <v>203766.77594898478</v>
      </c>
      <c r="CG16" s="18">
        <f t="shared" si="118"/>
        <v>87613.12665097836</v>
      </c>
      <c r="CH16" s="18">
        <f t="shared" ref="CH16:CI16" si="119">IF(CH67="","",SUM(CH67,CH57,CH47,CH37,CH27))</f>
        <v>87440.554442982306</v>
      </c>
      <c r="CI16" s="18">
        <f t="shared" si="119"/>
        <v>106803.58051463943</v>
      </c>
      <c r="CJ16" s="18">
        <f t="shared" ref="CJ16" si="120">IF(CJ67="","",SUM(CJ67,CJ57,CJ47,CJ37,CJ27))</f>
        <v>109740.14329615334</v>
      </c>
    </row>
    <row r="17" spans="1:88" s="4" customFormat="1" ht="15" customHeight="1" x14ac:dyDescent="0.25">
      <c r="A17" s="276"/>
      <c r="B17" s="15" t="s">
        <v>25</v>
      </c>
      <c r="C17" s="82"/>
      <c r="D17" s="82"/>
      <c r="E17" s="82"/>
      <c r="F17" s="18">
        <f t="shared" si="97"/>
        <v>0</v>
      </c>
      <c r="G17" s="18">
        <f t="shared" si="97"/>
        <v>0</v>
      </c>
      <c r="H17" s="18">
        <f t="shared" si="97"/>
        <v>42385.43</v>
      </c>
      <c r="I17" s="18">
        <f t="shared" si="97"/>
        <v>557603.83999999997</v>
      </c>
      <c r="J17" s="18">
        <f t="shared" si="97"/>
        <v>676036.05</v>
      </c>
      <c r="K17" s="18">
        <f t="shared" si="97"/>
        <v>706998.16999999993</v>
      </c>
      <c r="L17" s="18">
        <f t="shared" si="97"/>
        <v>670246.85</v>
      </c>
      <c r="M17" s="18">
        <f t="shared" si="97"/>
        <v>574404.17000000004</v>
      </c>
      <c r="N17" s="18">
        <f t="shared" si="97"/>
        <v>514881.99</v>
      </c>
      <c r="O17" s="18">
        <f t="shared" si="97"/>
        <v>639874.60000000009</v>
      </c>
      <c r="P17" s="18">
        <f t="shared" si="97"/>
        <v>693023.25</v>
      </c>
      <c r="Q17" s="18">
        <f t="shared" si="97"/>
        <v>705379.12999999989</v>
      </c>
      <c r="R17" s="18">
        <f t="shared" si="97"/>
        <v>656045.5</v>
      </c>
      <c r="S17" s="18">
        <f t="shared" si="97"/>
        <v>537519.55000000005</v>
      </c>
      <c r="T17" s="18">
        <f t="shared" si="97"/>
        <v>488973.88</v>
      </c>
      <c r="U17" s="18">
        <f t="shared" si="97"/>
        <v>614590.80000000005</v>
      </c>
      <c r="V17" s="18">
        <f t="shared" si="97"/>
        <v>791820.69</v>
      </c>
      <c r="W17" s="18">
        <f t="shared" si="97"/>
        <v>759797.67</v>
      </c>
      <c r="X17" s="18">
        <f t="shared" si="97"/>
        <v>707202.3</v>
      </c>
      <c r="Y17" s="18">
        <f t="shared" si="97"/>
        <v>523078.24999999994</v>
      </c>
      <c r="Z17" s="18">
        <f t="shared" si="98"/>
        <v>540041.11</v>
      </c>
      <c r="AA17" s="18">
        <f t="shared" si="97"/>
        <v>664038.72</v>
      </c>
      <c r="AB17" s="18">
        <f t="shared" si="97"/>
        <v>811016.92</v>
      </c>
      <c r="AC17" s="18">
        <f>IF(AC68="","",SUM(AC68,AC58,AC48,AC38,AC28))</f>
        <v>2076902.76</v>
      </c>
      <c r="AD17" s="18">
        <f t="shared" si="97"/>
        <v>2924297.21</v>
      </c>
      <c r="AE17" s="18">
        <f t="shared" si="97"/>
        <v>2229866.6</v>
      </c>
      <c r="AF17" s="18">
        <f t="shared" ref="AF17" si="121">IF(AF68="","",SUM(AF68,AF58,AF48,AF38,AF28))</f>
        <v>2168254.38</v>
      </c>
      <c r="AG17" s="18">
        <f t="shared" ref="AG17:AW17" si="122">IF(AG68="","",SUM(AG68,AG58,AG48,AG38,AG28))</f>
        <v>2621890.16</v>
      </c>
      <c r="AH17" s="18">
        <f t="shared" si="122"/>
        <v>3329515.52</v>
      </c>
      <c r="AI17" s="18">
        <f t="shared" si="122"/>
        <v>3339633.92</v>
      </c>
      <c r="AJ17" s="18">
        <f t="shared" si="122"/>
        <v>3328981</v>
      </c>
      <c r="AK17" s="18">
        <f t="shared" si="122"/>
        <v>2544745.08</v>
      </c>
      <c r="AL17" s="18">
        <f t="shared" si="122"/>
        <v>2313567.6800000002</v>
      </c>
      <c r="AM17" s="18">
        <f t="shared" si="122"/>
        <v>2791286.27</v>
      </c>
      <c r="AN17" s="18">
        <f t="shared" si="122"/>
        <v>3345196.33</v>
      </c>
      <c r="AO17" s="18">
        <f t="shared" si="122"/>
        <v>2693584.13</v>
      </c>
      <c r="AP17" s="18">
        <f t="shared" si="122"/>
        <v>1313029.4300000002</v>
      </c>
      <c r="AQ17" s="18">
        <f t="shared" si="122"/>
        <v>1059088.8899999999</v>
      </c>
      <c r="AR17" s="18">
        <f t="shared" si="122"/>
        <v>1067990.67</v>
      </c>
      <c r="AS17" s="18">
        <f t="shared" si="122"/>
        <v>1283730.6599999999</v>
      </c>
      <c r="AT17" s="18">
        <f t="shared" si="122"/>
        <v>1612267.41</v>
      </c>
      <c r="AU17" s="18">
        <f t="shared" si="122"/>
        <v>1561342.09</v>
      </c>
      <c r="AV17" s="18">
        <f t="shared" si="122"/>
        <v>1380925.98</v>
      </c>
      <c r="AW17" s="18">
        <f t="shared" si="122"/>
        <v>1082294.4100000001</v>
      </c>
      <c r="AX17" s="18">
        <f t="shared" ref="AX17:AY17" si="123">IF(AX68="","",SUM(AX68,AX58,AX48,AX38,AX28))</f>
        <v>1039274.52</v>
      </c>
      <c r="AY17" s="18">
        <f t="shared" si="123"/>
        <v>1374184.39</v>
      </c>
      <c r="AZ17" s="18">
        <f t="shared" ref="AZ17:BA17" si="124">IF(AZ68="","",SUM(AZ68,AZ58,AZ48,AZ38,AZ28))</f>
        <v>1560107.74</v>
      </c>
      <c r="BA17" s="18">
        <f t="shared" si="124"/>
        <v>1696451.89</v>
      </c>
      <c r="BB17" s="18">
        <f t="shared" ref="BB17:BC17" si="125">IF(BB68="","",SUM(BB68,BB58,BB48,BB38,BB28))</f>
        <v>2004809.71</v>
      </c>
      <c r="BC17" s="18">
        <f t="shared" si="125"/>
        <v>1848718.47</v>
      </c>
      <c r="BD17" s="18">
        <f t="shared" ref="BD17:BE17" si="126">IF(BD68="","",SUM(BD68,BD58,BD48,BD38,BD28))</f>
        <v>1727734.28</v>
      </c>
      <c r="BE17" s="18">
        <f t="shared" si="126"/>
        <v>2048568.73</v>
      </c>
      <c r="BF17" s="18">
        <f t="shared" ref="BF17:BG17" si="127">IF(BF68="","",SUM(BF68,BF58,BF48,BF38,BF28))</f>
        <v>2394442.7800000003</v>
      </c>
      <c r="BG17" s="18">
        <f t="shared" si="127"/>
        <v>2495606.9500000002</v>
      </c>
      <c r="BH17" s="18">
        <f t="shared" ref="BH17:BI17" si="128">IF(BH68="","",SUM(BH68,BH58,BH48,BH38,BH28))</f>
        <v>2399769.0599999996</v>
      </c>
      <c r="BI17" s="18">
        <f t="shared" si="128"/>
        <v>1947531.2699999998</v>
      </c>
      <c r="BJ17" s="18">
        <f t="shared" ref="BJ17:BK17" si="129">IF(BJ68="","",SUM(BJ68,BJ58,BJ48,BJ38,BJ28))</f>
        <v>1775528.27</v>
      </c>
      <c r="BK17" s="18">
        <f t="shared" si="129"/>
        <v>2102006.9500000002</v>
      </c>
      <c r="BL17" s="18">
        <f t="shared" ref="BL17:BM17" si="130">IF(BL68="","",SUM(BL68,BL58,BL48,BL38,BL28))</f>
        <v>2503325.0600000005</v>
      </c>
      <c r="BM17" s="18">
        <f t="shared" si="130"/>
        <v>1952349.63</v>
      </c>
      <c r="BN17" s="18">
        <f t="shared" ref="BN17:BO17" si="131">IF(BN68="","",SUM(BN68,BN58,BN48,BN38,BN28))</f>
        <v>961791.42999999993</v>
      </c>
      <c r="BO17" s="18">
        <f t="shared" si="131"/>
        <v>913763.79</v>
      </c>
      <c r="BP17" s="18">
        <f t="shared" ref="BP17:BQ17" si="132">IF(BP68="","",SUM(BP68,BP58,BP48,BP38,BP28))</f>
        <v>889514.23</v>
      </c>
      <c r="BQ17" s="18">
        <f t="shared" si="132"/>
        <v>1073010.6200000001</v>
      </c>
      <c r="BR17" s="18">
        <f t="shared" ref="BR17:BS17" si="133">IF(BR68="","",SUM(BR68,BR58,BR48,BR38,BR28))</f>
        <v>1289449.57</v>
      </c>
      <c r="BS17" s="18">
        <f t="shared" si="133"/>
        <v>1199409.05</v>
      </c>
      <c r="BT17" s="18">
        <f t="shared" ref="BT17:BU17" si="134">IF(BT68="","",SUM(BT68,BT58,BT48,BT38,BT28))</f>
        <v>1169237.5</v>
      </c>
      <c r="BU17" s="18">
        <f t="shared" si="134"/>
        <v>979756.81</v>
      </c>
      <c r="BV17" s="18">
        <f t="shared" ref="BV17:BW17" si="135">IF(BV68="","",SUM(BV68,BV58,BV48,BV38,BV28))</f>
        <v>864991.24000000011</v>
      </c>
      <c r="BW17" s="18">
        <f t="shared" si="135"/>
        <v>1066673.3999999999</v>
      </c>
      <c r="BX17" s="18">
        <f t="shared" ref="BX17:BY17" si="136">IF(BX68="","",SUM(BX68,BX58,BX48,BX38,BX28))</f>
        <v>1279061.74</v>
      </c>
      <c r="BY17" s="18">
        <f t="shared" si="136"/>
        <v>802653.49</v>
      </c>
      <c r="BZ17" s="18">
        <f t="shared" ref="BZ17:CA17" si="137">IF(BZ68="","",SUM(BZ68,BZ58,BZ48,BZ38,BZ28))</f>
        <v>123107.70000000001</v>
      </c>
      <c r="CA17" s="18">
        <f t="shared" si="137"/>
        <v>94010.910000000018</v>
      </c>
      <c r="CB17" s="18">
        <f t="shared" ref="CB17:CC17" si="138">IF(CB68="","",SUM(CB68,CB58,CB48,CB38,CB28))</f>
        <v>100898.55</v>
      </c>
      <c r="CC17" s="18">
        <f t="shared" si="138"/>
        <v>108545.12</v>
      </c>
      <c r="CD17" s="18">
        <f t="shared" ref="CD17:CE17" si="139">IF(CD68="","",SUM(CD68,CD58,CD48,CD38,CD28))</f>
        <v>136877.53</v>
      </c>
      <c r="CE17" s="18">
        <f t="shared" si="139"/>
        <v>131820.06</v>
      </c>
      <c r="CF17" s="18">
        <f t="shared" ref="CF17:CG17" si="140">IF(CF68="","",SUM(CF68,CF58,CF48,CF38,CF28))</f>
        <v>122294.37</v>
      </c>
      <c r="CG17" s="18">
        <f t="shared" si="140"/>
        <v>113846.43</v>
      </c>
      <c r="CH17" s="18">
        <f t="shared" ref="CH17:CI17" si="141">IF(CH68="","",SUM(CH68,CH58,CH48,CH38,CH28))</f>
        <v>97269.80732202057</v>
      </c>
      <c r="CI17" s="18">
        <f t="shared" si="141"/>
        <v>110965.33840427535</v>
      </c>
      <c r="CJ17" s="18">
        <f t="shared" ref="CJ17" si="142">IF(CJ68="","",SUM(CJ68,CJ58,CJ48,CJ38,CJ28))</f>
        <v>118803.73637641613</v>
      </c>
    </row>
    <row r="18" spans="1:88" s="4" customFormat="1" ht="15" customHeight="1" x14ac:dyDescent="0.25">
      <c r="A18" s="276"/>
      <c r="B18" s="15" t="s">
        <v>45</v>
      </c>
      <c r="C18" s="82"/>
      <c r="D18" s="82"/>
      <c r="E18" s="82"/>
      <c r="F18" s="18">
        <f t="shared" ref="F18:M18" si="143">IF(F69="","",SUM(F69,F59,F49,F39,F29))</f>
        <v>0</v>
      </c>
      <c r="G18" s="18">
        <f t="shared" si="143"/>
        <v>0</v>
      </c>
      <c r="H18" s="18">
        <f t="shared" si="143"/>
        <v>0</v>
      </c>
      <c r="I18" s="18">
        <f t="shared" si="143"/>
        <v>0</v>
      </c>
      <c r="J18" s="18">
        <f t="shared" si="143"/>
        <v>0</v>
      </c>
      <c r="K18" s="18">
        <f t="shared" si="143"/>
        <v>0</v>
      </c>
      <c r="L18" s="18">
        <f t="shared" si="143"/>
        <v>0</v>
      </c>
      <c r="M18" s="18">
        <f t="shared" si="143"/>
        <v>0</v>
      </c>
      <c r="N18" s="18">
        <f>IF(N69="","",SUM(N69,N59,N49,N39,N29))</f>
        <v>0</v>
      </c>
      <c r="O18" s="18">
        <f>IF(O69="","",SUM(O69,O59,O49,O39,O29))</f>
        <v>0</v>
      </c>
      <c r="P18" s="18">
        <f t="shared" si="97"/>
        <v>0</v>
      </c>
      <c r="Q18" s="18">
        <f t="shared" si="97"/>
        <v>196554.22</v>
      </c>
      <c r="R18" s="18">
        <f>IF(R69="","",SUM(R69,R59,R49,R39,R29))</f>
        <v>181274.15000000002</v>
      </c>
      <c r="S18" s="18">
        <f t="shared" si="97"/>
        <v>149642.01999999999</v>
      </c>
      <c r="T18" s="18">
        <f>IF(T69="","",SUM(T69,T59,T49,T39,T29))</f>
        <v>136362.22</v>
      </c>
      <c r="U18" s="18">
        <f t="shared" si="97"/>
        <v>171212.22</v>
      </c>
      <c r="V18" s="18">
        <f t="shared" si="97"/>
        <v>216757.82</v>
      </c>
      <c r="W18" s="18">
        <f t="shared" si="97"/>
        <v>209115.01</v>
      </c>
      <c r="X18" s="18">
        <f t="shared" si="97"/>
        <v>195955.65999999997</v>
      </c>
      <c r="Y18" s="18">
        <f t="shared" si="97"/>
        <v>147507.93</v>
      </c>
      <c r="Z18" s="18">
        <f t="shared" si="98"/>
        <v>151406.02000000002</v>
      </c>
      <c r="AA18" s="18">
        <f t="shared" si="97"/>
        <v>183380.12</v>
      </c>
      <c r="AB18" s="18">
        <f t="shared" si="97"/>
        <v>220797.02</v>
      </c>
      <c r="AC18" s="18">
        <f t="shared" si="97"/>
        <v>-269418.96999999997</v>
      </c>
      <c r="AD18" s="18">
        <f t="shared" si="97"/>
        <v>-372580.93</v>
      </c>
      <c r="AE18" s="18">
        <f t="shared" si="97"/>
        <v>-266557.01</v>
      </c>
      <c r="AF18" s="18">
        <f t="shared" ref="AF18" si="144">IF(AF69="","",SUM(AF69,AF59,AF49,AF39,AF29))</f>
        <v>-255479.12</v>
      </c>
      <c r="AG18" s="18">
        <f t="shared" ref="AG18:AW18" si="145">IF(AG69="","",SUM(AG69,AG59,AG49,AG39,AG29))</f>
        <v>-321252.77</v>
      </c>
      <c r="AH18" s="18">
        <f>IF(AH69="","",SUM(AH69,AH59,AH49,AH39,AH29))</f>
        <v>-412310.44999999995</v>
      </c>
      <c r="AI18" s="18">
        <f t="shared" si="145"/>
        <v>-417357.26</v>
      </c>
      <c r="AJ18" s="18">
        <f t="shared" si="145"/>
        <v>-413042.95</v>
      </c>
      <c r="AK18" s="18">
        <f t="shared" si="145"/>
        <v>-303496.26</v>
      </c>
      <c r="AL18" s="18">
        <f t="shared" si="145"/>
        <v>-281268.86</v>
      </c>
      <c r="AM18" s="18">
        <f t="shared" si="145"/>
        <v>-341119.99</v>
      </c>
      <c r="AN18" s="18">
        <f t="shared" si="145"/>
        <v>-424246.17</v>
      </c>
      <c r="AO18" s="18">
        <f t="shared" si="145"/>
        <v>-37488.600000000006</v>
      </c>
      <c r="AP18" s="18">
        <f t="shared" si="145"/>
        <v>-16454.500000000015</v>
      </c>
      <c r="AQ18" s="18">
        <f t="shared" si="145"/>
        <v>-60641.26999999999</v>
      </c>
      <c r="AR18" s="18">
        <f t="shared" si="145"/>
        <v>8124.2599999999948</v>
      </c>
      <c r="AS18" s="18">
        <f t="shared" si="145"/>
        <v>-761.50999999999476</v>
      </c>
      <c r="AT18" s="18">
        <f t="shared" si="145"/>
        <v>-28136.840000000011</v>
      </c>
      <c r="AU18" s="18">
        <f t="shared" si="145"/>
        <v>-22606.089999999997</v>
      </c>
      <c r="AV18" s="18">
        <f t="shared" si="145"/>
        <v>-3873.9199999999837</v>
      </c>
      <c r="AW18" s="18">
        <f t="shared" si="145"/>
        <v>12650.119999999995</v>
      </c>
      <c r="AX18" s="18">
        <f t="shared" ref="AX18:AY18" si="146">IF(AX69="","",SUM(AX69,AX59,AX49,AX39,AX29))</f>
        <v>15417.529999999984</v>
      </c>
      <c r="AY18" s="18">
        <f t="shared" si="146"/>
        <v>-16235.439999999988</v>
      </c>
      <c r="AZ18" s="18">
        <f t="shared" ref="AZ18:BA18" si="147">IF(AZ69="","",SUM(AZ69,AZ59,AZ49,AZ39,AZ29))</f>
        <v>-38204.540000000008</v>
      </c>
      <c r="BA18" s="18">
        <f t="shared" si="147"/>
        <v>-365810.75</v>
      </c>
      <c r="BB18" s="18">
        <f t="shared" ref="BB18:BC18" si="148">IF(BB69="","",SUM(BB69,BB59,BB49,BB39,BB29))</f>
        <v>-453443.33999999997</v>
      </c>
      <c r="BC18" s="18">
        <f t="shared" si="148"/>
        <v>-409612.06999999995</v>
      </c>
      <c r="BD18" s="18">
        <f t="shared" ref="BD18:BE18" si="149">IF(BD69="","",SUM(BD69,BD59,BD49,BD39,BD29))</f>
        <v>-376782.53</v>
      </c>
      <c r="BE18" s="18">
        <f t="shared" si="149"/>
        <v>-455878.16000000003</v>
      </c>
      <c r="BF18" s="18">
        <f t="shared" ref="BF18:BG18" si="150">IF(BF69="","",SUM(BF69,BF59,BF49,BF39,BF29))</f>
        <v>-548805.54</v>
      </c>
      <c r="BG18" s="18">
        <f t="shared" si="150"/>
        <v>-566979.27</v>
      </c>
      <c r="BH18" s="18">
        <f t="shared" ref="BH18:BI18" si="151">IF(BH69="","",SUM(BH69,BH59,BH49,BH39,BH29))</f>
        <v>-541890.65999999992</v>
      </c>
      <c r="BI18" s="18">
        <f t="shared" si="151"/>
        <v>-427002.23</v>
      </c>
      <c r="BJ18" s="18">
        <f t="shared" ref="BJ18:BK18" si="152">IF(BJ69="","",SUM(BJ69,BJ59,BJ49,BJ39,BJ29))</f>
        <v>-382627.19999999995</v>
      </c>
      <c r="BK18" s="18">
        <f t="shared" si="152"/>
        <v>-472448.94</v>
      </c>
      <c r="BL18" s="18">
        <f t="shared" ref="BL18:BM18" si="153">IF(BL69="","",SUM(BL69,BL59,BL49,BL39,BL29))</f>
        <v>-577170.47</v>
      </c>
      <c r="BM18" s="18">
        <f t="shared" si="153"/>
        <v>653060.51</v>
      </c>
      <c r="BN18" s="18">
        <f t="shared" ref="BN18:BO18" si="154">IF(BN69="","",SUM(BN69,BN59,BN49,BN39,BN29))</f>
        <v>292154.12</v>
      </c>
      <c r="BO18" s="18">
        <f t="shared" si="154"/>
        <v>272469.94</v>
      </c>
      <c r="BP18" s="18">
        <f t="shared" ref="BP18:BQ18" si="155">IF(BP69="","",SUM(BP69,BP59,BP49,BP39,BP29))</f>
        <v>267715.46999999997</v>
      </c>
      <c r="BQ18" s="18">
        <f t="shared" si="155"/>
        <v>321072.81</v>
      </c>
      <c r="BR18" s="18">
        <f t="shared" ref="BR18:BS18" si="156">IF(BR69="","",SUM(BR69,BR59,BR49,BR39,BR29))</f>
        <v>384359.52999999997</v>
      </c>
      <c r="BS18" s="18">
        <f t="shared" si="156"/>
        <v>357198.69000000006</v>
      </c>
      <c r="BT18" s="18">
        <f t="shared" ref="BT18:BU18" si="157">IF(BT69="","",SUM(BT69,BT59,BT49,BT39,BT29))</f>
        <v>346872.72</v>
      </c>
      <c r="BU18" s="18">
        <f t="shared" si="157"/>
        <v>293859.67</v>
      </c>
      <c r="BV18" s="18">
        <f t="shared" ref="BV18:BW18" si="158">IF(BV69="","",SUM(BV69,BV59,BV49,BV39,BV29))</f>
        <v>257022.35</v>
      </c>
      <c r="BW18" s="18">
        <f t="shared" si="158"/>
        <v>317338.18999999994</v>
      </c>
      <c r="BX18" s="18">
        <f t="shared" ref="BX18" si="159">IF(BX69="","",SUM(BX69,BX59,BX49,BX39,BX29))</f>
        <v>378582.88</v>
      </c>
      <c r="BY18" s="18">
        <f t="shared" ref="BY18:CD18" si="160">IF(BY69="","",SUM(BY69,BY59,BY49,BY39,BY29))</f>
        <v>207693.13441754444</v>
      </c>
      <c r="BZ18" s="18">
        <f t="shared" si="160"/>
        <v>207693.13441754444</v>
      </c>
      <c r="CA18" s="18">
        <f t="shared" si="160"/>
        <v>207693.13441754444</v>
      </c>
      <c r="CB18" s="18">
        <f t="shared" si="160"/>
        <v>207693.13441754444</v>
      </c>
      <c r="CC18" s="18">
        <f t="shared" si="160"/>
        <v>207693.13441754444</v>
      </c>
      <c r="CD18" s="18">
        <f t="shared" si="160"/>
        <v>207693.13441754444</v>
      </c>
      <c r="CE18" s="18">
        <f t="shared" ref="CE18:CF18" si="161">IF(CE69="","",SUM(CE69,CE59,CE49,CE39,CE29))</f>
        <v>207693.13441754444</v>
      </c>
      <c r="CF18" s="18">
        <f t="shared" si="161"/>
        <v>207693.13441754444</v>
      </c>
      <c r="CG18" s="18">
        <f t="shared" ref="CG18:CH18" si="162">IF(CG69="","",SUM(CG69,CG59,CG49,CG39,CG29))</f>
        <v>207693.13441754444</v>
      </c>
      <c r="CH18" s="18">
        <f t="shared" si="162"/>
        <v>207693.13441754444</v>
      </c>
      <c r="CI18" s="18">
        <f t="shared" ref="CI18:CJ18" si="163">IF(CI69="","",SUM(CI69,CI59,CI49,CI39,CI29))</f>
        <v>207693.13441754444</v>
      </c>
      <c r="CJ18" s="18">
        <f t="shared" si="163"/>
        <v>207693.13441754444</v>
      </c>
    </row>
    <row r="19" spans="1:88" s="4" customFormat="1" ht="15" customHeight="1" x14ac:dyDescent="0.25">
      <c r="A19" s="276"/>
      <c r="B19" s="15" t="s">
        <v>46</v>
      </c>
      <c r="C19" s="82"/>
      <c r="D19" s="82"/>
      <c r="E19" s="82"/>
      <c r="F19" s="18">
        <f t="shared" ref="F19:L19" si="164">IF(F70="","",SUM(F70,F60,F50,F40,F30))</f>
        <v>0</v>
      </c>
      <c r="G19" s="18">
        <f>IF(G70="","",SUM(G70,G60,G50,G40,G30))</f>
        <v>0</v>
      </c>
      <c r="H19" s="18">
        <f t="shared" si="164"/>
        <v>42385.43</v>
      </c>
      <c r="I19" s="18">
        <f t="shared" si="164"/>
        <v>557603.83999999997</v>
      </c>
      <c r="J19" s="18">
        <f t="shared" si="164"/>
        <v>676036.05</v>
      </c>
      <c r="K19" s="18">
        <f t="shared" si="164"/>
        <v>706998.16999999993</v>
      </c>
      <c r="L19" s="18">
        <f t="shared" si="164"/>
        <v>670246.85</v>
      </c>
      <c r="M19" s="18">
        <f>IF(M70="","",SUM(M70,M60,M50,M40,M30))</f>
        <v>574404.17000000004</v>
      </c>
      <c r="N19" s="18">
        <f>IF(N70="","",SUM(N70,N60,N50,N40,N30))</f>
        <v>514881.99</v>
      </c>
      <c r="O19" s="18">
        <f>IF(O70="","",SUM(O70,O60,O50,O40,O30))</f>
        <v>639874.60000000009</v>
      </c>
      <c r="P19" s="18">
        <f t="shared" si="97"/>
        <v>693023.25</v>
      </c>
      <c r="Q19" s="18">
        <f>IF(Q70="","",SUM(Q70,Q60,Q50,Q40,Q30))</f>
        <v>901933.35</v>
      </c>
      <c r="R19" s="18">
        <f t="shared" si="97"/>
        <v>837319.65</v>
      </c>
      <c r="S19" s="18">
        <f t="shared" si="97"/>
        <v>687161.57000000007</v>
      </c>
      <c r="T19" s="18">
        <f t="shared" si="97"/>
        <v>625336.1</v>
      </c>
      <c r="U19" s="18">
        <f t="shared" si="97"/>
        <v>785803.02</v>
      </c>
      <c r="V19" s="18">
        <f t="shared" si="97"/>
        <v>1008578.51</v>
      </c>
      <c r="W19" s="18">
        <f t="shared" si="97"/>
        <v>968912.67999999993</v>
      </c>
      <c r="X19" s="18">
        <f t="shared" si="97"/>
        <v>903157.96</v>
      </c>
      <c r="Y19" s="18">
        <f t="shared" si="97"/>
        <v>670586.17999999993</v>
      </c>
      <c r="Z19" s="18">
        <f t="shared" si="98"/>
        <v>691447.12999999989</v>
      </c>
      <c r="AA19" s="18">
        <f t="shared" si="97"/>
        <v>847418.84</v>
      </c>
      <c r="AB19" s="18">
        <f t="shared" si="97"/>
        <v>1031813.9400000001</v>
      </c>
      <c r="AC19" s="18">
        <f t="shared" si="97"/>
        <v>1807483.79</v>
      </c>
      <c r="AD19" s="18">
        <f t="shared" si="97"/>
        <v>2551716.2800000003</v>
      </c>
      <c r="AE19" s="18">
        <f t="shared" si="97"/>
        <v>1963309.5900000003</v>
      </c>
      <c r="AF19" s="18">
        <f t="shared" ref="AF19" si="165">IF(AF70="","",SUM(AF70,AF60,AF50,AF40,AF30))</f>
        <v>1912775.2599999998</v>
      </c>
      <c r="AG19" s="18">
        <f t="shared" ref="AG19:AW19" si="166">IF(AG70="","",SUM(AG70,AG60,AG50,AG40,AG30))</f>
        <v>2300637.39</v>
      </c>
      <c r="AH19" s="18">
        <f t="shared" si="166"/>
        <v>2917205.0700000003</v>
      </c>
      <c r="AI19" s="18">
        <f t="shared" si="166"/>
        <v>2922276.66</v>
      </c>
      <c r="AJ19" s="18">
        <f t="shared" si="166"/>
        <v>2915938.05</v>
      </c>
      <c r="AK19" s="18">
        <f t="shared" si="166"/>
        <v>2241248.8199999998</v>
      </c>
      <c r="AL19" s="18">
        <f t="shared" si="166"/>
        <v>2032298.8200000003</v>
      </c>
      <c r="AM19" s="18">
        <f t="shared" si="166"/>
        <v>2450166.2800000003</v>
      </c>
      <c r="AN19" s="18">
        <f t="shared" si="166"/>
        <v>2920950.16</v>
      </c>
      <c r="AO19" s="18">
        <f t="shared" si="166"/>
        <v>2656095.5300000003</v>
      </c>
      <c r="AP19" s="18">
        <f t="shared" si="166"/>
        <v>1296574.93</v>
      </c>
      <c r="AQ19" s="18">
        <f t="shared" si="166"/>
        <v>998447.61999999988</v>
      </c>
      <c r="AR19" s="18">
        <f t="shared" si="166"/>
        <v>1076114.93</v>
      </c>
      <c r="AS19" s="18">
        <f t="shared" si="166"/>
        <v>1282969.1499999999</v>
      </c>
      <c r="AT19" s="18">
        <f t="shared" si="166"/>
        <v>1584130.5699999998</v>
      </c>
      <c r="AU19" s="18">
        <f t="shared" si="166"/>
        <v>1538736</v>
      </c>
      <c r="AV19" s="18">
        <f t="shared" si="166"/>
        <v>1377052.06</v>
      </c>
      <c r="AW19" s="18">
        <f t="shared" si="166"/>
        <v>1094944.53</v>
      </c>
      <c r="AX19" s="18">
        <f t="shared" ref="AX19:AY19" si="167">IF(AX70="","",SUM(AX70,AX60,AX50,AX40,AX30))</f>
        <v>1054692.0499999998</v>
      </c>
      <c r="AY19" s="18">
        <f t="shared" si="167"/>
        <v>1357948.95</v>
      </c>
      <c r="AZ19" s="18">
        <f t="shared" ref="AZ19:BA19" si="168">IF(AZ70="","",SUM(AZ70,AZ60,AZ50,AZ40,AZ30))</f>
        <v>1521903.2000000002</v>
      </c>
      <c r="BA19" s="18">
        <f t="shared" si="168"/>
        <v>1330641.1400000001</v>
      </c>
      <c r="BB19" s="18">
        <f t="shared" ref="BB19:BC19" si="169">IF(BB70="","",SUM(BB70,BB60,BB50,BB40,BB30))</f>
        <v>1551366.37</v>
      </c>
      <c r="BC19" s="18">
        <f t="shared" si="169"/>
        <v>1439106.4</v>
      </c>
      <c r="BD19" s="18">
        <f t="shared" ref="BD19:BE19" si="170">IF(BD70="","",SUM(BD70,BD60,BD50,BD40,BD30))</f>
        <v>1350951.75</v>
      </c>
      <c r="BE19" s="18">
        <f t="shared" si="170"/>
        <v>1592690.57</v>
      </c>
      <c r="BF19" s="18">
        <f t="shared" ref="BF19:BG19" si="171">IF(BF70="","",SUM(BF70,BF60,BF50,BF40,BF30))</f>
        <v>1845637.24</v>
      </c>
      <c r="BG19" s="18">
        <f t="shared" si="171"/>
        <v>1928627.68</v>
      </c>
      <c r="BH19" s="18">
        <f t="shared" ref="BH19:BI19" si="172">IF(BH70="","",SUM(BH70,BH60,BH50,BH40,BH30))</f>
        <v>1857878.4</v>
      </c>
      <c r="BI19" s="18">
        <f t="shared" si="172"/>
        <v>1520529.04</v>
      </c>
      <c r="BJ19" s="18">
        <f t="shared" ref="BJ19:BK19" si="173">IF(BJ70="","",SUM(BJ70,BJ60,BJ50,BJ40,BJ30))</f>
        <v>1392901.07</v>
      </c>
      <c r="BK19" s="18">
        <f t="shared" si="173"/>
        <v>1629558.01</v>
      </c>
      <c r="BL19" s="18">
        <f t="shared" ref="BL19:BM19" si="174">IF(BL70="","",SUM(BL70,BL60,BL50,BL40,BL30))</f>
        <v>1926154.5900000003</v>
      </c>
      <c r="BM19" s="18">
        <f t="shared" si="174"/>
        <v>2605410.1399999997</v>
      </c>
      <c r="BN19" s="18">
        <f t="shared" ref="BN19:BO19" si="175">IF(BN70="","",SUM(BN70,BN60,BN50,BN40,BN30))</f>
        <v>1253945.5499999998</v>
      </c>
      <c r="BO19" s="18">
        <f t="shared" si="175"/>
        <v>1186233.73</v>
      </c>
      <c r="BP19" s="18">
        <f t="shared" ref="BP19:BQ19" si="176">IF(BP70="","",SUM(BP70,BP60,BP50,BP40,BP30))</f>
        <v>1157229.7000000002</v>
      </c>
      <c r="BQ19" s="18">
        <f t="shared" si="176"/>
        <v>1394083.43</v>
      </c>
      <c r="BR19" s="18">
        <f t="shared" ref="BR19:BS19" si="177">IF(BR70="","",SUM(BR70,BR60,BR50,BR40,BR30))</f>
        <v>1673809.1</v>
      </c>
      <c r="BS19" s="18">
        <f t="shared" si="177"/>
        <v>1556607.74</v>
      </c>
      <c r="BT19" s="18">
        <f t="shared" ref="BT19:BU19" si="178">IF(BT70="","",SUM(BT70,BT60,BT50,BT40,BT30))</f>
        <v>1516110.22</v>
      </c>
      <c r="BU19" s="18">
        <f t="shared" si="178"/>
        <v>1273616.48</v>
      </c>
      <c r="BV19" s="18">
        <f t="shared" ref="BV19:BW19" si="179">IF(BV70="","",SUM(BV70,BV60,BV50,BV40,BV30))</f>
        <v>1122013.5900000001</v>
      </c>
      <c r="BW19" s="18">
        <f t="shared" si="179"/>
        <v>1384011.59</v>
      </c>
      <c r="BX19" s="18">
        <f t="shared" ref="BX19:BY19" si="180">IF(BX70="","",SUM(BX70,BX60,BX50,BX40,BX30))</f>
        <v>1657644.62</v>
      </c>
      <c r="BY19" s="18">
        <f t="shared" si="180"/>
        <v>1010346.6244175445</v>
      </c>
      <c r="BZ19" s="18">
        <f t="shared" ref="BZ19:CA19" si="181">IF(BZ70="","",SUM(BZ70,BZ60,BZ50,BZ40,BZ30))</f>
        <v>330800.83441754448</v>
      </c>
      <c r="CA19" s="18">
        <f t="shared" si="181"/>
        <v>301704.0444175445</v>
      </c>
      <c r="CB19" s="18">
        <f t="shared" ref="CB19:CC19" si="182">IF(CB70="","",SUM(CB70,CB60,CB50,CB40,CB30))</f>
        <v>308591.68441754446</v>
      </c>
      <c r="CC19" s="18">
        <f t="shared" si="182"/>
        <v>316238.25441754446</v>
      </c>
      <c r="CD19" s="18">
        <f t="shared" ref="CD19:CE19" si="183">IF(CD70="","",SUM(CD70,CD60,CD50,CD40,CD30))</f>
        <v>344570.6644175445</v>
      </c>
      <c r="CE19" s="18">
        <f t="shared" si="183"/>
        <v>339513.19441754441</v>
      </c>
      <c r="CF19" s="18">
        <f t="shared" ref="CF19:CG19" si="184">IF(CF70="","",SUM(CF70,CF60,CF50,CF40,CF30))</f>
        <v>329987.50441754446</v>
      </c>
      <c r="CG19" s="18">
        <f t="shared" si="184"/>
        <v>321539.56441754446</v>
      </c>
      <c r="CH19" s="18">
        <f t="shared" ref="CH19:CI19" si="185">IF(CH70="","",SUM(CH70,CH60,CH50,CH40,CH30))</f>
        <v>304962.94173956499</v>
      </c>
      <c r="CI19" s="18">
        <f t="shared" si="185"/>
        <v>318658.47282181977</v>
      </c>
      <c r="CJ19" s="18">
        <f t="shared" ref="CJ19" si="186">IF(CJ70="","",SUM(CJ70,CJ60,CJ50,CJ40,CJ30))</f>
        <v>326496.87079396052</v>
      </c>
    </row>
    <row r="20" spans="1:88" s="4" customFormat="1" x14ac:dyDescent="0.25">
      <c r="A20" s="276"/>
      <c r="B20" s="15" t="s">
        <v>12</v>
      </c>
      <c r="C20" s="82"/>
      <c r="D20" s="82"/>
      <c r="E20" s="82"/>
      <c r="F20" s="18">
        <f t="shared" ref="F20:M21" si="187">IF(F71="","",SUM(F71,F61,F51,F41,F31))</f>
        <v>0.71203150918887492</v>
      </c>
      <c r="G20" s="18">
        <f>IF(G71="","",SUM(G71,G61,G51,G41,G31))</f>
        <v>4695.4207688607348</v>
      </c>
      <c r="H20" s="18">
        <f t="shared" si="187"/>
        <v>-2449.8598780726179</v>
      </c>
      <c r="I20" s="18">
        <f t="shared" si="187"/>
        <v>-265927.46643753978</v>
      </c>
      <c r="J20" s="18">
        <f t="shared" si="187"/>
        <v>-131169.715421392</v>
      </c>
      <c r="K20" s="18">
        <f t="shared" si="187"/>
        <v>-43957.222433609393</v>
      </c>
      <c r="L20" s="18">
        <f t="shared" si="187"/>
        <v>-122502.17361725139</v>
      </c>
      <c r="M20" s="18">
        <f t="shared" si="187"/>
        <v>-304336.2792786801</v>
      </c>
      <c r="N20" s="18">
        <f>IF(N71="","",SUM(N71,N61,N51,N41,N31))</f>
        <v>-65433.157081010191</v>
      </c>
      <c r="O20" s="18">
        <f t="shared" ref="O20:AE21" si="188">IF(O71="","",SUM(O71,O61,O51,O41,O31))</f>
        <v>32509.51562352556</v>
      </c>
      <c r="P20" s="18">
        <f t="shared" si="188"/>
        <v>167275.80315340095</v>
      </c>
      <c r="Q20" s="18">
        <f>IF(Q71="","",SUM(Q71,Q61,Q51,Q41,Q31))</f>
        <v>19136.33539476915</v>
      </c>
      <c r="R20" s="18">
        <f t="shared" si="188"/>
        <v>-110077.28450135858</v>
      </c>
      <c r="S20" s="18">
        <f t="shared" si="188"/>
        <v>-356666.29899240914</v>
      </c>
      <c r="T20" s="18">
        <f t="shared" si="188"/>
        <v>-176821.71989945308</v>
      </c>
      <c r="U20" s="18">
        <f t="shared" si="188"/>
        <v>380663.8326526123</v>
      </c>
      <c r="V20" s="18">
        <f t="shared" si="188"/>
        <v>588323.66144815541</v>
      </c>
      <c r="W20" s="18">
        <f t="shared" si="188"/>
        <v>779359.73178884923</v>
      </c>
      <c r="X20" s="18">
        <f t="shared" si="188"/>
        <v>616313.05623756989</v>
      </c>
      <c r="Y20" s="18">
        <f t="shared" si="188"/>
        <v>94294.273685406195</v>
      </c>
      <c r="Z20" s="18">
        <f t="shared" si="98"/>
        <v>217360.52228987066</v>
      </c>
      <c r="AA20" s="18">
        <f t="shared" si="188"/>
        <v>272644.01655577932</v>
      </c>
      <c r="AB20" s="18">
        <f t="shared" si="188"/>
        <v>345406.72431663051</v>
      </c>
      <c r="AC20" s="18">
        <f t="shared" si="188"/>
        <v>-612317.2176451839</v>
      </c>
      <c r="AD20" s="18">
        <f t="shared" si="188"/>
        <v>-1251083.8806012496</v>
      </c>
      <c r="AE20" s="18">
        <f t="shared" si="188"/>
        <v>-757486.76922660158</v>
      </c>
      <c r="AF20" s="18">
        <f t="shared" ref="AF20" si="189">IF(AF71="","",SUM(AF71,AF61,AF51,AF41,AF31))</f>
        <v>-440223.98143172619</v>
      </c>
      <c r="AG20" s="18">
        <f t="shared" ref="AG20:AW20" si="190">IF(AG71="","",SUM(AG71,AG61,AG51,AG41,AG31))</f>
        <v>1301972.520306122</v>
      </c>
      <c r="AH20" s="18">
        <f t="shared" si="190"/>
        <v>1607774.8329475964</v>
      </c>
      <c r="AI20" s="18">
        <f t="shared" si="190"/>
        <v>1635415.3023519127</v>
      </c>
      <c r="AJ20" s="18">
        <f t="shared" si="190"/>
        <v>479195.57575719332</v>
      </c>
      <c r="AK20" s="18">
        <f t="shared" si="190"/>
        <v>-622249.26827478828</v>
      </c>
      <c r="AL20" s="18">
        <f t="shared" si="190"/>
        <v>-338958.66069875972</v>
      </c>
      <c r="AM20" s="18">
        <f t="shared" si="190"/>
        <v>-406331.76494770299</v>
      </c>
      <c r="AN20" s="18">
        <f t="shared" si="190"/>
        <v>-374056.09149891004</v>
      </c>
      <c r="AO20" s="18">
        <f t="shared" si="190"/>
        <v>-566479.05339839845</v>
      </c>
      <c r="AP20" s="18">
        <f t="shared" si="190"/>
        <v>-384327.07923458319</v>
      </c>
      <c r="AQ20" s="18">
        <f t="shared" si="190"/>
        <v>-152113.4028808627</v>
      </c>
      <c r="AR20" s="18">
        <f t="shared" si="190"/>
        <v>-9477.251794636868</v>
      </c>
      <c r="AS20" s="18">
        <f t="shared" si="190"/>
        <v>1580383.492124341</v>
      </c>
      <c r="AT20" s="18">
        <f t="shared" si="190"/>
        <v>2091426.9537109674</v>
      </c>
      <c r="AU20" s="18">
        <f t="shared" si="190"/>
        <v>1803303.9312423691</v>
      </c>
      <c r="AV20" s="18">
        <f t="shared" si="190"/>
        <v>996794.52517879615</v>
      </c>
      <c r="AW20" s="18">
        <f t="shared" si="190"/>
        <v>-43766.218875852297</v>
      </c>
      <c r="AX20" s="18">
        <f t="shared" ref="AX20:AY20" si="191">IF(AX71="","",SUM(AX71,AX61,AX51,AX41,AX31))</f>
        <v>50400.12594651409</v>
      </c>
      <c r="AY20" s="18">
        <f t="shared" si="191"/>
        <v>24016.56868488781</v>
      </c>
      <c r="AZ20" s="18">
        <f t="shared" ref="AZ20:BA20" si="192">IF(AZ71="","",SUM(AZ71,AZ61,AZ51,AZ41,AZ31))</f>
        <v>178814.56398114111</v>
      </c>
      <c r="BA20" s="18">
        <f t="shared" si="192"/>
        <v>26285.719075333414</v>
      </c>
      <c r="BB20" s="18">
        <f t="shared" ref="BB20:BC20" si="193">IF(BB71="","",SUM(BB71,BB61,BB51,BB41,BB31))</f>
        <v>-197564.17941383313</v>
      </c>
      <c r="BC20" s="18">
        <f t="shared" si="193"/>
        <v>-199430.27954556586</v>
      </c>
      <c r="BD20" s="18">
        <f t="shared" ref="BD20:BE20" si="194">IF(BD71="","",SUM(BD71,BD61,BD51,BD41,BD31))</f>
        <v>277134.66602080304</v>
      </c>
      <c r="BE20" s="18">
        <f t="shared" si="194"/>
        <v>2918939.9378466401</v>
      </c>
      <c r="BF20" s="18">
        <f t="shared" ref="BF20:BG20" si="195">IF(BF71="","",SUM(BF71,BF61,BF51,BF41,BF31))</f>
        <v>-794597.86464667344</v>
      </c>
      <c r="BG20" s="18">
        <f t="shared" si="195"/>
        <v>-795139.81370660523</v>
      </c>
      <c r="BH20" s="18">
        <f t="shared" ref="BH20:BI20" si="196">IF(BH71="","",SUM(BH71,BH61,BH51,BH41,BH31))</f>
        <v>-1049117.7623683237</v>
      </c>
      <c r="BI20" s="18">
        <f t="shared" si="196"/>
        <v>-1145071.0055331092</v>
      </c>
      <c r="BJ20" s="18">
        <f t="shared" ref="BJ20:BK20" si="197">IF(BJ71="","",SUM(BJ71,BJ61,BJ51,BJ41,BJ31))</f>
        <v>-966208.74042999092</v>
      </c>
      <c r="BK20" s="18">
        <f t="shared" si="197"/>
        <v>-1050136.2263628328</v>
      </c>
      <c r="BL20" s="18">
        <f t="shared" ref="BL20:BM20" si="198">IF(BL71="","",SUM(BL71,BL61,BL51,BL41,BL31))</f>
        <v>-1124549.0641512664</v>
      </c>
      <c r="BM20" s="18">
        <f t="shared" si="198"/>
        <v>-2008619.9819922217</v>
      </c>
      <c r="BN20" s="18">
        <f t="shared" ref="BN20:BO20" si="199">IF(BN71="","",SUM(BN71,BN61,BN51,BN41,BN31))</f>
        <v>-652206.88294153172</v>
      </c>
      <c r="BO20" s="18">
        <f t="shared" si="199"/>
        <v>-632166.58075951529</v>
      </c>
      <c r="BP20" s="18">
        <f t="shared" ref="BP20:BQ20" si="200">IF(BP71="","",SUM(BP71,BP61,BP51,BP41,BP31))</f>
        <v>-402853.77036344318</v>
      </c>
      <c r="BQ20" s="18">
        <f t="shared" si="200"/>
        <v>631268.39487589709</v>
      </c>
      <c r="BR20" s="18">
        <f t="shared" ref="BR20:BS20" si="201">IF(BR71="","",SUM(BR71,BR61,BR51,BR41,BR31))</f>
        <v>951577.4745604574</v>
      </c>
      <c r="BS20" s="18">
        <f t="shared" si="201"/>
        <v>984391.67098095478</v>
      </c>
      <c r="BT20" s="18">
        <f t="shared" ref="BT20:BU20" si="202">IF(BT71="","",SUM(BT71,BT61,BT51,BT41,BT31))</f>
        <v>217673.12137919298</v>
      </c>
      <c r="BU20" s="18">
        <f t="shared" si="202"/>
        <v>-518086.52302948531</v>
      </c>
      <c r="BV20" s="18">
        <f t="shared" ref="BV20:BW20" si="203">IF(BV71="","",SUM(BV71,BV61,BV51,BV41,BV31))</f>
        <v>-321626.80164990039</v>
      </c>
      <c r="BW20" s="18">
        <f t="shared" si="203"/>
        <v>-357772.779307705</v>
      </c>
      <c r="BX20" s="18">
        <f t="shared" ref="BX20:BY20" si="204">IF(BX71="","",SUM(BX71,BX61,BX51,BX41,BX31))</f>
        <v>-426094.40853854467</v>
      </c>
      <c r="BY20" s="18">
        <f t="shared" si="204"/>
        <v>-44766.236935452609</v>
      </c>
      <c r="BZ20" s="18">
        <f t="shared" ref="BZ20:CA20" si="205">IF(BZ71="","",SUM(BZ71,BZ61,BZ51,BZ41,BZ31))</f>
        <v>613149.8598164483</v>
      </c>
      <c r="CA20" s="18">
        <f t="shared" si="205"/>
        <v>530953.86620077537</v>
      </c>
      <c r="CB20" s="18">
        <f t="shared" ref="CB20:CC20" si="206">IF(CB71="","",SUM(CB71,CB61,CB51,CB41,CB31))</f>
        <v>764690.81052042614</v>
      </c>
      <c r="CC20" s="18">
        <f t="shared" si="206"/>
        <v>-40616.837370273184</v>
      </c>
      <c r="CD20" s="18">
        <f t="shared" ref="CD20:CE20" si="207">IF(CD71="","",SUM(CD71,CD61,CD51,CD41,CD31))</f>
        <v>2135.1050496436292</v>
      </c>
      <c r="CE20" s="18">
        <f t="shared" si="207"/>
        <v>-19296.302619686627</v>
      </c>
      <c r="CF20" s="18">
        <f t="shared" ref="CF20:CG20" si="208">IF(CF71="","",SUM(CF71,CF61,CF51,CF41,CF31))</f>
        <v>-126220.72846855965</v>
      </c>
      <c r="CG20" s="18">
        <f t="shared" si="208"/>
        <v>-233926.43776656612</v>
      </c>
      <c r="CH20" s="18">
        <f t="shared" ref="CH20:CI20" si="209">IF(CH71="","",SUM(CH71,CH61,CH51,CH41,CH31))</f>
        <v>-217522.38729658272</v>
      </c>
      <c r="CI20" s="18">
        <f t="shared" si="209"/>
        <v>-211854.89230718033</v>
      </c>
      <c r="CJ20" s="18">
        <f t="shared" ref="CJ20" si="210">IF(CJ71="","",SUM(CJ71,CJ61,CJ51,CJ41,CJ31))</f>
        <v>-216756.72749780724</v>
      </c>
    </row>
    <row r="21" spans="1:88" s="4" customFormat="1" x14ac:dyDescent="0.25">
      <c r="A21" s="276"/>
      <c r="B21" s="16" t="s">
        <v>7</v>
      </c>
      <c r="C21" s="82"/>
      <c r="D21" s="82"/>
      <c r="E21" s="82"/>
      <c r="F21" s="18">
        <f t="shared" si="187"/>
        <v>0</v>
      </c>
      <c r="G21" s="18">
        <f t="shared" si="187"/>
        <v>10.42</v>
      </c>
      <c r="H21" s="18">
        <f t="shared" si="187"/>
        <v>5.0299999999999994</v>
      </c>
      <c r="I21" s="18">
        <f t="shared" si="187"/>
        <v>-582.26</v>
      </c>
      <c r="J21" s="18">
        <f t="shared" si="187"/>
        <v>-855.06</v>
      </c>
      <c r="K21" s="18">
        <f t="shared" si="187"/>
        <v>-862.55</v>
      </c>
      <c r="L21" s="18">
        <f t="shared" si="187"/>
        <v>-1041.1799999999998</v>
      </c>
      <c r="M21" s="18">
        <f t="shared" si="187"/>
        <v>-1530.79</v>
      </c>
      <c r="N21" s="18">
        <f>IF(N72="","",SUM(N72,N62,N52,N42,N32))</f>
        <v>-1258.5900000000006</v>
      </c>
      <c r="O21" s="18">
        <f t="shared" si="188"/>
        <v>-1443.8799999999999</v>
      </c>
      <c r="P21" s="18">
        <f t="shared" si="188"/>
        <v>-1163.1299999999999</v>
      </c>
      <c r="Q21" s="18">
        <f t="shared" si="188"/>
        <v>-1083.47</v>
      </c>
      <c r="R21" s="18">
        <f t="shared" si="188"/>
        <v>-1000.1500000000001</v>
      </c>
      <c r="S21" s="18">
        <f t="shared" si="188"/>
        <v>-634.92999999999995</v>
      </c>
      <c r="T21" s="18">
        <f t="shared" si="188"/>
        <v>-90.31</v>
      </c>
      <c r="U21" s="18">
        <f t="shared" si="188"/>
        <v>-33.789999999999992</v>
      </c>
      <c r="V21" s="18">
        <f t="shared" si="188"/>
        <v>70.47999999999999</v>
      </c>
      <c r="W21" s="18">
        <f t="shared" si="188"/>
        <v>163.1</v>
      </c>
      <c r="X21" s="18">
        <f t="shared" si="188"/>
        <v>233.22</v>
      </c>
      <c r="Y21" s="18">
        <f t="shared" si="188"/>
        <v>424.84000000000003</v>
      </c>
      <c r="Z21" s="18">
        <f>IF(Z72="","",SUM(Z72,Z62,Z52,Z42,Z32))</f>
        <v>1480.5299999999993</v>
      </c>
      <c r="AA21" s="18">
        <f>IF(AA72="","",SUM(AA72,AA62,AA52,AA42,AA32))</f>
        <v>835.87</v>
      </c>
      <c r="AB21" s="18">
        <f t="shared" si="188"/>
        <v>702.63</v>
      </c>
      <c r="AC21" s="18">
        <f t="shared" si="188"/>
        <v>621.02</v>
      </c>
      <c r="AD21" s="18">
        <f t="shared" si="188"/>
        <v>282.43</v>
      </c>
      <c r="AE21" s="18">
        <f t="shared" si="188"/>
        <v>105.50999999999999</v>
      </c>
      <c r="AF21" s="18">
        <f t="shared" ref="AF21" si="211">IF(AF72="","",SUM(AF72,AF62,AF52,AF42,AF32))</f>
        <v>-24.899999999999991</v>
      </c>
      <c r="AG21" s="18">
        <f t="shared" ref="AG21:AW21" si="212">IF(AG72="","",SUM(AG72,AG62,AG52,AG42,AG32))</f>
        <v>142.43</v>
      </c>
      <c r="AH21" s="18">
        <f t="shared" si="212"/>
        <v>237.6</v>
      </c>
      <c r="AI21" s="18">
        <f t="shared" si="212"/>
        <v>557.42999999999995</v>
      </c>
      <c r="AJ21" s="18">
        <f t="shared" si="212"/>
        <v>535.91999999999996</v>
      </c>
      <c r="AK21" s="18">
        <f t="shared" si="212"/>
        <v>300.35000000000002</v>
      </c>
      <c r="AL21" s="18">
        <f t="shared" si="212"/>
        <v>227.64</v>
      </c>
      <c r="AM21" s="18">
        <f t="shared" si="212"/>
        <v>224.82999999999998</v>
      </c>
      <c r="AN21" s="18">
        <f t="shared" si="212"/>
        <v>46.440000000000026</v>
      </c>
      <c r="AO21" s="18">
        <f t="shared" si="212"/>
        <v>-90.289999999999992</v>
      </c>
      <c r="AP21" s="18">
        <f t="shared" si="212"/>
        <v>-440.00000000000011</v>
      </c>
      <c r="AQ21" s="18">
        <f t="shared" si="212"/>
        <v>-490.49</v>
      </c>
      <c r="AR21" s="18">
        <f t="shared" si="212"/>
        <v>-777.29</v>
      </c>
      <c r="AS21" s="18">
        <f t="shared" si="212"/>
        <v>738.84</v>
      </c>
      <c r="AT21" s="18">
        <f t="shared" si="212"/>
        <v>4560.24</v>
      </c>
      <c r="AU21" s="18">
        <f t="shared" si="212"/>
        <v>9499.7900000000009</v>
      </c>
      <c r="AV21" s="18">
        <f t="shared" si="212"/>
        <v>12902.26</v>
      </c>
      <c r="AW21" s="18">
        <f t="shared" si="212"/>
        <v>15702.85</v>
      </c>
      <c r="AX21" s="18">
        <f t="shared" ref="AX21:AY21" si="213">IF(AX72="","",SUM(AX72,AX62,AX52,AX42,AX32))</f>
        <v>19686.440000000002</v>
      </c>
      <c r="AY21" s="18">
        <f t="shared" si="213"/>
        <v>21314.78</v>
      </c>
      <c r="AZ21" s="18">
        <f t="shared" ref="AZ21:BA21" si="214">IF(AZ72="","",SUM(AZ72,AZ62,AZ52,AZ42,AZ32))</f>
        <v>22475.1</v>
      </c>
      <c r="BA21" s="18">
        <f t="shared" si="214"/>
        <v>21751.33</v>
      </c>
      <c r="BB21" s="18">
        <f t="shared" ref="BB21:BC21" si="215">IF(BB72="","",SUM(BB72,BB62,BB52,BB42,BB32))</f>
        <v>19769.699999999997</v>
      </c>
      <c r="BC21" s="18">
        <f t="shared" si="215"/>
        <v>18219.730000000003</v>
      </c>
      <c r="BD21" s="18">
        <f t="shared" ref="BD21:BE21" si="216">IF(BD72="","",SUM(BD72,BD62,BD52,BD42,BD32))</f>
        <v>18129.25</v>
      </c>
      <c r="BE21" s="18">
        <f t="shared" si="216"/>
        <v>29515.460000000003</v>
      </c>
      <c r="BF21" s="18">
        <f t="shared" ref="BF21:BG21" si="217">IF(BF72="","",SUM(BF72,BF62,BF52,BF42,BF32))</f>
        <v>23818</v>
      </c>
      <c r="BG21" s="18">
        <f t="shared" si="217"/>
        <v>18001.809999999998</v>
      </c>
      <c r="BH21" s="18">
        <f t="shared" ref="BH21:BI21" si="218">IF(BH72="","",SUM(BH72,BH62,BH52,BH42,BH32))</f>
        <v>10793.91</v>
      </c>
      <c r="BI21" s="18">
        <f t="shared" si="218"/>
        <v>3580.88</v>
      </c>
      <c r="BJ21" s="18">
        <f t="shared" ref="BJ21:BK21" si="219">IF(BJ72="","",SUM(BJ72,BJ62,BJ52,BJ42,BJ32))</f>
        <v>-2623.5999999999995</v>
      </c>
      <c r="BK21" s="18">
        <f t="shared" si="219"/>
        <v>-9669.65</v>
      </c>
      <c r="BL21" s="18">
        <f t="shared" ref="BL21:BM21" si="220">IF(BL72="","",SUM(BL72,BL62,BL52,BL42,BL32))</f>
        <v>-17045</v>
      </c>
      <c r="BM21" s="18">
        <f t="shared" si="220"/>
        <v>-22880.59</v>
      </c>
      <c r="BN21" s="18">
        <f t="shared" ref="BN21:BO21" si="221">IF(BN72="","",SUM(BN72,BN62,BN52,BN42,BN32))</f>
        <v>-24831.9</v>
      </c>
      <c r="BO21" s="18">
        <f t="shared" si="221"/>
        <v>-26921.59</v>
      </c>
      <c r="BP21" s="18">
        <f t="shared" ref="BP21:BQ21" si="222">IF(BP72="","",SUM(BP72,BP62,BP52,BP42,BP32))</f>
        <v>-27613.25</v>
      </c>
      <c r="BQ21" s="18">
        <f t="shared" si="222"/>
        <v>-23650.09</v>
      </c>
      <c r="BR21" s="18">
        <f t="shared" ref="BR21:BS21" si="223">IF(BR72="","",SUM(BR72,BR62,BR52,BR42,BR32))</f>
        <v>-17668.27</v>
      </c>
      <c r="BS21" s="18">
        <f t="shared" si="223"/>
        <v>-11474.51</v>
      </c>
      <c r="BT21" s="18">
        <f t="shared" ref="BT21:BU21" si="224">IF(BT72="","",SUM(BT72,BT62,BT52,BT42,BT32))</f>
        <v>-8495.9699999999993</v>
      </c>
      <c r="BU21" s="18">
        <f t="shared" si="224"/>
        <v>-8870.27</v>
      </c>
      <c r="BV21" s="18">
        <f t="shared" ref="BV21:BW21" si="225">IF(BV72="","",SUM(BV72,BV62,BV52,BV42,BV32))</f>
        <v>-8994.59</v>
      </c>
      <c r="BW21" s="18">
        <f t="shared" si="225"/>
        <v>-8901.25</v>
      </c>
      <c r="BX21" s="18">
        <f t="shared" ref="BX21:BY21" si="226">IF(BX72="","",SUM(BX72,BX62,BX52,BX42,BX32))</f>
        <v>-8848.2400000000016</v>
      </c>
      <c r="BY21" s="18">
        <f t="shared" si="226"/>
        <v>-8284</v>
      </c>
      <c r="BZ21" s="18">
        <f t="shared" ref="BZ21:CA21" si="227">IF(BZ72="","",SUM(BZ72,BZ62,BZ52,BZ42,BZ32))</f>
        <v>-5262.11</v>
      </c>
      <c r="CA21" s="18">
        <f t="shared" si="227"/>
        <v>-2438.6499999999996</v>
      </c>
      <c r="CB21" s="18">
        <f t="shared" ref="CB21:CC21" si="228">IF(CB72="","",SUM(CB72,CB62,CB52,CB42,CB32))</f>
        <v>1287.4000000000001</v>
      </c>
      <c r="CC21" s="18">
        <f t="shared" si="228"/>
        <v>1933.4899999999998</v>
      </c>
      <c r="CD21" s="18">
        <f t="shared" ref="CD21:CE21" si="229">IF(CD72="","",SUM(CD72,CD62,CD52,CD42,CD32))</f>
        <v>2747.93</v>
      </c>
      <c r="CE21" s="18">
        <f t="shared" si="229"/>
        <v>3454.92</v>
      </c>
      <c r="CF21" s="18">
        <f t="shared" ref="CF21:CG21" si="230">IF(CF72="","",SUM(CF72,CF62,CF52,CF42,CF32))</f>
        <v>3644.6000000000004</v>
      </c>
      <c r="CG21" s="18">
        <f t="shared" si="230"/>
        <v>3350.06</v>
      </c>
      <c r="CH21" s="101">
        <f>IF(CH72="","",SUM(CH72,CH62,CH52,CH42,CH32))</f>
        <v>3327.67</v>
      </c>
      <c r="CI21" s="101">
        <f t="shared" ref="CI21" si="231">IF(CI72="","",SUM(CI72,CI62,CI52,CI42,CI32))</f>
        <v>3324.7999999999997</v>
      </c>
      <c r="CJ21" s="101">
        <f t="shared" ref="CJ21" si="232">IF(CJ72="","",SUM(CJ72,CJ62,CJ52,CJ42,CJ32))</f>
        <v>3304.98</v>
      </c>
    </row>
    <row r="22" spans="1:88" s="4" customFormat="1" x14ac:dyDescent="0.25">
      <c r="A22" s="276"/>
      <c r="B22" s="16" t="s">
        <v>26</v>
      </c>
      <c r="C22" s="82"/>
      <c r="D22" s="82"/>
      <c r="E22" s="81"/>
      <c r="F22" s="13">
        <f>IF(F21="","",E22+F21)</f>
        <v>0</v>
      </c>
      <c r="G22" s="13">
        <f>IF(G21="","",F22+G21)</f>
        <v>10.42</v>
      </c>
      <c r="H22" s="13">
        <f t="shared" ref="H22:AF22" si="233">IF(H21="","",G22+H21)</f>
        <v>15.45</v>
      </c>
      <c r="I22" s="13">
        <f t="shared" si="233"/>
        <v>-566.80999999999995</v>
      </c>
      <c r="J22" s="13">
        <f t="shared" si="233"/>
        <v>-1421.87</v>
      </c>
      <c r="K22" s="13">
        <f t="shared" si="233"/>
        <v>-2284.42</v>
      </c>
      <c r="L22" s="13">
        <f t="shared" si="233"/>
        <v>-3325.6</v>
      </c>
      <c r="M22" s="13">
        <f t="shared" si="233"/>
        <v>-4856.3899999999994</v>
      </c>
      <c r="N22" s="13">
        <f t="shared" si="233"/>
        <v>-6114.98</v>
      </c>
      <c r="O22" s="13">
        <f t="shared" si="233"/>
        <v>-7558.86</v>
      </c>
      <c r="P22" s="13">
        <f t="shared" si="233"/>
        <v>-8721.99</v>
      </c>
      <c r="Q22" s="13">
        <f t="shared" si="233"/>
        <v>-9805.4599999999991</v>
      </c>
      <c r="R22" s="13">
        <f t="shared" si="233"/>
        <v>-10805.609999999999</v>
      </c>
      <c r="S22" s="13">
        <f t="shared" si="233"/>
        <v>-11440.539999999999</v>
      </c>
      <c r="T22" s="13">
        <f t="shared" si="233"/>
        <v>-11530.849999999999</v>
      </c>
      <c r="U22" s="13">
        <f t="shared" si="233"/>
        <v>-11564.64</v>
      </c>
      <c r="V22" s="13">
        <f t="shared" si="233"/>
        <v>-11494.16</v>
      </c>
      <c r="W22" s="13">
        <f t="shared" si="233"/>
        <v>-11331.06</v>
      </c>
      <c r="X22" s="13">
        <f t="shared" si="233"/>
        <v>-11097.84</v>
      </c>
      <c r="Y22" s="13">
        <f t="shared" si="233"/>
        <v>-10673</v>
      </c>
      <c r="Z22" s="13">
        <f>IF(Z21="","",Y22+Z21)</f>
        <v>-9192.4700000000012</v>
      </c>
      <c r="AA22" s="13">
        <f>IF(AA21="","",Z22+AA21)</f>
        <v>-8356.6</v>
      </c>
      <c r="AB22" s="13">
        <f t="shared" si="233"/>
        <v>-7653.97</v>
      </c>
      <c r="AC22" s="13">
        <f t="shared" si="233"/>
        <v>-7032.9500000000007</v>
      </c>
      <c r="AD22" s="13">
        <f t="shared" si="233"/>
        <v>-6750.52</v>
      </c>
      <c r="AE22" s="13">
        <f t="shared" si="233"/>
        <v>-6645.01</v>
      </c>
      <c r="AF22" s="13">
        <f t="shared" si="233"/>
        <v>-6669.91</v>
      </c>
      <c r="AG22" s="13">
        <f t="shared" ref="AG22" si="234">IF(AG21="","",AF22+AG21)</f>
        <v>-6527.48</v>
      </c>
      <c r="AH22" s="13">
        <f t="shared" ref="AH22" si="235">IF(AH21="","",AG22+AH21)</f>
        <v>-6289.8799999999992</v>
      </c>
      <c r="AI22" s="13">
        <f t="shared" ref="AI22" si="236">IF(AI21="","",AH22+AI21)</f>
        <v>-5732.4499999999989</v>
      </c>
      <c r="AJ22" s="13">
        <f t="shared" ref="AJ22" si="237">IF(AJ21="","",AI22+AJ21)</f>
        <v>-5196.5299999999988</v>
      </c>
      <c r="AK22" s="13">
        <f t="shared" ref="AK22" si="238">IF(AK21="","",AJ22+AK21)</f>
        <v>-4896.1799999999985</v>
      </c>
      <c r="AL22" s="13">
        <f t="shared" ref="AL22" si="239">IF(AL21="","",AK22+AL21)</f>
        <v>-4668.5399999999981</v>
      </c>
      <c r="AM22" s="13">
        <f t="shared" ref="AM22" si="240">IF(AM21="","",AL22+AM21)</f>
        <v>-4443.7099999999982</v>
      </c>
      <c r="AN22" s="13">
        <f t="shared" ref="AN22" si="241">IF(AN21="","",AM22+AN21)</f>
        <v>-4397.2699999999986</v>
      </c>
      <c r="AO22" s="13">
        <f t="shared" ref="AO22" si="242">IF(AO21="","",AN22+AO21)</f>
        <v>-4487.5599999999986</v>
      </c>
      <c r="AP22" s="13">
        <f t="shared" ref="AP22" si="243">IF(AP21="","",AO22+AP21)</f>
        <v>-4927.5599999999986</v>
      </c>
      <c r="AQ22" s="13">
        <f t="shared" ref="AQ22" si="244">IF(AQ21="","",AP22+AQ21)</f>
        <v>-5418.0499999999984</v>
      </c>
      <c r="AR22" s="13">
        <f t="shared" ref="AR22" si="245">IF(AR21="","",AQ22+AR21)</f>
        <v>-6195.3399999999983</v>
      </c>
      <c r="AS22" s="13">
        <f t="shared" ref="AS22" si="246">IF(AS21="","",AR22+AS21)</f>
        <v>-5456.4999999999982</v>
      </c>
      <c r="AT22" s="13">
        <f t="shared" ref="AT22" si="247">IF(AT21="","",AS22+AT21)</f>
        <v>-896.2599999999984</v>
      </c>
      <c r="AU22" s="13">
        <f t="shared" ref="AU22" si="248">IF(AU21="","",AT22+AU21)</f>
        <v>8603.5300000000025</v>
      </c>
      <c r="AV22" s="13">
        <f t="shared" ref="AV22" si="249">IF(AV21="","",AU22+AV21)</f>
        <v>21505.79</v>
      </c>
      <c r="AW22" s="13">
        <f t="shared" ref="AW22:CJ22" si="250">IF(AW21="","",AV22+AW21)</f>
        <v>37208.639999999999</v>
      </c>
      <c r="AX22" s="13">
        <f t="shared" si="250"/>
        <v>56895.08</v>
      </c>
      <c r="AY22" s="13">
        <f t="shared" si="250"/>
        <v>78209.86</v>
      </c>
      <c r="AZ22" s="13">
        <f t="shared" si="250"/>
        <v>100684.95999999999</v>
      </c>
      <c r="BA22" s="13">
        <f t="shared" si="250"/>
        <v>122436.29</v>
      </c>
      <c r="BB22" s="13">
        <f t="shared" si="250"/>
        <v>142205.99</v>
      </c>
      <c r="BC22" s="13">
        <f t="shared" si="250"/>
        <v>160425.72</v>
      </c>
      <c r="BD22" s="13">
        <f t="shared" si="250"/>
        <v>178554.97</v>
      </c>
      <c r="BE22" s="13">
        <f t="shared" si="250"/>
        <v>208070.43</v>
      </c>
      <c r="BF22" s="13">
        <f t="shared" si="250"/>
        <v>231888.43</v>
      </c>
      <c r="BG22" s="13">
        <f t="shared" si="250"/>
        <v>249890.24</v>
      </c>
      <c r="BH22" s="13">
        <f t="shared" si="250"/>
        <v>260684.15</v>
      </c>
      <c r="BI22" s="13">
        <f t="shared" si="250"/>
        <v>264265.02999999997</v>
      </c>
      <c r="BJ22" s="13">
        <f t="shared" si="250"/>
        <v>261641.42999999996</v>
      </c>
      <c r="BK22" s="13">
        <f t="shared" si="250"/>
        <v>251971.77999999997</v>
      </c>
      <c r="BL22" s="13">
        <f t="shared" si="250"/>
        <v>234926.77999999997</v>
      </c>
      <c r="BM22" s="13">
        <f t="shared" si="250"/>
        <v>212046.18999999997</v>
      </c>
      <c r="BN22" s="13">
        <f t="shared" si="250"/>
        <v>187214.28999999998</v>
      </c>
      <c r="BO22" s="13">
        <f t="shared" si="250"/>
        <v>160292.69999999998</v>
      </c>
      <c r="BP22" s="13">
        <f t="shared" si="250"/>
        <v>132679.44999999998</v>
      </c>
      <c r="BQ22" s="13">
        <f t="shared" si="250"/>
        <v>109029.35999999999</v>
      </c>
      <c r="BR22" s="13">
        <f t="shared" si="250"/>
        <v>91361.089999999982</v>
      </c>
      <c r="BS22" s="13">
        <f t="shared" si="250"/>
        <v>79886.579999999987</v>
      </c>
      <c r="BT22" s="13">
        <f t="shared" si="250"/>
        <v>71390.609999999986</v>
      </c>
      <c r="BU22" s="13">
        <f t="shared" si="250"/>
        <v>62520.339999999982</v>
      </c>
      <c r="BV22" s="13">
        <f t="shared" si="250"/>
        <v>53525.749999999985</v>
      </c>
      <c r="BW22" s="13">
        <f t="shared" si="250"/>
        <v>44624.499999999985</v>
      </c>
      <c r="BX22" s="13">
        <f t="shared" si="250"/>
        <v>35776.25999999998</v>
      </c>
      <c r="BY22" s="13">
        <f t="shared" si="250"/>
        <v>27492.25999999998</v>
      </c>
      <c r="BZ22" s="13">
        <f t="shared" si="250"/>
        <v>22230.14999999998</v>
      </c>
      <c r="CA22" s="13">
        <f t="shared" si="250"/>
        <v>19791.499999999978</v>
      </c>
      <c r="CB22" s="13">
        <f t="shared" si="250"/>
        <v>21078.89999999998</v>
      </c>
      <c r="CC22" s="13">
        <f t="shared" si="250"/>
        <v>23012.389999999978</v>
      </c>
      <c r="CD22" s="13">
        <f t="shared" si="250"/>
        <v>25760.319999999978</v>
      </c>
      <c r="CE22" s="13">
        <f t="shared" si="250"/>
        <v>29215.239999999976</v>
      </c>
      <c r="CF22" s="13">
        <f t="shared" si="250"/>
        <v>32859.839999999975</v>
      </c>
      <c r="CG22" s="13">
        <f t="shared" si="250"/>
        <v>36209.899999999972</v>
      </c>
      <c r="CH22" s="13">
        <f t="shared" si="250"/>
        <v>39537.569999999971</v>
      </c>
      <c r="CI22" s="13">
        <f t="shared" si="250"/>
        <v>42862.369999999974</v>
      </c>
      <c r="CJ22" s="13">
        <f t="shared" si="250"/>
        <v>46167.349999999977</v>
      </c>
    </row>
    <row r="23" spans="1:88" s="4" customFormat="1" x14ac:dyDescent="0.25">
      <c r="A23" s="276"/>
      <c r="B23" s="15" t="s">
        <v>13</v>
      </c>
      <c r="C23" s="82"/>
      <c r="D23" s="82"/>
      <c r="E23" s="82"/>
      <c r="F23" s="18">
        <f t="shared" ref="F23:AE24" si="251">IF(F73="","",SUM(F73,F63,F53,F43,F33))</f>
        <v>0.71203150918887492</v>
      </c>
      <c r="G23" s="18">
        <f t="shared" si="251"/>
        <v>4705.8407688607349</v>
      </c>
      <c r="H23" s="18">
        <f t="shared" si="251"/>
        <v>-2444.8298780726182</v>
      </c>
      <c r="I23" s="18">
        <f t="shared" si="251"/>
        <v>-266509.72643753979</v>
      </c>
      <c r="J23" s="18">
        <f t="shared" si="251"/>
        <v>-132024.775421392</v>
      </c>
      <c r="K23" s="18">
        <f t="shared" si="251"/>
        <v>-44819.772433609396</v>
      </c>
      <c r="L23" s="18">
        <f t="shared" si="251"/>
        <v>-123543.3536172514</v>
      </c>
      <c r="M23" s="18">
        <f t="shared" si="251"/>
        <v>-305867.06927868014</v>
      </c>
      <c r="N23" s="18">
        <f t="shared" si="251"/>
        <v>-66691.747081010195</v>
      </c>
      <c r="O23" s="18">
        <f>IF(O73="","",SUM(O73,O63,O53,O43,O33))</f>
        <v>31065.635623525563</v>
      </c>
      <c r="P23" s="18">
        <f t="shared" si="251"/>
        <v>166112.67315340095</v>
      </c>
      <c r="Q23" s="18">
        <f t="shared" si="251"/>
        <v>18052.865394769135</v>
      </c>
      <c r="R23" s="18">
        <f t="shared" si="251"/>
        <v>-111077.43450135857</v>
      </c>
      <c r="S23" s="18">
        <f t="shared" si="251"/>
        <v>-357301.22899240913</v>
      </c>
      <c r="T23" s="18">
        <f t="shared" si="251"/>
        <v>-176912.02989945305</v>
      </c>
      <c r="U23" s="18">
        <f t="shared" si="251"/>
        <v>380630.04265261232</v>
      </c>
      <c r="V23" s="18">
        <f t="shared" si="251"/>
        <v>588394.14144815551</v>
      </c>
      <c r="W23" s="18">
        <f t="shared" si="251"/>
        <v>779522.83178884932</v>
      </c>
      <c r="X23" s="18">
        <f t="shared" si="251"/>
        <v>616546.27623756987</v>
      </c>
      <c r="Y23" s="18">
        <f t="shared" si="251"/>
        <v>94719.113685406206</v>
      </c>
      <c r="Z23" s="18">
        <f>IF(Z73="","",SUM(Z73,Z63,Z53,Z43,Z33))</f>
        <v>218841.05228987065</v>
      </c>
      <c r="AA23" s="18">
        <f t="shared" si="251"/>
        <v>273479.88655577932</v>
      </c>
      <c r="AB23" s="18">
        <f t="shared" si="251"/>
        <v>346109.35431663052</v>
      </c>
      <c r="AC23" s="18">
        <f t="shared" si="251"/>
        <v>-611696.19764518389</v>
      </c>
      <c r="AD23" s="18">
        <f t="shared" si="251"/>
        <v>-1250801.4506012495</v>
      </c>
      <c r="AE23" s="18">
        <f t="shared" si="251"/>
        <v>-757381.25922660169</v>
      </c>
      <c r="AF23" s="18">
        <f t="shared" ref="AF23" si="252">IF(AF73="","",SUM(AF73,AF63,AF53,AF43,AF33))</f>
        <v>-440248.88143172616</v>
      </c>
      <c r="AG23" s="18">
        <f t="shared" ref="AG23:AW23" si="253">IF(AG73="","",SUM(AG73,AG63,AG53,AG43,AG33))</f>
        <v>1302114.9503061222</v>
      </c>
      <c r="AH23" s="18">
        <f t="shared" si="253"/>
        <v>1608012.4329475963</v>
      </c>
      <c r="AI23" s="18">
        <f t="shared" si="253"/>
        <v>1635972.7323519127</v>
      </c>
      <c r="AJ23" s="18">
        <f t="shared" si="253"/>
        <v>479731.4957571933</v>
      </c>
      <c r="AK23" s="18">
        <f t="shared" si="253"/>
        <v>-621948.91827478819</v>
      </c>
      <c r="AL23" s="18">
        <f t="shared" si="253"/>
        <v>-338731.02069875965</v>
      </c>
      <c r="AM23" s="18">
        <f t="shared" si="253"/>
        <v>-406106.93494770303</v>
      </c>
      <c r="AN23" s="18">
        <f t="shared" si="253"/>
        <v>-374009.65149891004</v>
      </c>
      <c r="AO23" s="18">
        <f t="shared" si="253"/>
        <v>-566569.34339839849</v>
      </c>
      <c r="AP23" s="18">
        <f t="shared" si="253"/>
        <v>-384767.07923458319</v>
      </c>
      <c r="AQ23" s="18">
        <f t="shared" si="253"/>
        <v>-152603.89288086267</v>
      </c>
      <c r="AR23" s="18">
        <f t="shared" si="253"/>
        <v>-10254.541794636869</v>
      </c>
      <c r="AS23" s="18">
        <f t="shared" si="253"/>
        <v>1581122.3321243408</v>
      </c>
      <c r="AT23" s="18">
        <f t="shared" si="253"/>
        <v>2095987.1937109674</v>
      </c>
      <c r="AU23" s="18">
        <f t="shared" si="253"/>
        <v>1812803.7212423692</v>
      </c>
      <c r="AV23" s="18">
        <f t="shared" si="253"/>
        <v>1009696.7851787962</v>
      </c>
      <c r="AW23" s="18">
        <f t="shared" si="253"/>
        <v>-28063.368875852291</v>
      </c>
      <c r="AX23" s="18">
        <f t="shared" ref="AX23:AY23" si="254">IF(AX73="","",SUM(AX73,AX63,AX53,AX43,AX33))</f>
        <v>70086.565946514078</v>
      </c>
      <c r="AY23" s="18">
        <f t="shared" si="254"/>
        <v>45331.348684887816</v>
      </c>
      <c r="AZ23" s="18">
        <f t="shared" ref="AZ23:BA23" si="255">IF(AZ73="","",SUM(AZ73,AZ63,AZ53,AZ43,AZ33))</f>
        <v>201289.66398114112</v>
      </c>
      <c r="BA23" s="18">
        <f t="shared" si="255"/>
        <v>48037.049075333402</v>
      </c>
      <c r="BB23" s="18">
        <f t="shared" ref="BB23:BC23" si="256">IF(BB73="","",SUM(BB73,BB63,BB53,BB43,BB33))</f>
        <v>-177794.47941383312</v>
      </c>
      <c r="BC23" s="18">
        <f t="shared" si="256"/>
        <v>-181210.54954556585</v>
      </c>
      <c r="BD23" s="18">
        <f t="shared" ref="BD23:BE23" si="257">IF(BD73="","",SUM(BD73,BD63,BD53,BD43,BD33))</f>
        <v>295263.91602080304</v>
      </c>
      <c r="BE23" s="18">
        <f t="shared" si="257"/>
        <v>2948455.3978466401</v>
      </c>
      <c r="BF23" s="18">
        <f t="shared" ref="BF23:BG23" si="258">IF(BF73="","",SUM(BF73,BF63,BF53,BF43,BF33))</f>
        <v>-770779.86464667344</v>
      </c>
      <c r="BG23" s="18">
        <f t="shared" si="258"/>
        <v>-777138.00370660529</v>
      </c>
      <c r="BH23" s="18">
        <f t="shared" ref="BH23:BI23" si="259">IF(BH73="","",SUM(BH73,BH63,BH53,BH43,BH33))</f>
        <v>-1038323.8523683236</v>
      </c>
      <c r="BI23" s="18">
        <f t="shared" si="259"/>
        <v>-1141490.1255331093</v>
      </c>
      <c r="BJ23" s="18">
        <f t="shared" ref="BJ23:BK23" si="260">IF(BJ73="","",SUM(BJ73,BJ63,BJ53,BJ43,BJ33))</f>
        <v>-968832.34042999102</v>
      </c>
      <c r="BK23" s="18">
        <f t="shared" si="260"/>
        <v>-1059805.876362833</v>
      </c>
      <c r="BL23" s="18">
        <f t="shared" ref="BL23:BM23" si="261">IF(BL73="","",SUM(BL73,BL63,BL53,BL43,BL33))</f>
        <v>-1141594.0641512664</v>
      </c>
      <c r="BM23" s="18">
        <f t="shared" si="261"/>
        <v>-2031500.5719922218</v>
      </c>
      <c r="BN23" s="18">
        <f t="shared" ref="BN23:BO23" si="262">IF(BN73="","",SUM(BN73,BN63,BN53,BN43,BN33))</f>
        <v>-677038.78294153174</v>
      </c>
      <c r="BO23" s="18">
        <f t="shared" si="262"/>
        <v>-659088.17075951537</v>
      </c>
      <c r="BP23" s="18">
        <f t="shared" ref="BP23:BQ23" si="263">IF(BP73="","",SUM(BP73,BP63,BP53,BP43,BP33))</f>
        <v>-430467.02036344318</v>
      </c>
      <c r="BQ23" s="18">
        <f t="shared" si="263"/>
        <v>607618.30487589701</v>
      </c>
      <c r="BR23" s="18">
        <f t="shared" ref="BR23:BS23" si="264">IF(BR73="","",SUM(BR73,BR63,BR53,BR43,BR33))</f>
        <v>933909.20456045738</v>
      </c>
      <c r="BS23" s="18">
        <f t="shared" si="264"/>
        <v>972917.16098095488</v>
      </c>
      <c r="BT23" s="18">
        <f t="shared" ref="BT23:BU23" si="265">IF(BT73="","",SUM(BT73,BT63,BT53,BT43,BT33))</f>
        <v>209177.15137919295</v>
      </c>
      <c r="BU23" s="18">
        <f t="shared" si="265"/>
        <v>-526956.79302948527</v>
      </c>
      <c r="BV23" s="18">
        <f t="shared" ref="BV23:BW23" si="266">IF(BV73="","",SUM(BV73,BV63,BV53,BV43,BV33))</f>
        <v>-330621.39164990035</v>
      </c>
      <c r="BW23" s="18">
        <f t="shared" si="266"/>
        <v>-366674.029307705</v>
      </c>
      <c r="BX23" s="18">
        <f t="shared" ref="BX23:BY23" si="267">IF(BX73="","",SUM(BX73,BX63,BX53,BX43,BX33))</f>
        <v>-434942.64853854466</v>
      </c>
      <c r="BY23" s="18">
        <f t="shared" si="267"/>
        <v>-53050.236935452616</v>
      </c>
      <c r="BZ23" s="18">
        <f t="shared" ref="BZ23:CA23" si="268">IF(BZ73="","",SUM(BZ73,BZ63,BZ53,BZ43,BZ33))</f>
        <v>607887.74981644843</v>
      </c>
      <c r="CA23" s="18">
        <f t="shared" si="268"/>
        <v>528515.21620077547</v>
      </c>
      <c r="CB23" s="18">
        <f t="shared" ref="CB23:CC23" si="269">IF(CB73="","",SUM(CB73,CB63,CB53,CB43,CB33))</f>
        <v>765978.21052042604</v>
      </c>
      <c r="CC23" s="18">
        <f t="shared" si="269"/>
        <v>-38683.347370273186</v>
      </c>
      <c r="CD23" s="18">
        <f t="shared" ref="CD23:CE23" si="270">IF(CD73="","",SUM(CD73,CD63,CD53,CD43,CD33))</f>
        <v>4883.0350496436295</v>
      </c>
      <c r="CE23" s="18">
        <f t="shared" si="270"/>
        <v>-15841.382619686628</v>
      </c>
      <c r="CF23" s="18">
        <f t="shared" ref="CF23:CG23" si="271">IF(CF73="","",SUM(CF73,CF63,CF53,CF43,CF33))</f>
        <v>-122576.12846855965</v>
      </c>
      <c r="CG23" s="18">
        <f t="shared" si="271"/>
        <v>-230576.37776656609</v>
      </c>
      <c r="CH23" s="18">
        <f t="shared" ref="CH23:CI23" si="272">IF(CH73="","",SUM(CH73,CH63,CH53,CH43,CH33))</f>
        <v>-214194.7172965827</v>
      </c>
      <c r="CI23" s="18">
        <f t="shared" si="272"/>
        <v>-208530.09230718034</v>
      </c>
      <c r="CJ23" s="18">
        <f t="shared" ref="CJ23" si="273">IF(CJ73="","",SUM(CJ73,CJ63,CJ53,CJ43,CJ33))</f>
        <v>-213451.74749780723</v>
      </c>
    </row>
    <row r="24" spans="1:88" s="4" customFormat="1" x14ac:dyDescent="0.25">
      <c r="A24" s="276"/>
      <c r="B24" s="17" t="s">
        <v>1</v>
      </c>
      <c r="C24" s="82"/>
      <c r="D24" s="82"/>
      <c r="E24" s="82"/>
      <c r="F24" s="18">
        <f>IF(F74="","",SUM(F74,F64,F54,F44,F34))</f>
        <v>0.71203150918887492</v>
      </c>
      <c r="G24" s="18">
        <f t="shared" si="251"/>
        <v>4706.5528003699237</v>
      </c>
      <c r="H24" s="18">
        <f t="shared" si="251"/>
        <v>2261.7229222973056</v>
      </c>
      <c r="I24" s="18">
        <f t="shared" si="251"/>
        <v>-264248.00351524254</v>
      </c>
      <c r="J24" s="18">
        <f t="shared" si="251"/>
        <v>-396272.77893663448</v>
      </c>
      <c r="K24" s="18">
        <f t="shared" si="251"/>
        <v>-441092.55137024395</v>
      </c>
      <c r="L24" s="18">
        <f t="shared" si="251"/>
        <v>-564635.90498749528</v>
      </c>
      <c r="M24" s="18">
        <f t="shared" si="251"/>
        <v>-870502.97426617541</v>
      </c>
      <c r="N24" s="18">
        <f t="shared" si="251"/>
        <v>-937194.72134718567</v>
      </c>
      <c r="O24" s="18">
        <f>IF(O74="","",SUM(O74,O64,O54,O44,O34))</f>
        <v>-906129.08572366007</v>
      </c>
      <c r="P24" s="18">
        <f t="shared" si="251"/>
        <v>-740016.41257025907</v>
      </c>
      <c r="Q24" s="18">
        <f t="shared" si="251"/>
        <v>-525409.32717548998</v>
      </c>
      <c r="R24" s="18">
        <f t="shared" si="251"/>
        <v>-455212.61167684849</v>
      </c>
      <c r="S24" s="18">
        <f t="shared" si="251"/>
        <v>-662871.82066925766</v>
      </c>
      <c r="T24" s="18">
        <f t="shared" si="251"/>
        <v>-703421.63056871074</v>
      </c>
      <c r="U24" s="18">
        <f t="shared" si="251"/>
        <v>-151579.36791609845</v>
      </c>
      <c r="V24" s="18">
        <f t="shared" si="251"/>
        <v>653572.59353205701</v>
      </c>
      <c r="W24" s="18">
        <f t="shared" si="251"/>
        <v>1642210.4353209063</v>
      </c>
      <c r="X24" s="18">
        <f t="shared" si="251"/>
        <v>2454712.3715584762</v>
      </c>
      <c r="Y24" s="18">
        <f t="shared" si="251"/>
        <v>2696939.4152438822</v>
      </c>
      <c r="Z24" s="18">
        <f>IF(Z74="","",SUM(Z74,Z64,Z54,Z44,Z34))</f>
        <v>3067186.4875337528</v>
      </c>
      <c r="AA24" s="18">
        <f t="shared" si="251"/>
        <v>3524046.4940895322</v>
      </c>
      <c r="AB24" s="18">
        <f t="shared" si="251"/>
        <v>4090952.8684061626</v>
      </c>
      <c r="AC24" s="18">
        <f t="shared" si="251"/>
        <v>3209837.7007609787</v>
      </c>
      <c r="AD24" s="18">
        <f t="shared" si="251"/>
        <v>1586455.3201597293</v>
      </c>
      <c r="AE24" s="18">
        <f t="shared" si="251"/>
        <v>562517.05093312752</v>
      </c>
      <c r="AF24" s="18">
        <f t="shared" ref="AF24" si="274">IF(AF74="","",SUM(AF74,AF64,AF54,AF44,AF34))</f>
        <v>-133210.95049859863</v>
      </c>
      <c r="AG24" s="18">
        <f t="shared" ref="AG24:AW24" si="275">IF(AG74="","",SUM(AG74,AG64,AG54,AG44,AG34))</f>
        <v>847651.22980752343</v>
      </c>
      <c r="AH24" s="18">
        <f t="shared" si="275"/>
        <v>2043353.2127551197</v>
      </c>
      <c r="AI24" s="18">
        <f t="shared" si="275"/>
        <v>3261968.6851070323</v>
      </c>
      <c r="AJ24" s="18">
        <f t="shared" si="275"/>
        <v>3328657.2308642259</v>
      </c>
      <c r="AK24" s="18">
        <f t="shared" si="275"/>
        <v>2403212.0525894375</v>
      </c>
      <c r="AL24" s="18">
        <f t="shared" si="275"/>
        <v>1783212.1718906779</v>
      </c>
      <c r="AM24" s="18">
        <f t="shared" si="275"/>
        <v>1035985.2469429747</v>
      </c>
      <c r="AN24" s="18">
        <f t="shared" si="275"/>
        <v>237729.42544406466</v>
      </c>
      <c r="AO24" s="18">
        <f t="shared" si="275"/>
        <v>-366328.51795433403</v>
      </c>
      <c r="AP24" s="18">
        <f t="shared" si="275"/>
        <v>-767550.09718891722</v>
      </c>
      <c r="AQ24" s="18">
        <f t="shared" si="275"/>
        <v>-980795.26006977982</v>
      </c>
      <c r="AR24" s="18">
        <f t="shared" si="275"/>
        <v>-982925.54186441668</v>
      </c>
      <c r="AS24" s="18">
        <f t="shared" si="275"/>
        <v>597435.28025992424</v>
      </c>
      <c r="AT24" s="18">
        <f t="shared" si="275"/>
        <v>2665285.6339708916</v>
      </c>
      <c r="AU24" s="18">
        <f t="shared" si="275"/>
        <v>4455483.2652132604</v>
      </c>
      <c r="AV24" s="18">
        <f t="shared" si="275"/>
        <v>5461306.1303920569</v>
      </c>
      <c r="AW24" s="18">
        <f t="shared" si="275"/>
        <v>5445892.8815162042</v>
      </c>
      <c r="AX24" s="18">
        <f t="shared" ref="AX24:AY24" si="276">IF(AX74="","",SUM(AX74,AX64,AX54,AX44,AX34))</f>
        <v>5531396.9774627183</v>
      </c>
      <c r="AY24" s="18">
        <f t="shared" si="276"/>
        <v>5560492.8861476071</v>
      </c>
      <c r="AZ24" s="18">
        <f t="shared" ref="AZ24:BA24" si="277">IF(AZ74="","",SUM(AZ74,AZ64,AZ54,AZ44,AZ34))</f>
        <v>5723578.0101287477</v>
      </c>
      <c r="BA24" s="18">
        <f t="shared" si="277"/>
        <v>5405804.3092040811</v>
      </c>
      <c r="BB24" s="18">
        <f t="shared" ref="BB24:BC24" si="278">IF(BB74="","",SUM(BB74,BB64,BB54,BB44,BB34))</f>
        <v>4774566.4897902478</v>
      </c>
      <c r="BC24" s="18">
        <f t="shared" si="278"/>
        <v>4183743.8702446818</v>
      </c>
      <c r="BD24" s="18">
        <f t="shared" ref="BD24:BE24" si="279">IF(BD74="","",SUM(BD74,BD64,BD54,BD44,BD34))</f>
        <v>4102225.2562654852</v>
      </c>
      <c r="BE24" s="18">
        <f t="shared" si="279"/>
        <v>6594802.4941121247</v>
      </c>
      <c r="BF24" s="18">
        <f t="shared" ref="BF24:BG24" si="280">IF(BF74="","",SUM(BF74,BF64,BF54,BF44,BF34))</f>
        <v>5275217.0894654505</v>
      </c>
      <c r="BG24" s="18">
        <f t="shared" si="280"/>
        <v>3931099.8157588458</v>
      </c>
      <c r="BH24" s="18">
        <f t="shared" ref="BH24:BI24" si="281">IF(BH74="","",SUM(BH74,BH64,BH54,BH44,BH34))</f>
        <v>2350885.3033905225</v>
      </c>
      <c r="BI24" s="18">
        <f t="shared" si="281"/>
        <v>782392.94785741309</v>
      </c>
      <c r="BJ24" s="18">
        <f t="shared" ref="BJ24:BK24" si="282">IF(BJ74="","",SUM(BJ74,BJ64,BJ54,BJ44,BJ34))</f>
        <v>-569066.592572578</v>
      </c>
      <c r="BK24" s="18">
        <f t="shared" si="282"/>
        <v>-2101321.4089354109</v>
      </c>
      <c r="BL24" s="18">
        <f t="shared" ref="BL24:BM24" si="283">IF(BL74="","",SUM(BL74,BL64,BL54,BL44,BL34))</f>
        <v>-3820085.9430866777</v>
      </c>
      <c r="BM24" s="18">
        <f t="shared" si="283"/>
        <v>-5129042.2195926867</v>
      </c>
      <c r="BN24" s="18">
        <f t="shared" ref="BN24:BO24" si="284">IF(BN74="","",SUM(BN74,BN64,BN54,BN44,BN34))</f>
        <v>-5513926.882534219</v>
      </c>
      <c r="BO24" s="18">
        <f t="shared" si="284"/>
        <v>-5900545.1132937334</v>
      </c>
      <c r="BP24" s="18">
        <f t="shared" ref="BP24:BQ24" si="285">IF(BP74="","",SUM(BP74,BP64,BP54,BP44,BP34))</f>
        <v>-6063296.6636571772</v>
      </c>
      <c r="BQ24" s="18">
        <f t="shared" si="285"/>
        <v>-5134605.5487812795</v>
      </c>
      <c r="BR24" s="18">
        <f t="shared" ref="BR24:BS24" si="286">IF(BR74="","",SUM(BR74,BR64,BR54,BR44,BR34))</f>
        <v>-3816336.8142208224</v>
      </c>
      <c r="BS24" s="18">
        <f t="shared" si="286"/>
        <v>-2486220.9632398672</v>
      </c>
      <c r="BT24" s="18">
        <f t="shared" ref="BT24:BU24" si="287">IF(BT74="","",SUM(BT74,BT64,BT54,BT44,BT34))</f>
        <v>-1930171.0918606746</v>
      </c>
      <c r="BU24" s="18">
        <f t="shared" si="287"/>
        <v>-2163268.2148901601</v>
      </c>
      <c r="BV24" s="18">
        <f t="shared" ref="BV24:BW24" si="288">IF(BV74="","",SUM(BV74,BV64,BV54,BV44,BV34))</f>
        <v>-2236867.25654006</v>
      </c>
      <c r="BW24" s="18">
        <f t="shared" si="288"/>
        <v>-2286203.0958477654</v>
      </c>
      <c r="BX24" s="18">
        <f t="shared" ref="BX24:BY24" si="289">IF(BX74="","",SUM(BX74,BX64,BX54,BX44,BX34))</f>
        <v>-2342562.8643863099</v>
      </c>
      <c r="BY24" s="18">
        <f t="shared" si="289"/>
        <v>-2187919.9669042183</v>
      </c>
      <c r="BZ24" s="18">
        <f t="shared" ref="BZ24:CA24" si="290">IF(BZ74="","",SUM(BZ74,BZ64,BZ54,BZ44,BZ34))</f>
        <v>-1372339.0826702253</v>
      </c>
      <c r="CA24" s="18">
        <f t="shared" si="290"/>
        <v>-636130.73205190548</v>
      </c>
      <c r="CB24" s="18">
        <f t="shared" ref="CB24:CC24" si="291">IF(CB74="","",SUM(CB74,CB64,CB54,CB44,CB34))</f>
        <v>337540.61288606515</v>
      </c>
      <c r="CC24" s="18">
        <f t="shared" si="291"/>
        <v>506550.3999333363</v>
      </c>
      <c r="CD24" s="18">
        <f t="shared" ref="CD24:CE24" si="292">IF(CD74="","",SUM(CD74,CD64,CD54,CD44,CD34))</f>
        <v>719126.56940052449</v>
      </c>
      <c r="CE24" s="18">
        <f t="shared" si="292"/>
        <v>910978.32119838218</v>
      </c>
      <c r="CF24" s="18">
        <f t="shared" ref="CF24:CG24" si="293">IF(CF74="","",SUM(CF74,CF64,CF54,CF44,CF34))</f>
        <v>996095.32714736706</v>
      </c>
      <c r="CG24" s="18">
        <f t="shared" si="293"/>
        <v>973212.08379834529</v>
      </c>
      <c r="CH24" s="18">
        <f t="shared" ref="CH24:CI24" si="294">IF(CH74="","",SUM(CH74,CH64,CH54,CH44,CH34))</f>
        <v>966710.500919307</v>
      </c>
      <c r="CI24" s="18">
        <f t="shared" si="294"/>
        <v>965873.54302967119</v>
      </c>
      <c r="CJ24" s="18">
        <f t="shared" ref="CJ24" si="295">IF(CJ74="","",SUM(CJ74,CJ64,CJ54,CJ44,CJ34))</f>
        <v>960114.92994940828</v>
      </c>
    </row>
    <row r="25" spans="1:88" s="4" customFormat="1" ht="8.25" customHeight="1" x14ac:dyDescent="0.25">
      <c r="A25" s="35"/>
      <c r="B25" s="11"/>
      <c r="C25" s="86"/>
      <c r="D25" s="86"/>
      <c r="E25" s="86"/>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row>
    <row r="26" spans="1:88" s="4" customFormat="1" ht="15" hidden="1" customHeight="1" outlineLevel="1" x14ac:dyDescent="0.25">
      <c r="A26" s="276" t="s">
        <v>19</v>
      </c>
      <c r="B26" s="14"/>
      <c r="C26" s="81"/>
      <c r="D26" s="81"/>
      <c r="E26" s="81"/>
      <c r="F26" s="7"/>
      <c r="G26" s="7"/>
      <c r="H26" s="7"/>
      <c r="I26" s="7"/>
      <c r="J26" s="7"/>
      <c r="K26" s="7"/>
      <c r="L26" s="7"/>
      <c r="M26" s="7"/>
      <c r="N26" s="97">
        <f>'MEEIA 3 adjs'!L12</f>
        <v>8.9999999999918145E-2</v>
      </c>
      <c r="O26" s="7"/>
      <c r="P26" s="7"/>
      <c r="Q26" s="7"/>
      <c r="R26" s="7"/>
      <c r="S26" s="7"/>
      <c r="T26" s="7"/>
      <c r="U26" s="7"/>
      <c r="V26" s="7"/>
      <c r="W26" s="7"/>
      <c r="X26" s="7"/>
      <c r="Y26" s="7"/>
      <c r="Z26" s="97">
        <f>'MEEIA 3 adjs'!AA34</f>
        <v>481.7</v>
      </c>
      <c r="AA26" s="7"/>
      <c r="AB26" s="7"/>
      <c r="AC26" s="7"/>
      <c r="AD26" s="7"/>
      <c r="AE26" s="7"/>
      <c r="AF26" s="7"/>
      <c r="AG26" s="7"/>
      <c r="AH26" s="7"/>
      <c r="AI26" s="7"/>
      <c r="AJ26" s="7"/>
      <c r="AK26" s="7"/>
      <c r="AL26" s="7"/>
      <c r="AM26" s="7"/>
      <c r="AN26" s="7"/>
      <c r="AO26" s="7"/>
      <c r="AP26" s="7"/>
      <c r="AQ26" s="7"/>
      <c r="AR26" s="7"/>
      <c r="AS26" s="7"/>
      <c r="AT26" s="7"/>
      <c r="AU26" s="7"/>
      <c r="AV26" s="7"/>
      <c r="AW26" s="108">
        <v>-112267.825004852</v>
      </c>
      <c r="AX26" s="7"/>
      <c r="AY26" s="7"/>
      <c r="AZ26" s="97">
        <f>'MEEIA 3 adjs'!DZ32</f>
        <v>-197.79000000000087</v>
      </c>
      <c r="BA26" s="7"/>
      <c r="BB26" s="7"/>
      <c r="BC26" s="7"/>
      <c r="BD26" s="7"/>
      <c r="BE26" s="7"/>
      <c r="BF26" s="7"/>
      <c r="BG26" s="7"/>
      <c r="BH26" s="7"/>
      <c r="BI26" s="7"/>
      <c r="BJ26" s="7"/>
      <c r="BK26" s="7"/>
      <c r="BL26" s="7"/>
      <c r="BM26" s="60">
        <v>27214.984457062703</v>
      </c>
      <c r="BN26" s="7"/>
      <c r="BO26" s="7"/>
      <c r="BP26" s="7"/>
      <c r="BQ26" s="7"/>
      <c r="BR26" s="7"/>
      <c r="BS26" s="7"/>
      <c r="BT26" s="7"/>
      <c r="BU26" s="7"/>
      <c r="BV26" s="7"/>
      <c r="BW26" s="7"/>
      <c r="BX26" s="7"/>
      <c r="BY26" s="7"/>
      <c r="BZ26" s="7"/>
      <c r="CA26" s="7"/>
      <c r="CB26" s="7"/>
      <c r="CC26" s="7"/>
      <c r="CD26" s="7"/>
      <c r="CE26" s="7"/>
      <c r="CF26" s="7"/>
      <c r="CG26" s="7"/>
      <c r="CH26" s="7"/>
      <c r="CI26" s="7"/>
      <c r="CJ26" s="7"/>
    </row>
    <row r="27" spans="1:88" s="2" customFormat="1" ht="15" hidden="1" customHeight="1" outlineLevel="1" x14ac:dyDescent="0.25">
      <c r="A27" s="276"/>
      <c r="B27" s="14" t="s">
        <v>27</v>
      </c>
      <c r="C27" s="81"/>
      <c r="D27" s="81"/>
      <c r="E27" s="81"/>
      <c r="F27" s="19">
        <f>IF('M3 Allocations - TD'!D5="","",'M3 Allocations - TD'!D31)</f>
        <v>0</v>
      </c>
      <c r="G27" s="19">
        <f>IF('M3 Allocations - TD'!E5="","",'M3 Allocations - TD'!E31)</f>
        <v>3542.7066619947968</v>
      </c>
      <c r="H27" s="19">
        <f>IF('M3 Allocations - TD'!F5="","",'M3 Allocations - TD'!F31)</f>
        <v>26593.748856903429</v>
      </c>
      <c r="I27" s="19">
        <f>IF('M3 Allocations - TD'!G5="","",'M3 Allocations - TD'!G31)</f>
        <v>243363.92907678595</v>
      </c>
      <c r="J27" s="19">
        <f>IF('M3 Allocations - TD'!H5="","",'M3 Allocations - TD'!H31)</f>
        <v>441129.8099540461</v>
      </c>
      <c r="K27" s="19">
        <f>IF('M3 Allocations - TD'!I5="","",'M3 Allocations - TD'!I31)</f>
        <v>538055.00088770315</v>
      </c>
      <c r="L27" s="19">
        <f>IF('M3 Allocations - TD'!J5="","",'M3 Allocations - TD'!J31)</f>
        <v>375001.00963366695</v>
      </c>
      <c r="M27" s="19">
        <f>IF('M3 Allocations - TD'!K5="","",'M3 Allocations - TD'!K31)</f>
        <v>137834.38057719183</v>
      </c>
      <c r="N27" s="19">
        <f>IF('M3 Allocations - TD'!L5="","",'M3 Allocations - TD'!L31)</f>
        <v>274809.55657286098</v>
      </c>
      <c r="O27" s="19">
        <f>IF('M3 Allocations - TD'!M5="","",'M3 Allocations - TD'!M31)</f>
        <v>467843.25553902646</v>
      </c>
      <c r="P27" s="19">
        <f>IF('M3 Allocations - TD'!N5="","",'M3 Allocations - TD'!N31)</f>
        <v>544296.07292371744</v>
      </c>
      <c r="Q27" s="19">
        <f>IF('M3 Allocations - TD'!O5="","",'M3 Allocations - TD'!O31)</f>
        <v>676189.22029010952</v>
      </c>
      <c r="R27" s="19">
        <f>IF('M3 Allocations - TD'!P5="","",'M3 Allocations - TD'!P31)</f>
        <v>463090.51540533279</v>
      </c>
      <c r="S27" s="19">
        <f>IF('M3 Allocations - TD'!Q5="","",'M3 Allocations - TD'!Q31)</f>
        <v>212999.83668866704</v>
      </c>
      <c r="T27" s="19">
        <f>IF('M3 Allocations - TD'!R5="","",'M3 Allocations - TD'!R31)</f>
        <v>239315.41925638349</v>
      </c>
      <c r="U27" s="19">
        <f>IF('M3 Allocations - TD'!S5="","",'M3 Allocations - TD'!S31)</f>
        <v>745964.63979628112</v>
      </c>
      <c r="V27" s="19">
        <f>IF('M3 Allocations - TD'!T5="","",'M3 Allocations - TD'!T31)</f>
        <v>1021961.1417325244</v>
      </c>
      <c r="W27" s="19">
        <f>IF('M3 Allocations - TD'!U5="","",'M3 Allocations - TD'!U31)</f>
        <v>1221140.287913003</v>
      </c>
      <c r="X27" s="19">
        <f>IF('M3 Allocations - TD'!V5="","",'M3 Allocations - TD'!V31)</f>
        <v>1038934.5439936385</v>
      </c>
      <c r="Y27" s="19">
        <f>IF('M3 Allocations - TD'!W5="","",'M3 Allocations - TD'!W31)</f>
        <v>456853.18990942289</v>
      </c>
      <c r="Z27" s="19">
        <f>IF('M3 Allocations - TD'!X5="","",'M3 Allocations - TD'!X31)</f>
        <v>609473.30327174987</v>
      </c>
      <c r="AA27" s="19">
        <f>IF('M3 Allocations - TD'!Y5="","",'M3 Allocations - TD'!Y31)</f>
        <v>767580.56672561402</v>
      </c>
      <c r="AB27" s="19">
        <f>IF('M3 Allocations - TD'!Z5="","",'M3 Allocations - TD'!Z31)</f>
        <v>793063.84804214339</v>
      </c>
      <c r="AC27" s="19">
        <f>IF('M3 Allocations - TD'!AA5="","",'M3 Allocations - TD'!AA31)</f>
        <v>764854.30430963449</v>
      </c>
      <c r="AD27" s="19">
        <f>IF('M3 Allocations - TD'!AB5="","",'M3 Allocations - TD'!AB31)</f>
        <v>819560.20806617534</v>
      </c>
      <c r="AE27" s="19">
        <f>IF('M3 Allocations - TD'!AC5="","",'M3 Allocations - TD'!AC31)</f>
        <v>733166.25858200283</v>
      </c>
      <c r="AF27" s="19">
        <f>IF('M3 Allocations - TD'!AD5="","",'M3 Allocations - TD'!AD31)</f>
        <v>808585.44290839287</v>
      </c>
      <c r="AG27" s="19">
        <f>IF('M3 Allocations - TD'!AE5="","",'M3 Allocations - TD'!AE31)</f>
        <v>2229150.475396621</v>
      </c>
      <c r="AH27" s="19">
        <f>IF('M3 Allocations - TD'!AF5="","",'M3 Allocations - TD'!AF31)</f>
        <v>2728598.0253418689</v>
      </c>
      <c r="AI27" s="19">
        <f>IF('M3 Allocations - TD'!AG5="","",'M3 Allocations - TD'!AG31)</f>
        <v>2843181.2454154654</v>
      </c>
      <c r="AJ27" s="19">
        <f>IF('M3 Allocations - TD'!AH5="","",'M3 Allocations - TD'!AH31)</f>
        <v>2152415.8892408246</v>
      </c>
      <c r="AK27" s="19">
        <f>IF('M3 Allocations - TD'!AI5="","",'M3 Allocations - TD'!AI31)</f>
        <v>886771.1903804827</v>
      </c>
      <c r="AL27" s="19">
        <f>IF('M3 Allocations - TD'!AJ5="","",'M3 Allocations - TD'!AJ31)</f>
        <v>1017970.7346454827</v>
      </c>
      <c r="AM27" s="19">
        <f>IF('M3 Allocations - TD'!AK5="","",'M3 Allocations - TD'!AK31)</f>
        <v>1252923.0225376603</v>
      </c>
      <c r="AN27" s="19">
        <f>IF('M3 Allocations - TD'!AL5="","",'M3 Allocations - TD'!AL31)</f>
        <v>1434652.1574546397</v>
      </c>
      <c r="AO27" s="19">
        <f>IF('M3 Allocations - TD'!AM5="","",'M3 Allocations - TD'!AM31)</f>
        <v>1242256.6900827016</v>
      </c>
      <c r="AP27" s="19">
        <f>IF('M3 Allocations - TD'!AN5="","",'M3 Allocations - TD'!AN31)</f>
        <v>466704.19082447694</v>
      </c>
      <c r="AQ27" s="19">
        <f>IF('M3 Allocations - TD'!AO5="","",'M3 Allocations - TD'!AO31)</f>
        <v>411086.64598257263</v>
      </c>
      <c r="AR27" s="19">
        <f>IF('M3 Allocations - TD'!AP5="","",'M3 Allocations - TD'!AP31)</f>
        <v>460606.66199414816</v>
      </c>
      <c r="AS27" s="19">
        <f>IF('M3 Allocations - TD'!AQ5="","",'M3 Allocations - TD'!AQ31)</f>
        <v>1458035.3553365585</v>
      </c>
      <c r="AT27" s="19">
        <f>IF('M3 Allocations - TD'!AR5="","",'M3 Allocations - TD'!AR31)</f>
        <v>1865399.5827007205</v>
      </c>
      <c r="AU27" s="19">
        <f>IF('M3 Allocations - TD'!AS5="","",'M3 Allocations - TD'!AS31)</f>
        <v>1789207.583547906</v>
      </c>
      <c r="AV27" s="19">
        <f>IF('M3 Allocations - TD'!AT5="","",'M3 Allocations - TD'!AT31)</f>
        <v>1230661.6176145528</v>
      </c>
      <c r="AW27" s="19">
        <f>IF('M3 Allocations - TD'!AU5="","",'M3 Allocations - TD'!AU31)</f>
        <v>448108.96181830607</v>
      </c>
      <c r="AX27" s="19">
        <f>IF('M3 Allocations - TD'!AV5="","",'M3 Allocations - TD'!AV31)</f>
        <v>511415.71013617213</v>
      </c>
      <c r="AY27" s="19">
        <f>IF('M3 Allocations - TD'!AW5="","",'M3 Allocations - TD'!AW31)</f>
        <v>657599.6612363765</v>
      </c>
      <c r="AZ27" s="19">
        <f>IF('M3 Allocations - TD'!AX5="","",'M3 Allocations - TD'!AX31)</f>
        <v>715751.71736553009</v>
      </c>
      <c r="BA27" s="19">
        <f>IF('M3 Allocations - TD'!AY5="","",'M3 Allocations - TD'!AY31)</f>
        <v>611610.33271900774</v>
      </c>
      <c r="BB27" s="19">
        <f>IF('M3 Allocations - TD'!AZ5="","",'M3 Allocations - TD'!AZ31)</f>
        <v>580052.23772821727</v>
      </c>
      <c r="BC27" s="19">
        <f>IF('M3 Allocations - TD'!BA5="","",'M3 Allocations - TD'!BA31)</f>
        <v>485147.45423910866</v>
      </c>
      <c r="BD27" s="19">
        <f>IF('M3 Allocations - TD'!BB5="","",'M3 Allocations - TD'!BB31)</f>
        <v>579019.58477694308</v>
      </c>
      <c r="BE27" s="19">
        <f>IF('M3 Allocations - TD'!BC5="","",'M3 Allocations - TD'!BC31)</f>
        <v>2075209.7832731153</v>
      </c>
      <c r="BF27" s="19">
        <f>IF('M3 Allocations - TD'!BD5="","",'M3 Allocations - TD'!BD31)</f>
        <v>336900.48174892482</v>
      </c>
      <c r="BG27" s="19">
        <f>IF('M3 Allocations - TD'!BE5="","",'M3 Allocations - TD'!BE31)</f>
        <v>423106.97149800922</v>
      </c>
      <c r="BH27" s="19">
        <f>IF('M3 Allocations - TD'!BF5="","",'M3 Allocations - TD'!BF31)</f>
        <v>257414.74403194929</v>
      </c>
      <c r="BI27" s="19">
        <f>IF('M3 Allocations - TD'!BG5="","",'M3 Allocations - TD'!BG31)</f>
        <v>72670.704773576188</v>
      </c>
      <c r="BJ27" s="19">
        <f>IF('M3 Allocations - TD'!BH5="","",'M3 Allocations - TD'!BH31)</f>
        <v>107651.21205611953</v>
      </c>
      <c r="BK27" s="19">
        <f>IF('M3 Allocations - TD'!BI5="","",'M3 Allocations - TD'!BI31)</f>
        <v>190082.4773555084</v>
      </c>
      <c r="BL27" s="19">
        <f>IF('M3 Allocations - TD'!BJ5="","",'M3 Allocations - TD'!BJ31)</f>
        <v>234716.31279439255</v>
      </c>
      <c r="BM27" s="19">
        <f>IF('M3 Allocations - TD'!BK5="","",'M3 Allocations - TD'!BK31)</f>
        <v>189707.45135280554</v>
      </c>
      <c r="BN27" s="19">
        <f>IF('M3 Allocations - TD'!BL5="","",'M3 Allocations - TD'!BL31)</f>
        <v>161384.19695432918</v>
      </c>
      <c r="BO27" s="19">
        <f>IF('M3 Allocations - TD'!BM5="","",'M3 Allocations - TD'!BM31)</f>
        <v>121228.18203919443</v>
      </c>
      <c r="BP27" s="19">
        <f>IF('M3 Allocations - TD'!BN5="","",'M3 Allocations - TD'!BN31)</f>
        <v>171153.07554214355</v>
      </c>
      <c r="BQ27" s="19">
        <f>IF('M3 Allocations - TD'!BO5="","",'M3 Allocations - TD'!BO31)</f>
        <v>726807.55664463679</v>
      </c>
      <c r="BR27" s="19">
        <f>IF('M3 Allocations - TD'!BP5="","",'M3 Allocations - TD'!BP31)</f>
        <v>1035244.8874318618</v>
      </c>
      <c r="BS27" s="19">
        <f>IF('M3 Allocations - TD'!BQ5="","",'M3 Allocations - TD'!BQ31)</f>
        <v>1044606.4999408977</v>
      </c>
      <c r="BT27" s="19">
        <f>IF('M3 Allocations - TD'!BR5="","",'M3 Allocations - TD'!BR31)</f>
        <v>601256.55125012272</v>
      </c>
      <c r="BU27" s="19">
        <f>IF('M3 Allocations - TD'!BS5="","",'M3 Allocations - TD'!BS31)</f>
        <v>165216.72821033362</v>
      </c>
      <c r="BV27" s="19">
        <f>IF('M3 Allocations - TD'!BT5="","",'M3 Allocations - TD'!BT31)</f>
        <v>230432.50663339812</v>
      </c>
      <c r="BW27" s="19">
        <f>IF('M3 Allocations - TD'!BU5="","",'M3 Allocations - TD'!BU31)</f>
        <v>378252.71506532904</v>
      </c>
      <c r="BX27" s="19">
        <f>IF('M3 Allocations - TD'!BV5="","",'M3 Allocations - TD'!BV31)</f>
        <v>426698.4018217292</v>
      </c>
      <c r="BY27" s="19">
        <f>IF('M3 Allocations - TD'!BW5="","",'M3 Allocations - TD'!BW31)</f>
        <v>346452.36233973084</v>
      </c>
      <c r="BZ27" s="19">
        <f>IF('M3 Allocations - TD'!BX5="","",'M3 Allocations - TD'!BX31)</f>
        <v>284233.09091178671</v>
      </c>
      <c r="CA27" s="19">
        <f>IF('M3 Allocations - TD'!BY5="","",'M3 Allocations - TD'!BY31)</f>
        <v>189318.14246613521</v>
      </c>
      <c r="CB27" s="19">
        <f>IF('M3 Allocations - TD'!BZ5="","",'M3 Allocations - TD'!BZ31)</f>
        <v>234192.42127986971</v>
      </c>
      <c r="CC27" s="19">
        <f>IF('M3 Allocations - TD'!CA5="","",'M3 Allocations - TD'!CA31)</f>
        <v>67508.639255642076</v>
      </c>
      <c r="CD27" s="19">
        <f>IF('M3 Allocations - TD'!CB5="","",'M3 Allocations - TD'!CB31)</f>
        <v>148702.48179788201</v>
      </c>
      <c r="CE27" s="19">
        <f>IF('M3 Allocations - TD'!CC5="","",'M3 Allocations - TD'!CC31)</f>
        <v>139550.24546614217</v>
      </c>
      <c r="CF27" s="19">
        <f>IF('M3 Allocations - TD'!CD5="","",'M3 Allocations - TD'!CD31)</f>
        <v>68409.919776193899</v>
      </c>
      <c r="CG27" s="19">
        <f>IF('M3 Allocations - TD'!CE5="","",'M3 Allocations - TD'!CE31)</f>
        <v>10931.437878899986</v>
      </c>
      <c r="CH27" s="19">
        <f>IF('M3 Allocations - TD'!CF5="","",'M3 Allocations - TD'!CF31)</f>
        <v>14145.222749125496</v>
      </c>
      <c r="CI27" s="19">
        <f>IF('M3 Allocations - TD'!CG5="","",'M3 Allocations - TD'!CG31)</f>
        <v>24784.068541490105</v>
      </c>
      <c r="CJ27" s="19">
        <f>IF('M3 Allocations - TD'!CH5="","",'M3 Allocations - TD'!CH31)</f>
        <v>25843.907024376771</v>
      </c>
    </row>
    <row r="28" spans="1:88" s="4" customFormat="1" ht="15" hidden="1" customHeight="1" outlineLevel="1" x14ac:dyDescent="0.25">
      <c r="A28" s="276"/>
      <c r="B28" s="15" t="s">
        <v>25</v>
      </c>
      <c r="C28" s="81"/>
      <c r="D28" s="81"/>
      <c r="E28" s="81"/>
      <c r="F28" s="19">
        <f>IF('M3 Allocations - TD'!D51="","",'M3 Allocations - TD'!D69)</f>
        <v>0</v>
      </c>
      <c r="G28" s="19">
        <f>IF('M3 Allocations - TD'!E51="","",'M3 Allocations - TD'!E69)</f>
        <v>0</v>
      </c>
      <c r="H28" s="19">
        <f>IF('M3 Allocations - TD'!F51="","",'M3 Allocations - TD'!F69)</f>
        <v>28636.335868779192</v>
      </c>
      <c r="I28" s="19">
        <f>IF('M3 Allocations - TD'!G51="","",'M3 Allocations - TD'!G69)</f>
        <v>344669.92129031231</v>
      </c>
      <c r="J28" s="19">
        <f>IF('M3 Allocations - TD'!H51="","",'M3 Allocations - TD'!H69)</f>
        <v>437739.69493695599</v>
      </c>
      <c r="K28" s="19">
        <f>IF('M3 Allocations - TD'!I51="","",'M3 Allocations - TD'!I69)</f>
        <v>461093.89388914994</v>
      </c>
      <c r="L28" s="19">
        <f>IF('M3 Allocations - TD'!J51="","",'M3 Allocations - TD'!J69)</f>
        <v>425531.99443758972</v>
      </c>
      <c r="M28" s="19">
        <f>IF('M3 Allocations - TD'!K51="","",'M3 Allocations - TD'!K69)</f>
        <v>350101.97926152864</v>
      </c>
      <c r="N28" s="19">
        <f>IF('M3 Allocations - TD'!L51="","",'M3 Allocations - TD'!L69)</f>
        <v>315194.78964232601</v>
      </c>
      <c r="O28" s="19">
        <f>IF('M3 Allocations - TD'!M51="","",'M3 Allocations - TD'!M69)</f>
        <v>423499.84124645527</v>
      </c>
      <c r="P28" s="19">
        <f>IF('M3 Allocations - TD'!N51="","",'M3 Allocations - TD'!N69)</f>
        <v>467459.76087976695</v>
      </c>
      <c r="Q28" s="19">
        <f>IF('M3 Allocations - TD'!O51="","",'M3 Allocations - TD'!O69)</f>
        <v>474323.05163473397</v>
      </c>
      <c r="R28" s="19">
        <f>IF('M3 Allocations - TD'!P51="","",'M3 Allocations - TD'!P69)</f>
        <v>428810.25716296653</v>
      </c>
      <c r="S28" s="19">
        <f>IF('M3 Allocations - TD'!Q51="","",'M3 Allocations - TD'!Q69)</f>
        <v>339346.33491655142</v>
      </c>
      <c r="T28" s="19">
        <f>IF('M3 Allocations - TD'!R51="","",'M3 Allocations - TD'!R69)</f>
        <v>302925.05162387801</v>
      </c>
      <c r="U28" s="19">
        <f>IF('M3 Allocations - TD'!S51="","",'M3 Allocations - TD'!S69)</f>
        <v>399589.74786578171</v>
      </c>
      <c r="V28" s="19">
        <f>IF('M3 Allocations - TD'!T51="","",'M3 Allocations - TD'!T69)</f>
        <v>536049.73122413771</v>
      </c>
      <c r="W28" s="19">
        <f>IF('M3 Allocations - TD'!U51="","",'M3 Allocations - TD'!U69)</f>
        <v>503311.04413038632</v>
      </c>
      <c r="X28" s="19">
        <f>IF('M3 Allocations - TD'!V51="","",'M3 Allocations - TD'!V69)</f>
        <v>453730.11803544633</v>
      </c>
      <c r="Y28" s="19">
        <f>IF('M3 Allocations - TD'!W51="","",'M3 Allocations - TD'!W69)</f>
        <v>307694.93026905361</v>
      </c>
      <c r="Z28" s="19">
        <f>IF('M3 Allocations - TD'!X51="","",'M3 Allocations - TD'!X69)</f>
        <v>328619.27667869348</v>
      </c>
      <c r="AA28" s="19">
        <f>IF('M3 Allocations - TD'!Y51="","",'M3 Allocations - TD'!Y69)</f>
        <v>435339.54516653361</v>
      </c>
      <c r="AB28" s="19">
        <f>IF('M3 Allocations - TD'!Z51="","",'M3 Allocations - TD'!Z69)</f>
        <v>565868.64496161381</v>
      </c>
      <c r="AC28" s="19">
        <f>IF('M3 Allocations - TD'!AA51="","",'M3 Allocations - TD'!AA69)</f>
        <v>1375644.4768897495</v>
      </c>
      <c r="AD28" s="19">
        <f>IF('M3 Allocations - TD'!AB51="","",'M3 Allocations - TD'!AB69)</f>
        <v>1787809.7846895901</v>
      </c>
      <c r="AE28" s="19">
        <f>IF('M3 Allocations - TD'!AC51="","",'M3 Allocations - TD'!AC69)</f>
        <v>1208966.210998087</v>
      </c>
      <c r="AF28" s="19">
        <f>IF('M3 Allocations - TD'!AD51="","",'M3 Allocations - TD'!AD69)</f>
        <v>1135096.7258818494</v>
      </c>
      <c r="AG28" s="19">
        <f>IF('M3 Allocations - TD'!AE51="","",'M3 Allocations - TD'!AE69)</f>
        <v>1483131.5421443433</v>
      </c>
      <c r="AH28" s="19">
        <f>IF('M3 Allocations - TD'!AF51="","",'M3 Allocations - TD'!AF69)</f>
        <v>1957827.6512690852</v>
      </c>
      <c r="AI28" s="19">
        <f>IF('M3 Allocations - TD'!AG51="","",'M3 Allocations - TD'!AG69)</f>
        <v>1996815.833049651</v>
      </c>
      <c r="AJ28" s="19">
        <f>IF('M3 Allocations - TD'!AH51="","",'M3 Allocations - TD'!AH69)</f>
        <v>1962236.8311878431</v>
      </c>
      <c r="AK28" s="19">
        <f>IF('M3 Allocations - TD'!AI51="","",'M3 Allocations - TD'!AI69)</f>
        <v>1361448.9893388003</v>
      </c>
      <c r="AL28" s="19">
        <f>IF('M3 Allocations - TD'!AJ51="","",'M3 Allocations - TD'!AJ69)</f>
        <v>1278047.5437683114</v>
      </c>
      <c r="AM28" s="19">
        <f>IF('M3 Allocations - TD'!AK51="","",'M3 Allocations - TD'!AK69)</f>
        <v>1599362.0545714868</v>
      </c>
      <c r="AN28" s="19">
        <f>IF('M3 Allocations - TD'!AL51="","",'M3 Allocations - TD'!AL69)</f>
        <v>2061688.4651608262</v>
      </c>
      <c r="AO28" s="19">
        <f>IF('M3 Allocations - TD'!AM51="","",'M3 Allocations - TD'!AM69)</f>
        <v>1660014.398272939</v>
      </c>
      <c r="AP28" s="19">
        <f>IF('M3 Allocations - TD'!AN51="","",'M3 Allocations - TD'!AN69)</f>
        <v>727343.38262135477</v>
      </c>
      <c r="AQ28" s="19">
        <f>IF('M3 Allocations - TD'!AO51="","",'M3 Allocations - TD'!AO69)</f>
        <v>558489.16557480057</v>
      </c>
      <c r="AR28" s="19">
        <f>IF('M3 Allocations - TD'!AP51="","",'M3 Allocations - TD'!AP69)</f>
        <v>521512.93435668247</v>
      </c>
      <c r="AS28" s="19">
        <f>IF('M3 Allocations - TD'!AQ51="","",'M3 Allocations - TD'!AQ69)</f>
        <v>661161.70778882992</v>
      </c>
      <c r="AT28" s="19">
        <f>IF('M3 Allocations - TD'!AR51="","",'M3 Allocations - TD'!AR69)</f>
        <v>907955.1483625297</v>
      </c>
      <c r="AU28" s="19">
        <f>IF('M3 Allocations - TD'!AS51="","",'M3 Allocations - TD'!AS69)</f>
        <v>865613.78677226591</v>
      </c>
      <c r="AV28" s="19">
        <f>IF('M3 Allocations - TD'!AT51="","",'M3 Allocations - TD'!AT69)</f>
        <v>722180.00996221579</v>
      </c>
      <c r="AW28" s="19">
        <f>IF('M3 Allocations - TD'!AU51="","",'M3 Allocations - TD'!AU69)</f>
        <v>521401.47348380275</v>
      </c>
      <c r="AX28" s="19">
        <f>IF('M3 Allocations - TD'!AV51="","",'M3 Allocations - TD'!AV69)</f>
        <v>494704.46538048884</v>
      </c>
      <c r="AY28" s="19">
        <f>IF('M3 Allocations - TD'!AW51="","",'M3 Allocations - TD'!AW69)</f>
        <v>756126.23939637165</v>
      </c>
      <c r="AZ28" s="19">
        <f>IF('M3 Allocations - TD'!AX51="","",'M3 Allocations - TD'!AX69)</f>
        <v>905435.35475830093</v>
      </c>
      <c r="BA28" s="19">
        <f>IF('M3 Allocations - TD'!AY51="","",'M3 Allocations - TD'!AY69)</f>
        <v>894861.30971378379</v>
      </c>
      <c r="BB28" s="19">
        <f>IF('M3 Allocations - TD'!AZ51="","",'M3 Allocations - TD'!AZ69)</f>
        <v>886186.43605950114</v>
      </c>
      <c r="BC28" s="19">
        <f>IF('M3 Allocations - TD'!BA51="","",'M3 Allocations - TD'!BA69)</f>
        <v>765014.07629471621</v>
      </c>
      <c r="BD28" s="19">
        <f>IF('M3 Allocations - TD'!BB51="","",'M3 Allocations - TD'!BB69)</f>
        <v>653602.05200737016</v>
      </c>
      <c r="BE28" s="19">
        <f>IF('M3 Allocations - TD'!BC51="","",'M3 Allocations - TD'!BC69)</f>
        <v>842781.28485866333</v>
      </c>
      <c r="BF28" s="19">
        <f>IF('M3 Allocations - TD'!BD51="","",'M3 Allocations - TD'!BD69)</f>
        <v>1100550.8342116643</v>
      </c>
      <c r="BG28" s="19">
        <f>IF('M3 Allocations - TD'!BE51="","",'M3 Allocations - TD'!BE69)</f>
        <v>1135131.3126591197</v>
      </c>
      <c r="BH28" s="19">
        <f>IF('M3 Allocations - TD'!BF51="","",'M3 Allocations - TD'!BF69)</f>
        <v>1050840.2575926636</v>
      </c>
      <c r="BI28" s="19">
        <f>IF('M3 Allocations - TD'!BG51="","",'M3 Allocations - TD'!BG69)</f>
        <v>764524.99814993259</v>
      </c>
      <c r="BJ28" s="19">
        <f>IF('M3 Allocations - TD'!BH51="","",'M3 Allocations - TD'!BH69)</f>
        <v>670016.45565617608</v>
      </c>
      <c r="BK28" s="19">
        <f>IF('M3 Allocations - TD'!BI51="","",'M3 Allocations - TD'!BI69)</f>
        <v>931821.74610436941</v>
      </c>
      <c r="BL28" s="19">
        <f>IF('M3 Allocations - TD'!BJ51="","",'M3 Allocations - TD'!BJ69)</f>
        <v>1217209.6013274563</v>
      </c>
      <c r="BM28" s="19">
        <f>IF('M3 Allocations - TD'!BK51="","",'M3 Allocations - TD'!BK69)</f>
        <v>923613.94602948474</v>
      </c>
      <c r="BN28" s="19">
        <f>IF('M3 Allocations - TD'!BL51="","",'M3 Allocations - TD'!BL69)</f>
        <v>309676.30404386291</v>
      </c>
      <c r="BO28" s="19">
        <f>IF('M3 Allocations - TD'!BM51="","",'M3 Allocations - TD'!BM69)</f>
        <v>277828.71246966731</v>
      </c>
      <c r="BP28" s="19">
        <f>IF('M3 Allocations - TD'!BN51="","",'M3 Allocations - TD'!BN69)</f>
        <v>251603.3624850972</v>
      </c>
      <c r="BQ28" s="19">
        <f>IF('M3 Allocations - TD'!BO51="","",'M3 Allocations - TD'!BO69)</f>
        <v>342099.90476893133</v>
      </c>
      <c r="BR28" s="19">
        <f>IF('M3 Allocations - TD'!BP51="","",'M3 Allocations - TD'!BP69)</f>
        <v>456637.17127485393</v>
      </c>
      <c r="BS28" s="19">
        <f>IF('M3 Allocations - TD'!BQ51="","",'M3 Allocations - TD'!BQ69)</f>
        <v>416198.73979180312</v>
      </c>
      <c r="BT28" s="19">
        <f>IF('M3 Allocations - TD'!BR51="","",'M3 Allocations - TD'!BR69)</f>
        <v>395220.80121849308</v>
      </c>
      <c r="BU28" s="19">
        <f>IF('M3 Allocations - TD'!BS51="","",'M3 Allocations - TD'!BS69)</f>
        <v>289269.85646854306</v>
      </c>
      <c r="BV28" s="19">
        <f>IF('M3 Allocations - TD'!BT51="","",'M3 Allocations - TD'!BT69)</f>
        <v>238805.45806292456</v>
      </c>
      <c r="BW28" s="19">
        <f>IF('M3 Allocations - TD'!BU51="","",'M3 Allocations - TD'!BU69)</f>
        <v>370141.0606693392</v>
      </c>
      <c r="BX28" s="19">
        <f>IF('M3 Allocations - TD'!BV51="","",'M3 Allocations - TD'!BV69)</f>
        <v>496620.31625046697</v>
      </c>
      <c r="BY28" s="19">
        <f>IF('M3 Allocations - TD'!BW51="","",'M3 Allocations - TD'!BW69)</f>
        <v>291261.61084430647</v>
      </c>
      <c r="BZ28" s="19">
        <f>IF('M3 Allocations - TD'!BX51="","",'M3 Allocations - TD'!BX69)</f>
        <v>-2967.2071395390972</v>
      </c>
      <c r="CA28" s="19">
        <f>IF('M3 Allocations - TD'!BY51="","",'M3 Allocations - TD'!BY69)</f>
        <v>-4420.3014922618031</v>
      </c>
      <c r="CB28" s="19">
        <f>IF('M3 Allocations - TD'!BZ51="","",'M3 Allocations - TD'!BZ69)</f>
        <v>-4131.329538810035</v>
      </c>
      <c r="CC28" s="19">
        <f>IF('M3 Allocations - TD'!CA51="","",'M3 Allocations - TD'!CA69)</f>
        <v>-5677.7572754414859</v>
      </c>
      <c r="CD28" s="19">
        <f>IF('M3 Allocations - TD'!CB51="","",'M3 Allocations - TD'!CB69)</f>
        <v>-9783.3660959048266</v>
      </c>
      <c r="CE28" s="19">
        <f>IF('M3 Allocations - TD'!CC51="","",'M3 Allocations - TD'!CC69)</f>
        <v>-10084.030692114518</v>
      </c>
      <c r="CF28" s="19">
        <f>IF('M3 Allocations - TD'!CD51="","",'M3 Allocations - TD'!CD69)</f>
        <v>-7950.1207606646585</v>
      </c>
      <c r="CG28" s="19">
        <f>IF('M3 Allocations - TD'!CE51="","",'M3 Allocations - TD'!CE69)</f>
        <v>-6212.2387498080625</v>
      </c>
      <c r="CH28" s="19">
        <f>IF('M3 Allocations - TD'!CF51="","",'M3 Allocations - TD'!CF69)</f>
        <v>-6415.14231917301</v>
      </c>
      <c r="CI28" s="19">
        <f>IF('M3 Allocations - TD'!CG51="","",'M3 Allocations - TD'!CG69)</f>
        <v>-8032.3164368979769</v>
      </c>
      <c r="CJ28" s="19">
        <f>IF('M3 Allocations - TD'!CH51="","",'M3 Allocations - TD'!CH69)</f>
        <v>-10268.032312704645</v>
      </c>
    </row>
    <row r="29" spans="1:88" s="4" customFormat="1" ht="15" hidden="1" customHeight="1" outlineLevel="1" x14ac:dyDescent="0.25">
      <c r="A29" s="276"/>
      <c r="B29" s="15" t="s">
        <v>45</v>
      </c>
      <c r="C29" s="81"/>
      <c r="D29" s="81"/>
      <c r="E29" s="81"/>
      <c r="F29" s="19">
        <f>IF(F28="","",0)</f>
        <v>0</v>
      </c>
      <c r="G29" s="19">
        <f t="shared" ref="G29:P29" si="296">IF(G28="","",0)</f>
        <v>0</v>
      </c>
      <c r="H29" s="19">
        <f t="shared" si="296"/>
        <v>0</v>
      </c>
      <c r="I29" s="19">
        <f t="shared" si="296"/>
        <v>0</v>
      </c>
      <c r="J29" s="19">
        <f t="shared" si="296"/>
        <v>0</v>
      </c>
      <c r="K29" s="19">
        <f t="shared" si="296"/>
        <v>0</v>
      </c>
      <c r="L29" s="19">
        <f t="shared" si="296"/>
        <v>0</v>
      </c>
      <c r="M29" s="19">
        <f t="shared" si="296"/>
        <v>0</v>
      </c>
      <c r="N29" s="19">
        <f>IF(N28="","",0)</f>
        <v>0</v>
      </c>
      <c r="O29" s="19">
        <f t="shared" si="296"/>
        <v>0</v>
      </c>
      <c r="P29" s="19">
        <f t="shared" si="296"/>
        <v>0</v>
      </c>
      <c r="Q29" s="19">
        <f>IF(Q28="","",-'M3 TD amort'!C8)</f>
        <v>115732.97</v>
      </c>
      <c r="R29" s="19">
        <f>IF(R28="","",-'M3 TD amort'!D8)</f>
        <v>104574.51</v>
      </c>
      <c r="S29" s="19">
        <f>IF(S28="","",-'M3 TD amort'!E8)</f>
        <v>82818.98</v>
      </c>
      <c r="T29" s="19">
        <f>IF(T28="","",-'M3 TD amort'!F8)</f>
        <v>74005.649999999994</v>
      </c>
      <c r="U29" s="19">
        <f>IF(U28="","",-'M3 TD amort'!G8)</f>
        <v>97941.18</v>
      </c>
      <c r="V29" s="19">
        <f>IF(V28="","",-'M3 TD amort'!H8)</f>
        <v>131594.67000000001</v>
      </c>
      <c r="W29" s="19">
        <f>IF(W28="","",-'M3 TD amort'!I8)</f>
        <v>123527.13</v>
      </c>
      <c r="X29" s="19">
        <f>IF(X28="","",-'M3 TD amort'!J8)</f>
        <v>111322.95</v>
      </c>
      <c r="Y29" s="19">
        <f>IF(Y28="","",-'M3 TD amort'!K8)</f>
        <v>75219.710000000006</v>
      </c>
      <c r="Z29" s="19">
        <f>IF(Z28="","",-'M3 TD amort'!L8)</f>
        <v>80241.5</v>
      </c>
      <c r="AA29" s="19">
        <f>IF(AA28="","",-'M3 TD amort'!M8)</f>
        <v>106401.64</v>
      </c>
      <c r="AB29" s="19">
        <f>IF(AB28="","",-'M3 TD amort'!N8)</f>
        <v>138469.78</v>
      </c>
      <c r="AC29" s="19">
        <f>IF(AC28="","",-'M3 TD amort'!O8)</f>
        <v>-214209.84</v>
      </c>
      <c r="AD29" s="19">
        <f>IF(AD28="","",-'M3 TD amort'!P8)</f>
        <v>-278064.93</v>
      </c>
      <c r="AE29" s="19">
        <f>IF(AE28="","",-'M3 TD amort'!Q8)</f>
        <v>-187629.17</v>
      </c>
      <c r="AF29" s="19">
        <f>IF(AF28="","",-'M3 TD amort'!R8)</f>
        <v>-176283.71</v>
      </c>
      <c r="AG29" s="19">
        <f>IF(AG28="","",-'M3 TD amort'!S8)</f>
        <v>-231223.27</v>
      </c>
      <c r="AH29" s="19">
        <f>IF(AH28="","",-'M3 TD amort'!T8)</f>
        <v>-305423.73</v>
      </c>
      <c r="AI29" s="19">
        <f>IF(AI28="","",-'M3 TD amort'!U8)</f>
        <v>-311615.01</v>
      </c>
      <c r="AJ29" s="19">
        <f>IF(AJ28="","",-'M3 TD amort'!V8)</f>
        <v>-306092.45</v>
      </c>
      <c r="AK29" s="19">
        <f>IF(AK28="","",-'M3 TD amort'!W8)</f>
        <v>-211968.1</v>
      </c>
      <c r="AL29" s="19">
        <f>IF(AL28="","",-'M3 TD amort'!X8)</f>
        <v>-198628.63</v>
      </c>
      <c r="AM29" s="19">
        <f>IF(AM28="","",-'M3 TD amort'!Y8)</f>
        <v>-248528.93</v>
      </c>
      <c r="AN29" s="19">
        <f>IF(AN28="","",-'M3 TD amort'!Z8)</f>
        <v>-321239.03999999998</v>
      </c>
      <c r="AO29" s="19">
        <f>IF(AO28="","",-'M3 TD amort'!AA8)</f>
        <v>-270175.45</v>
      </c>
      <c r="AP29" s="19">
        <f>IF(AP28="","",-'M3 TD amort'!AB8)</f>
        <v>-118232.21</v>
      </c>
      <c r="AQ29" s="19">
        <f>IF(AQ28="","",-'M3 TD amort'!AC8)</f>
        <v>-90604.87</v>
      </c>
      <c r="AR29" s="19">
        <f>IF(AR28="","",-'M3 TD amort'!AD8)</f>
        <v>-84722.21</v>
      </c>
      <c r="AS29" s="19">
        <f>IF(AS28="","",-'M3 TD amort'!AE8)</f>
        <v>-107685.96</v>
      </c>
      <c r="AT29" s="19">
        <f>IF(AT28="","",-'M3 TD amort'!AF8)</f>
        <v>-148122.69</v>
      </c>
      <c r="AU29" s="19">
        <f>IF(AU28="","",-'M3 TD amort'!AG8)</f>
        <v>-141095.97</v>
      </c>
      <c r="AV29" s="19">
        <f>IF(AV28="","",-'M3 TD amort'!AH8)</f>
        <v>-117508.65</v>
      </c>
      <c r="AW29" s="19">
        <f>IF(AW28="","",-'M3 TD amort'!AI8)</f>
        <v>-84587.71</v>
      </c>
      <c r="AX29" s="19">
        <f>IF(AX28="","",-'M3 TD amort'!AJ8)</f>
        <v>-80065.600000000006</v>
      </c>
      <c r="AY29" s="19">
        <f>IF(AY28="","",-'M3 TD amort'!AK8)</f>
        <v>-122414.96</v>
      </c>
      <c r="AZ29" s="19">
        <f>IF(AZ28="","",-'M3 TD amort'!AL8)</f>
        <v>-146964.76</v>
      </c>
      <c r="BA29" s="19">
        <f>IF(BA28="","",-'M3 TD amort'!AM8)</f>
        <v>-277535.48</v>
      </c>
      <c r="BB29" s="19">
        <f>IF(BB28="","",-'M3 TD amort'!AN8)</f>
        <v>-274328.76</v>
      </c>
      <c r="BC29" s="19">
        <f>IF(BC28="","",-'M3 TD amort'!AO8)</f>
        <v>-236568.66</v>
      </c>
      <c r="BD29" s="19">
        <f>IF(BD28="","",-'M3 TD amort'!AP8)</f>
        <v>-202231.43</v>
      </c>
      <c r="BE29" s="19">
        <f>IF(BE28="","",-'M3 TD amort'!AQ8)</f>
        <v>-261560.47</v>
      </c>
      <c r="BF29" s="19">
        <f>IF(BF28="","",-'M3 TD amort'!AR8)</f>
        <v>-342264.98</v>
      </c>
      <c r="BG29" s="19">
        <f>IF(BG28="","",-'M3 TD amort'!AS8)</f>
        <v>-352779.45</v>
      </c>
      <c r="BH29" s="19">
        <f>IF(BH28="","",-'M3 TD amort'!AT8)</f>
        <v>-326302.92</v>
      </c>
      <c r="BI29" s="19">
        <f>IF(BI28="","",-'M3 TD amort'!AU8)</f>
        <v>-236589.06</v>
      </c>
      <c r="BJ29" s="19">
        <f>IF(BJ28="","",-'M3 TD amort'!AV8)</f>
        <v>-206838.83</v>
      </c>
      <c r="BK29" s="19">
        <f>IF(BK28="","",-'M3 TD amort'!AW8)</f>
        <v>-288105.44</v>
      </c>
      <c r="BL29" s="19">
        <f>IF(BL28="","",-'M3 TD amort'!AX8)</f>
        <v>-377121</v>
      </c>
      <c r="BM29" s="19">
        <f>IF(BM28="","",-'M3 TD amort'!AY8)</f>
        <v>325945.17</v>
      </c>
      <c r="BN29" s="19">
        <f>IF(BN28="","",-'M3 TD amort'!AZ8)</f>
        <v>108965.9</v>
      </c>
      <c r="BO29" s="19">
        <f>IF(BO28="","",-'M3 TD amort'!BA8)</f>
        <v>97785.39</v>
      </c>
      <c r="BP29" s="19">
        <f>IF(BP28="","",-'M3 TD amort'!BB8)</f>
        <v>88646.22</v>
      </c>
      <c r="BQ29" s="19">
        <f>IF(BQ28="","",-'M3 TD amort'!BC8)</f>
        <v>121019.85</v>
      </c>
      <c r="BR29" s="19">
        <f>IF(BR28="","",-'M3 TD amort'!BD8)</f>
        <v>161803.12</v>
      </c>
      <c r="BS29" s="19">
        <f>IF(BS28="","",-'M3 TD amort'!BE8)</f>
        <v>147420.89000000001</v>
      </c>
      <c r="BT29" s="19">
        <f>IF(BT28="","",-'M3 TD amort'!BF8)</f>
        <v>139969.9</v>
      </c>
      <c r="BU29" s="19">
        <f>IF(BU28="","",-'M3 TD amort'!BG8)</f>
        <v>102161.55</v>
      </c>
      <c r="BV29" s="19">
        <f>IF(BV28="","",-'M3 TD amort'!BH8)</f>
        <v>84151.15</v>
      </c>
      <c r="BW29" s="19">
        <f>IF(BW28="","",-'M3 TD amort'!BI8)</f>
        <v>130784.48</v>
      </c>
      <c r="BX29" s="19">
        <f>IF(BX28="","",-'M3 TD amort'!BJ8)</f>
        <v>175754.36</v>
      </c>
      <c r="BY29" s="19">
        <f>IF(BY28="","",-'M3 TD amort'!$BL$8)</f>
        <v>92086.631945368325</v>
      </c>
      <c r="BZ29" s="19">
        <f>IF(BZ28="","",-'M3 TD amort'!$BL$8)</f>
        <v>92086.631945368325</v>
      </c>
      <c r="CA29" s="19">
        <f>IF(CA28="","",-'M3 TD amort'!$BL$8)</f>
        <v>92086.631945368325</v>
      </c>
      <c r="CB29" s="19">
        <f>IF(CB28="","",-'M3 TD amort'!$BL$8)</f>
        <v>92086.631945368325</v>
      </c>
      <c r="CC29" s="19">
        <f>IF(CC28="","",-'M3 TD amort'!$BL$8)</f>
        <v>92086.631945368325</v>
      </c>
      <c r="CD29" s="19">
        <f>IF(CD28="","",-'M3 TD amort'!$BL$8)</f>
        <v>92086.631945368325</v>
      </c>
      <c r="CE29" s="19">
        <f>IF(CE28="","",-'M3 TD amort'!$BL$8)</f>
        <v>92086.631945368325</v>
      </c>
      <c r="CF29" s="19">
        <f>IF(CF28="","",-'M3 TD amort'!$BL$8)</f>
        <v>92086.631945368325</v>
      </c>
      <c r="CG29" s="19">
        <f>IF(CG28="","",-'M3 TD amort'!$BL$8)</f>
        <v>92086.631945368325</v>
      </c>
      <c r="CH29" s="19">
        <f>IF(CH28="","",-'M3 TD amort'!$BL$8)</f>
        <v>92086.631945368325</v>
      </c>
      <c r="CI29" s="19">
        <f>IF(CI28="","",-'M3 TD amort'!$BL$8)</f>
        <v>92086.631945368325</v>
      </c>
      <c r="CJ29" s="19">
        <f>IF(CJ28="","",-'M3 TD amort'!$BL$8)</f>
        <v>92086.631945368325</v>
      </c>
    </row>
    <row r="30" spans="1:88" s="4" customFormat="1" ht="15" hidden="1" customHeight="1" outlineLevel="1" x14ac:dyDescent="0.25">
      <c r="A30" s="276"/>
      <c r="B30" s="15" t="s">
        <v>46</v>
      </c>
      <c r="C30" s="81"/>
      <c r="D30" s="81"/>
      <c r="E30" s="81"/>
      <c r="F30" s="7">
        <f t="shared" ref="F30:M30" si="297">IF(OR(F29="",F28=""),"",F28+F29)</f>
        <v>0</v>
      </c>
      <c r="G30" s="7">
        <f t="shared" si="297"/>
        <v>0</v>
      </c>
      <c r="H30" s="7">
        <f t="shared" si="297"/>
        <v>28636.335868779192</v>
      </c>
      <c r="I30" s="7">
        <f t="shared" si="297"/>
        <v>344669.92129031231</v>
      </c>
      <c r="J30" s="7">
        <f t="shared" si="297"/>
        <v>437739.69493695599</v>
      </c>
      <c r="K30" s="7">
        <f t="shared" si="297"/>
        <v>461093.89388914994</v>
      </c>
      <c r="L30" s="7">
        <f t="shared" si="297"/>
        <v>425531.99443758972</v>
      </c>
      <c r="M30" s="7">
        <f t="shared" si="297"/>
        <v>350101.97926152864</v>
      </c>
      <c r="N30" s="7">
        <f>IF(OR(N29="",N28=""),"",N28+N29)</f>
        <v>315194.78964232601</v>
      </c>
      <c r="O30" s="7">
        <f>IF(OR(O29="",O28=""),"",O28+O29)</f>
        <v>423499.84124645527</v>
      </c>
      <c r="P30" s="7">
        <f t="shared" ref="P30:AE30" si="298">IF(OR(P29="",P28=""),"",P28+P29)</f>
        <v>467459.76087976695</v>
      </c>
      <c r="Q30" s="7">
        <f t="shared" si="298"/>
        <v>590056.021634734</v>
      </c>
      <c r="R30" s="7">
        <f t="shared" si="298"/>
        <v>533384.76716296654</v>
      </c>
      <c r="S30" s="7">
        <f t="shared" si="298"/>
        <v>422165.3149165514</v>
      </c>
      <c r="T30" s="7">
        <f t="shared" si="298"/>
        <v>376930.70162387798</v>
      </c>
      <c r="U30" s="7">
        <f t="shared" si="298"/>
        <v>497530.9278657817</v>
      </c>
      <c r="V30" s="7">
        <f t="shared" si="298"/>
        <v>667644.40122413775</v>
      </c>
      <c r="W30" s="7">
        <f t="shared" si="298"/>
        <v>626838.17413038632</v>
      </c>
      <c r="X30" s="7">
        <f t="shared" si="298"/>
        <v>565053.06803544634</v>
      </c>
      <c r="Y30" s="7">
        <f t="shared" si="298"/>
        <v>382914.64026905363</v>
      </c>
      <c r="Z30" s="7">
        <f>IF(OR(Z29="",Z28=""),"",Z28+Z29)</f>
        <v>408860.77667869348</v>
      </c>
      <c r="AA30" s="7">
        <f t="shared" si="298"/>
        <v>541741.18516653357</v>
      </c>
      <c r="AB30" s="7">
        <f t="shared" si="298"/>
        <v>704338.42496161384</v>
      </c>
      <c r="AC30" s="7">
        <f t="shared" si="298"/>
        <v>1161434.6368897494</v>
      </c>
      <c r="AD30" s="7">
        <f t="shared" si="298"/>
        <v>1509744.8546895902</v>
      </c>
      <c r="AE30" s="7">
        <f t="shared" si="298"/>
        <v>1021337.0409980869</v>
      </c>
      <c r="AF30" s="7">
        <f t="shared" ref="AF30:AW30" si="299">IF(OR(AF29="",AF28=""),"",AF28+AF29)</f>
        <v>958813.01588184945</v>
      </c>
      <c r="AG30" s="7">
        <f t="shared" si="299"/>
        <v>1251908.2721443432</v>
      </c>
      <c r="AH30" s="7">
        <f t="shared" si="299"/>
        <v>1652403.9212690853</v>
      </c>
      <c r="AI30" s="7">
        <f t="shared" si="299"/>
        <v>1685200.823049651</v>
      </c>
      <c r="AJ30" s="7">
        <f t="shared" si="299"/>
        <v>1656144.3811878432</v>
      </c>
      <c r="AK30" s="7">
        <f t="shared" si="299"/>
        <v>1149480.8893388002</v>
      </c>
      <c r="AL30" s="7">
        <f t="shared" si="299"/>
        <v>1079418.9137683115</v>
      </c>
      <c r="AM30" s="7">
        <f t="shared" si="299"/>
        <v>1350833.1245714868</v>
      </c>
      <c r="AN30" s="7">
        <f t="shared" si="299"/>
        <v>1740449.4251608262</v>
      </c>
      <c r="AO30" s="7">
        <f t="shared" si="299"/>
        <v>1389838.9482729391</v>
      </c>
      <c r="AP30" s="7">
        <f t="shared" si="299"/>
        <v>609111.17262135481</v>
      </c>
      <c r="AQ30" s="7">
        <f t="shared" si="299"/>
        <v>467884.29557480058</v>
      </c>
      <c r="AR30" s="7">
        <f t="shared" si="299"/>
        <v>436790.72435668245</v>
      </c>
      <c r="AS30" s="7">
        <f t="shared" si="299"/>
        <v>553475.74778882996</v>
      </c>
      <c r="AT30" s="7">
        <f t="shared" si="299"/>
        <v>759832.45836252975</v>
      </c>
      <c r="AU30" s="7">
        <f t="shared" si="299"/>
        <v>724517.81677226594</v>
      </c>
      <c r="AV30" s="7">
        <f>IF(OR(AV29="",AV28=""),"",AV28+AV29)</f>
        <v>604671.35996221576</v>
      </c>
      <c r="AW30" s="7">
        <f t="shared" si="299"/>
        <v>436813.76348380273</v>
      </c>
      <c r="AX30" s="7">
        <f>IF(OR(AX29="",AX28=""),"",AX28+AX29)</f>
        <v>414638.8653804888</v>
      </c>
      <c r="AY30" s="7">
        <f t="shared" ref="AY30" si="300">IF(OR(AY29="",AY28=""),"",AY28+AY29)</f>
        <v>633711.27939637168</v>
      </c>
      <c r="AZ30" s="7">
        <f t="shared" ref="AZ30:BA30" si="301">IF(OR(AZ29="",AZ28=""),"",AZ28+AZ29)</f>
        <v>758470.59475830093</v>
      </c>
      <c r="BA30" s="7">
        <f t="shared" si="301"/>
        <v>617325.82971378381</v>
      </c>
      <c r="BB30" s="7">
        <f t="shared" ref="BB30:BC30" si="302">IF(OR(BB29="",BB28=""),"",BB28+BB29)</f>
        <v>611857.67605950113</v>
      </c>
      <c r="BC30" s="7">
        <f t="shared" si="302"/>
        <v>528445.41629471618</v>
      </c>
      <c r="BD30" s="7">
        <f t="shared" ref="BD30:BE30" si="303">IF(OR(BD29="",BD28=""),"",BD28+BD29)</f>
        <v>451370.62200737017</v>
      </c>
      <c r="BE30" s="7">
        <f t="shared" si="303"/>
        <v>581220.81485866336</v>
      </c>
      <c r="BF30" s="7">
        <f t="shared" ref="BF30:BG30" si="304">IF(OR(BF29="",BF28=""),"",BF28+BF29)</f>
        <v>758285.85421166429</v>
      </c>
      <c r="BG30" s="7">
        <f t="shared" si="304"/>
        <v>782351.86265911977</v>
      </c>
      <c r="BH30" s="7">
        <f t="shared" ref="BH30:BI30" si="305">IF(OR(BH29="",BH28=""),"",BH28+BH29)</f>
        <v>724537.33759266371</v>
      </c>
      <c r="BI30" s="7">
        <f t="shared" si="305"/>
        <v>527935.93814993254</v>
      </c>
      <c r="BJ30" s="7">
        <f t="shared" ref="BJ30:BK30" si="306">IF(OR(BJ29="",BJ28=""),"",BJ28+BJ29)</f>
        <v>463177.62565617613</v>
      </c>
      <c r="BK30" s="7">
        <f t="shared" si="306"/>
        <v>643716.30610436946</v>
      </c>
      <c r="BL30" s="7">
        <f t="shared" ref="BL30" si="307">IF(OR(BL29="",BL28=""),"",BL28+BL29)</f>
        <v>840088.6013274563</v>
      </c>
      <c r="BM30" s="7">
        <f t="shared" ref="BM30:BR30" si="308">IF(OR(BM29="",BM28=""),"",BM28+BM29)</f>
        <v>1249559.1160294847</v>
      </c>
      <c r="BN30" s="7">
        <f t="shared" si="308"/>
        <v>418642.20404386288</v>
      </c>
      <c r="BO30" s="7">
        <f t="shared" si="308"/>
        <v>375614.10246966733</v>
      </c>
      <c r="BP30" s="7">
        <f t="shared" si="308"/>
        <v>340249.58248509723</v>
      </c>
      <c r="BQ30" s="7">
        <f t="shared" si="308"/>
        <v>463119.75476893131</v>
      </c>
      <c r="BR30" s="7">
        <f t="shared" si="308"/>
        <v>618440.29127485398</v>
      </c>
      <c r="BS30" s="7">
        <f t="shared" ref="BS30:BT30" si="309">IF(OR(BS29="",BS28=""),"",BS28+BS29)</f>
        <v>563619.62979180319</v>
      </c>
      <c r="BT30" s="7">
        <f t="shared" si="309"/>
        <v>535190.70121849305</v>
      </c>
      <c r="BU30" s="7">
        <f t="shared" ref="BU30:BV30" si="310">IF(OR(BU29="",BU28=""),"",BU28+BU29)</f>
        <v>391431.40646854305</v>
      </c>
      <c r="BV30" s="7">
        <f t="shared" si="310"/>
        <v>322956.60806292458</v>
      </c>
      <c r="BW30" s="7">
        <f t="shared" ref="BW30:BX30" si="311">IF(OR(BW29="",BW28=""),"",BW28+BW29)</f>
        <v>500925.54066933919</v>
      </c>
      <c r="BX30" s="7">
        <f t="shared" si="311"/>
        <v>672374.67625046696</v>
      </c>
      <c r="BY30" s="7">
        <f t="shared" ref="BY30:BZ30" si="312">IF(OR(BY29="",BY28=""),"",BY28+BY29)</f>
        <v>383348.24278967478</v>
      </c>
      <c r="BZ30" s="7">
        <f t="shared" si="312"/>
        <v>89119.424805829229</v>
      </c>
      <c r="CA30" s="7">
        <f t="shared" ref="CA30:CB30" si="313">IF(OR(CA29="",CA28=""),"",CA28+CA29)</f>
        <v>87666.330453106522</v>
      </c>
      <c r="CB30" s="7">
        <f t="shared" si="313"/>
        <v>87955.302406558287</v>
      </c>
      <c r="CC30" s="7">
        <f t="shared" ref="CC30:CD30" si="314">IF(OR(CC29="",CC28=""),"",CC28+CC29)</f>
        <v>86408.874669926838</v>
      </c>
      <c r="CD30" s="7">
        <f t="shared" si="314"/>
        <v>82303.265849463496</v>
      </c>
      <c r="CE30" s="7">
        <f t="shared" ref="CE30:CF30" si="315">IF(OR(CE29="",CE28=""),"",CE28+CE29)</f>
        <v>82002.601253253801</v>
      </c>
      <c r="CF30" s="7">
        <f t="shared" si="315"/>
        <v>84136.511184703661</v>
      </c>
      <c r="CG30" s="7">
        <f t="shared" ref="CG30:CH30" si="316">IF(OR(CG29="",CG28=""),"",CG28+CG29)</f>
        <v>85874.39319556026</v>
      </c>
      <c r="CH30" s="7">
        <f t="shared" si="316"/>
        <v>85671.489626195311</v>
      </c>
      <c r="CI30" s="7">
        <f t="shared" ref="CI30:CJ30" si="317">IF(OR(CI29="",CI28=""),"",CI28+CI29)</f>
        <v>84054.315508470347</v>
      </c>
      <c r="CJ30" s="7">
        <f t="shared" si="317"/>
        <v>81818.599632663681</v>
      </c>
    </row>
    <row r="31" spans="1:88" s="4" customFormat="1" hidden="1" outlineLevel="1" x14ac:dyDescent="0.25">
      <c r="A31" s="276"/>
      <c r="B31" s="15" t="s">
        <v>12</v>
      </c>
      <c r="C31" s="81"/>
      <c r="D31" s="81"/>
      <c r="E31" s="81"/>
      <c r="F31" s="7">
        <f t="shared" ref="F31:L31" si="318">IF(OR(F28="",F27=""),"",F27-F28)</f>
        <v>0</v>
      </c>
      <c r="G31" s="7">
        <f>IF(OR(G28="",G27=""),"",G27-G28)</f>
        <v>3542.7066619947968</v>
      </c>
      <c r="H31" s="7">
        <f t="shared" si="318"/>
        <v>-2042.587011875763</v>
      </c>
      <c r="I31" s="7">
        <f t="shared" si="318"/>
        <v>-101305.99221352636</v>
      </c>
      <c r="J31" s="7">
        <f t="shared" si="318"/>
        <v>3390.1150170901092</v>
      </c>
      <c r="K31" s="7">
        <f t="shared" si="318"/>
        <v>76961.106998553209</v>
      </c>
      <c r="L31" s="7">
        <f t="shared" si="318"/>
        <v>-50530.984803922765</v>
      </c>
      <c r="M31" s="7">
        <f>IF(OR(M28="",M27=""),"",M27-M28)</f>
        <v>-212267.59868433682</v>
      </c>
      <c r="N31" s="7">
        <f>IF(OR(N30="",N27=""),"",N27-N30)</f>
        <v>-40385.23306946503</v>
      </c>
      <c r="O31" s="7">
        <f t="shared" ref="O31:AE31" si="319">IF(OR(O30="",O27=""),"",O27-O30)</f>
        <v>44343.414292571193</v>
      </c>
      <c r="P31" s="7">
        <f t="shared" si="319"/>
        <v>76836.312043950486</v>
      </c>
      <c r="Q31" s="7">
        <f t="shared" si="319"/>
        <v>86133.198655375512</v>
      </c>
      <c r="R31" s="7">
        <f t="shared" si="319"/>
        <v>-70294.251757633756</v>
      </c>
      <c r="S31" s="7">
        <f t="shared" si="319"/>
        <v>-209165.47822788436</v>
      </c>
      <c r="T31" s="7">
        <f t="shared" si="319"/>
        <v>-137615.28236749448</v>
      </c>
      <c r="U31" s="7">
        <f t="shared" si="319"/>
        <v>248433.71193049941</v>
      </c>
      <c r="V31" s="7">
        <f t="shared" si="319"/>
        <v>354316.74050838663</v>
      </c>
      <c r="W31" s="7">
        <f t="shared" si="319"/>
        <v>594302.11378261668</v>
      </c>
      <c r="X31" s="7">
        <f t="shared" si="319"/>
        <v>473881.47595819214</v>
      </c>
      <c r="Y31" s="7">
        <f t="shared" si="319"/>
        <v>73938.549640369252</v>
      </c>
      <c r="Z31" s="7">
        <f>IF(OR(Z30="",Z27=""),"",Z27-Z30)</f>
        <v>200612.52659305639</v>
      </c>
      <c r="AA31" s="7">
        <f t="shared" si="319"/>
        <v>225839.38155908044</v>
      </c>
      <c r="AB31" s="7">
        <f t="shared" si="319"/>
        <v>88725.423080529552</v>
      </c>
      <c r="AC31" s="7">
        <f t="shared" si="319"/>
        <v>-396580.33258011495</v>
      </c>
      <c r="AD31" s="7">
        <f t="shared" si="319"/>
        <v>-690184.64662341482</v>
      </c>
      <c r="AE31" s="7">
        <f t="shared" si="319"/>
        <v>-288170.78241608408</v>
      </c>
      <c r="AF31" s="7">
        <f t="shared" ref="AF31:AU31" si="320">IF(OR(AF30="",AF27=""),"",AF27-AF30)</f>
        <v>-150227.57297345658</v>
      </c>
      <c r="AG31" s="7">
        <f t="shared" si="320"/>
        <v>977242.2032522778</v>
      </c>
      <c r="AH31" s="7">
        <f t="shared" si="320"/>
        <v>1076194.1040727836</v>
      </c>
      <c r="AI31" s="7">
        <f t="shared" si="320"/>
        <v>1157980.4223658144</v>
      </c>
      <c r="AJ31" s="7">
        <f t="shared" si="320"/>
        <v>496271.50805298146</v>
      </c>
      <c r="AK31" s="7">
        <f t="shared" si="320"/>
        <v>-262709.69895831752</v>
      </c>
      <c r="AL31" s="7">
        <f t="shared" si="320"/>
        <v>-61448.179122828762</v>
      </c>
      <c r="AM31" s="7">
        <f t="shared" si="320"/>
        <v>-97910.102033826523</v>
      </c>
      <c r="AN31" s="7">
        <f t="shared" si="320"/>
        <v>-305797.26770618651</v>
      </c>
      <c r="AO31" s="7">
        <f t="shared" si="320"/>
        <v>-147582.25819023745</v>
      </c>
      <c r="AP31" s="7">
        <f t="shared" si="320"/>
        <v>-142406.98179687787</v>
      </c>
      <c r="AQ31" s="7">
        <f t="shared" si="320"/>
        <v>-56797.649592227943</v>
      </c>
      <c r="AR31" s="7">
        <f t="shared" si="320"/>
        <v>23815.937637465715</v>
      </c>
      <c r="AS31" s="7">
        <f t="shared" si="320"/>
        <v>904559.60754772858</v>
      </c>
      <c r="AT31" s="7">
        <f t="shared" si="320"/>
        <v>1105567.1243381908</v>
      </c>
      <c r="AU31" s="7">
        <f t="shared" si="320"/>
        <v>1064689.7667756402</v>
      </c>
      <c r="AV31" s="7">
        <f>IF(OR(AV30="",AV27=""),"",AV27-AV30)</f>
        <v>625990.25765233708</v>
      </c>
      <c r="AW31" s="108">
        <f>IF(OR(AW30="",AW27=""),"",AW27-AW30)+AW26</f>
        <v>-100972.62667034866</v>
      </c>
      <c r="AX31" s="7">
        <f>IF(OR(AX30="",AX27=""),"",AX27-AX30)</f>
        <v>96776.844755683327</v>
      </c>
      <c r="AY31" s="7">
        <f>IF(OR(AY30="",AY27=""),"",AY27-AY30)</f>
        <v>23888.381840004819</v>
      </c>
      <c r="AZ31" s="7">
        <f t="shared" ref="AZ31:BA31" si="321">IF(OR(AZ30="",AZ27=""),"",AZ27-AZ30)</f>
        <v>-42718.877392770839</v>
      </c>
      <c r="BA31" s="7">
        <f t="shared" si="321"/>
        <v>-5715.4969947760692</v>
      </c>
      <c r="BB31" s="7">
        <f t="shared" ref="BB31:BC31" si="322">IF(OR(BB30="",BB27=""),"",BB27-BB30)</f>
        <v>-31805.438331283862</v>
      </c>
      <c r="BC31" s="7">
        <f t="shared" si="322"/>
        <v>-43297.962055607524</v>
      </c>
      <c r="BD31" s="7">
        <f t="shared" ref="BD31:BE31" si="323">IF(OR(BD30="",BD27=""),"",BD27-BD30)</f>
        <v>127648.96276957291</v>
      </c>
      <c r="BE31" s="7">
        <f t="shared" si="323"/>
        <v>1493988.9684144519</v>
      </c>
      <c r="BF31" s="7">
        <f t="shared" ref="BF31:BG31" si="324">IF(OR(BF30="",BF27=""),"",BF27-BF30)</f>
        <v>-421385.37246273947</v>
      </c>
      <c r="BG31" s="7">
        <f t="shared" si="324"/>
        <v>-359244.89116111054</v>
      </c>
      <c r="BH31" s="7">
        <f t="shared" ref="BH31:BI31" si="325">IF(OR(BH30="",BH27=""),"",BH27-BH30)</f>
        <v>-467122.59356071439</v>
      </c>
      <c r="BI31" s="7">
        <f t="shared" si="325"/>
        <v>-455265.23337635637</v>
      </c>
      <c r="BJ31" s="7">
        <f t="shared" ref="BJ31:BK31" si="326">IF(OR(BJ30="",BJ27=""),"",BJ27-BJ30)</f>
        <v>-355526.41360005661</v>
      </c>
      <c r="BK31" s="7">
        <f t="shared" si="326"/>
        <v>-453633.82874886109</v>
      </c>
      <c r="BL31" s="7">
        <f t="shared" ref="BL31:BQ31" si="327">IF(OR(BL30="",BL27=""),"",BL27-BL30)</f>
        <v>-605372.28853306372</v>
      </c>
      <c r="BM31" s="7">
        <f t="shared" si="327"/>
        <v>-1059851.6646766791</v>
      </c>
      <c r="BN31" s="7">
        <f t="shared" si="327"/>
        <v>-257258.0070895337</v>
      </c>
      <c r="BO31" s="7">
        <f t="shared" si="327"/>
        <v>-254385.92043047288</v>
      </c>
      <c r="BP31" s="7">
        <f t="shared" si="327"/>
        <v>-169096.50694295368</v>
      </c>
      <c r="BQ31" s="7">
        <f t="shared" si="327"/>
        <v>263687.80187570548</v>
      </c>
      <c r="BR31" s="7">
        <f t="shared" ref="BR31:BS31" si="328">IF(OR(BR30="",BR27=""),"",BR27-BR30)</f>
        <v>416804.59615700785</v>
      </c>
      <c r="BS31" s="7">
        <f t="shared" si="328"/>
        <v>480986.87014909449</v>
      </c>
      <c r="BT31" s="7">
        <f t="shared" ref="BT31:BU31" si="329">IF(OR(BT30="",BT27=""),"",BT27-BT30)</f>
        <v>66065.85003162967</v>
      </c>
      <c r="BU31" s="7">
        <f t="shared" si="329"/>
        <v>-226214.67825820943</v>
      </c>
      <c r="BV31" s="7">
        <f t="shared" ref="BV31:BW31" si="330">IF(OR(BV30="",BV27=""),"",BV27-BV30)</f>
        <v>-92524.101429526461</v>
      </c>
      <c r="BW31" s="7">
        <f t="shared" si="330"/>
        <v>-122672.82560401014</v>
      </c>
      <c r="BX31" s="7">
        <f t="shared" ref="BX31:BY31" si="331">IF(OR(BX30="",BX27=""),"",BX27-BX30)</f>
        <v>-245676.27442873776</v>
      </c>
      <c r="BY31" s="7">
        <f t="shared" si="331"/>
        <v>-36895.880449943943</v>
      </c>
      <c r="BZ31" s="7">
        <f t="shared" ref="BZ31:CA31" si="332">IF(OR(BZ30="",BZ27=""),"",BZ27-BZ30)</f>
        <v>195113.66610595747</v>
      </c>
      <c r="CA31" s="7">
        <f t="shared" si="332"/>
        <v>101651.81201302868</v>
      </c>
      <c r="CB31" s="7">
        <f t="shared" ref="CB31:CC31" si="333">IF(OR(CB30="",CB27=""),"",CB27-CB30)</f>
        <v>146237.11887331144</v>
      </c>
      <c r="CC31" s="7">
        <f t="shared" si="333"/>
        <v>-18900.235414284762</v>
      </c>
      <c r="CD31" s="7">
        <f t="shared" ref="CD31:CE31" si="334">IF(OR(CD30="",CD27=""),"",CD27-CD30)</f>
        <v>66399.21594841851</v>
      </c>
      <c r="CE31" s="7">
        <f t="shared" si="334"/>
        <v>57547.644212888365</v>
      </c>
      <c r="CF31" s="7">
        <f t="shared" ref="CF31:CG31" si="335">IF(OR(CF30="",CF27=""),"",CF27-CF30)</f>
        <v>-15726.591408509761</v>
      </c>
      <c r="CG31" s="7">
        <f t="shared" si="335"/>
        <v>-74942.955316660271</v>
      </c>
      <c r="CH31" s="7">
        <f t="shared" ref="CH31:CI31" si="336">IF(OR(CH30="",CH27=""),"",CH27-CH30)</f>
        <v>-71526.266877069807</v>
      </c>
      <c r="CI31" s="7">
        <f t="shared" si="336"/>
        <v>-59270.246966980238</v>
      </c>
      <c r="CJ31" s="7">
        <f t="shared" ref="CJ31" si="337">IF(OR(CJ30="",CJ27=""),"",CJ27-CJ30)</f>
        <v>-55974.69260828691</v>
      </c>
    </row>
    <row r="32" spans="1:88" s="4" customFormat="1" hidden="1" outlineLevel="1" x14ac:dyDescent="0.25">
      <c r="A32" s="276"/>
      <c r="B32" s="16" t="s">
        <v>7</v>
      </c>
      <c r="C32" s="81"/>
      <c r="D32" s="81"/>
      <c r="E32" s="81"/>
      <c r="F32" s="7">
        <f>IF(OR(F9="",F31=""),"",ROUND((F31+E34)*F9/12,2))</f>
        <v>0</v>
      </c>
      <c r="G32" s="7">
        <f t="shared" ref="G32:L32" si="338">IF(OR(G9="",G31=""),"",ROUND((G31+F34)*G9/12,2))</f>
        <v>7.86</v>
      </c>
      <c r="H32" s="7">
        <f t="shared" si="338"/>
        <v>3.36</v>
      </c>
      <c r="I32" s="7">
        <f>IF(OR(I9="",I31=""),"",ROUND((I31+H34)*I9/12,2))</f>
        <v>-220.38</v>
      </c>
      <c r="J32" s="7">
        <f>IF(OR(J9="",J31=""),"",ROUND((J31+I34)*J9/12,2))</f>
        <v>-208.94</v>
      </c>
      <c r="K32" s="7">
        <f>IF(OR(K9="",K31=""),"",ROUND((K31+J34)*K9/12,2))</f>
        <v>-38.94</v>
      </c>
      <c r="L32" s="7">
        <f t="shared" si="338"/>
        <v>-130.13999999999999</v>
      </c>
      <c r="M32" s="7">
        <f>IF(OR(M9="",M31=""),"",ROUND((M31+L34)*M9/12,2))</f>
        <v>-498.25</v>
      </c>
      <c r="N32" s="99">
        <f>IF(OR(N9="",N31=""),"",ROUND((N31+M34)*N9/12,2))+N26</f>
        <v>-489.81000000000006</v>
      </c>
      <c r="O32" s="7">
        <f t="shared" ref="O32" si="339">IF(OR(O9="",O31=""),"",ROUND((O31+N34)*O9/12,2))</f>
        <v>-446.67</v>
      </c>
      <c r="P32" s="7">
        <f t="shared" ref="P32" si="340">IF(OR(P9="",P31=""),"",ROUND((P31+O34)*P9/12,2))</f>
        <v>-320.33</v>
      </c>
      <c r="Q32" s="7">
        <f t="shared" ref="Q32:R32" si="341">IF(OR(Q9="",Q31=""),"",ROUND((Q31+P34)*Q9/12,2))</f>
        <v>-176.85</v>
      </c>
      <c r="R32" s="7">
        <f t="shared" si="341"/>
        <v>-113.95</v>
      </c>
      <c r="S32" s="7">
        <f t="shared" ref="S32" si="342">IF(OR(S9="",S31=""),"",ROUND((S31+R34)*S9/12,2))</f>
        <v>-138.51</v>
      </c>
      <c r="T32" s="7">
        <f t="shared" ref="T32" si="343">IF(OR(T9="",T31=""),"",ROUND((T31+S34)*T9/12,2))</f>
        <v>-24.96</v>
      </c>
      <c r="U32" s="7">
        <f t="shared" ref="U32" si="344">IF(OR(U9="",U31=""),"",ROUND((U31+T34)*U9/12,2))</f>
        <v>9.4600000000000009</v>
      </c>
      <c r="V32" s="7">
        <f t="shared" ref="V32" si="345">IF(OR(V9="",V31=""),"",ROUND((V31+U34)*V9/12,2))</f>
        <v>87.57</v>
      </c>
      <c r="W32" s="7">
        <f t="shared" ref="W32:X32" si="346">IF(OR(W9="",W31=""),"",ROUND((W31+V34)*W9/12,2))</f>
        <v>144.4</v>
      </c>
      <c r="X32" s="7">
        <f t="shared" si="346"/>
        <v>192.71</v>
      </c>
      <c r="Y32" s="7">
        <f>IF(OR(Y9="",Y31=""),"",ROUND((Y31+X34)*Y9/12,2))</f>
        <v>341.94</v>
      </c>
      <c r="Z32" s="7">
        <f>IF(OR(Z9="",Z31=""),"",ROUND((Z29+Z31+Y34+Z26)*Z9/12,2))+Z26</f>
        <v>988.38</v>
      </c>
      <c r="AA32" s="7">
        <f>IF(OR(AA9="",AA31=""),"",ROUND((AA29+AA31+Z34)*AA9/12,2))</f>
        <v>650.36</v>
      </c>
      <c r="AB32" s="7">
        <f>IF(OR(AB9="",AB31=""),"",ROUND((AB29+AB31+AA34)*AB9/12,2))</f>
        <v>510.04</v>
      </c>
      <c r="AC32" s="7">
        <f t="shared" ref="AC32:AE32" si="347">IF(OR(AC9="",AC31=""),"",ROUND((AC29+AC31+AB34)*AC9/12,2))</f>
        <v>456.47</v>
      </c>
      <c r="AD32" s="7">
        <f t="shared" si="347"/>
        <v>247.69</v>
      </c>
      <c r="AE32" s="7">
        <f t="shared" si="347"/>
        <v>171.75</v>
      </c>
      <c r="AF32" s="7">
        <f t="shared" ref="AF32" si="348">IF(OR(AF9="",AF31=""),"",ROUND((AF29+AF31+AE34)*AF9/12,2))</f>
        <v>110.11</v>
      </c>
      <c r="AG32" s="7">
        <f t="shared" ref="AG32" si="349">IF(OR(AG9="",AG31=""),"",ROUND((AG29+AG31+AF34)*AG9/12,2))</f>
        <v>224.39</v>
      </c>
      <c r="AH32" s="7">
        <f t="shared" ref="AH32" si="350">IF(OR(AH9="",AH31=""),"",ROUND((AH29+AH31+AG34)*AH9/12,2))</f>
        <v>244.94</v>
      </c>
      <c r="AI32" s="7">
        <f t="shared" ref="AI32" si="351">IF(OR(AI9="",AI31=""),"",ROUND((AI29+AI31+AH34)*AI9/12,2))</f>
        <v>504.7</v>
      </c>
      <c r="AJ32" s="7">
        <f t="shared" ref="AJ32" si="352">IF(OR(AJ9="",AJ31=""),"",ROUND((AJ29+AJ31+AI34)*AJ9/12,2))</f>
        <v>506.2</v>
      </c>
      <c r="AK32" s="7">
        <f t="shared" ref="AK32" si="353">IF(OR(AK9="",AK31=""),"",ROUND((AK29+AK31+AJ34)*AK9/12,2))</f>
        <v>333.67</v>
      </c>
      <c r="AL32" s="7">
        <f t="shared" ref="AL32" si="354">IF(OR(AL9="",AL31=""),"",ROUND((AL29+AL31+AK34)*AL9/12,2))</f>
        <v>307.64999999999998</v>
      </c>
      <c r="AM32" s="7">
        <f t="shared" ref="AM32" si="355">IF(OR(AM9="",AM31=""),"",ROUND((AM29+AM31+AL34)*AM9/12,2))</f>
        <v>447.9</v>
      </c>
      <c r="AN32" s="7">
        <f t="shared" ref="AN32" si="356">IF(OR(AN9="",AN31=""),"",ROUND((AN29+AN31+AM34)*AN9/12,2))</f>
        <v>280.74</v>
      </c>
      <c r="AO32" s="7">
        <f t="shared" ref="AO32" si="357">IF(OR(AO9="",AO31=""),"",ROUND((AO29+AO31+AN34)*AO9/12,2))</f>
        <v>251.34</v>
      </c>
      <c r="AP32" s="7">
        <f t="shared" ref="AP32" si="358">IF(OR(AP9="",AP31=""),"",ROUND((AP29+AP31+AO34)*AP9/12,2))</f>
        <v>435.39</v>
      </c>
      <c r="AQ32" s="7">
        <f t="shared" ref="AQ32" si="359">IF(OR(AQ9="",AQ31=""),"",ROUND((AQ29+AQ31+AP34)*AQ9/12,2))</f>
        <v>306.26</v>
      </c>
      <c r="AR32" s="7">
        <f t="shared" ref="AR32" si="360">IF(OR(AR9="",AR31=""),"",ROUND((AR29+AR31+AQ34)*AR9/12,2))</f>
        <v>436.47</v>
      </c>
      <c r="AS32" s="7">
        <f t="shared" ref="AS32" si="361">IF(OR(AS9="",AS31=""),"",ROUND((AS29+AS31+AR34)*AS9/12,2))</f>
        <v>1670.13</v>
      </c>
      <c r="AT32" s="7">
        <f t="shared" ref="AT32" si="362">IF(OR(AT9="",AT31=""),"",ROUND((AT29+AT31+AS34)*AT9/12,2))</f>
        <v>3955.58</v>
      </c>
      <c r="AU32" s="7">
        <f t="shared" ref="AU32" si="363">IF(OR(AU9="",AU31=""),"",ROUND((AU29+AU31+AT34)*AU9/12,2))</f>
        <v>6913.29</v>
      </c>
      <c r="AV32" s="7">
        <f>IF(OR(AV9="",AV31=""),"",ROUND((AV29+AV31+AU34)*AV9/12,2))</f>
        <v>8882.3700000000008</v>
      </c>
      <c r="AW32" s="7">
        <f>IF(OR(AW9="",AW31=""),"",ROUND((AW29+AW31+AV34)*AW9/12,2))</f>
        <v>10335.74</v>
      </c>
      <c r="AX32" s="7">
        <f>IF(OR(AX9="",AX31=""),"",ROUND((AX29+AX31+AW34)*AX9/12,2))</f>
        <v>12862.73</v>
      </c>
      <c r="AY32" s="7">
        <f>IF(OR(AY9="",AY31=""),"",ROUND((AY29+AY31+AX34)*AY9/12,2))</f>
        <v>13527.96</v>
      </c>
      <c r="AZ32" s="7">
        <f>IF(OR(AZ9="",AZ31=""),"",ROUND((AZ29+AZ31+AY34)*AZ9/12,2))+AZ26</f>
        <v>13116.08</v>
      </c>
      <c r="BA32" s="7">
        <f t="shared" ref="BA32:BL32" si="364">IF(OR(BA9="",BA31=""),"",ROUND((BA29+BA31+AZ34)*BA9/12,2))</f>
        <v>12399.78</v>
      </c>
      <c r="BB32" s="7">
        <f t="shared" si="364"/>
        <v>11540.32</v>
      </c>
      <c r="BC32" s="7">
        <f t="shared" si="364"/>
        <v>10966.45</v>
      </c>
      <c r="BD32" s="7">
        <f t="shared" si="364"/>
        <v>10847.16</v>
      </c>
      <c r="BE32" s="7">
        <f t="shared" si="364"/>
        <v>16575.080000000002</v>
      </c>
      <c r="BF32" s="7">
        <f t="shared" si="364"/>
        <v>13333.67</v>
      </c>
      <c r="BG32" s="7">
        <f t="shared" si="364"/>
        <v>10310.049999999999</v>
      </c>
      <c r="BH32" s="7">
        <f t="shared" si="364"/>
        <v>6725.21</v>
      </c>
      <c r="BI32" s="7">
        <f t="shared" si="364"/>
        <v>3553.59</v>
      </c>
      <c r="BJ32" s="7">
        <f t="shared" si="364"/>
        <v>991.49</v>
      </c>
      <c r="BK32" s="7">
        <f t="shared" si="364"/>
        <v>-2434.84</v>
      </c>
      <c r="BL32" s="7">
        <f t="shared" si="364"/>
        <v>-6774.95</v>
      </c>
      <c r="BM32" s="108">
        <f>IF(OR(BM9="",BM31=""),"",ROUND((BM29+BM31+BL34+BM26)*BM9/12,2))</f>
        <v>-9970.52</v>
      </c>
      <c r="BN32" s="7">
        <f t="shared" ref="BN32:CJ32" si="365">IF(OR(BN9="",BN31=""),"",ROUND((BN29+BN31+BM34)*BN9/12,2))</f>
        <v>-10781.9</v>
      </c>
      <c r="BO32" s="7">
        <f t="shared" si="365"/>
        <v>-11691.16</v>
      </c>
      <c r="BP32" s="7">
        <f t="shared" si="365"/>
        <v>-12091.1</v>
      </c>
      <c r="BQ32" s="7">
        <f t="shared" si="365"/>
        <v>-10505.19</v>
      </c>
      <c r="BR32" s="7">
        <f t="shared" si="365"/>
        <v>-7916.97</v>
      </c>
      <c r="BS32" s="7">
        <f t="shared" si="365"/>
        <v>-5015.24</v>
      </c>
      <c r="BT32" s="7">
        <f t="shared" si="365"/>
        <v>-3893.39</v>
      </c>
      <c r="BU32" s="7">
        <f t="shared" si="365"/>
        <v>-4152.6099999999997</v>
      </c>
      <c r="BV32" s="7">
        <f t="shared" si="365"/>
        <v>-4122.51</v>
      </c>
      <c r="BW32" s="7">
        <f t="shared" si="365"/>
        <v>-3975.58</v>
      </c>
      <c r="BX32" s="7">
        <f t="shared" si="365"/>
        <v>-4136.5600000000004</v>
      </c>
      <c r="BY32" s="7">
        <f t="shared" si="365"/>
        <v>-3952.51</v>
      </c>
      <c r="BZ32" s="7">
        <f t="shared" si="365"/>
        <v>-2912.72</v>
      </c>
      <c r="CA32" s="7">
        <f t="shared" si="365"/>
        <v>-2177.7199999999998</v>
      </c>
      <c r="CB32" s="7">
        <f t="shared" si="365"/>
        <v>-1262.44</v>
      </c>
      <c r="CC32" s="7">
        <f t="shared" si="365"/>
        <v>-987.84</v>
      </c>
      <c r="CD32" s="7">
        <f t="shared" si="365"/>
        <v>-384.81</v>
      </c>
      <c r="CE32" s="7">
        <f t="shared" si="365"/>
        <v>186.28</v>
      </c>
      <c r="CF32" s="7">
        <f t="shared" si="365"/>
        <v>460.79</v>
      </c>
      <c r="CG32" s="7">
        <f t="shared" si="365"/>
        <v>494.23</v>
      </c>
      <c r="CH32" s="98">
        <f>IF(OR(CH9="",CH31=""),"",ROUND((CH29+CH31+CG34)*CH9/12,2))</f>
        <v>566.95000000000005</v>
      </c>
      <c r="CI32" s="98">
        <f t="shared" si="365"/>
        <v>682.27</v>
      </c>
      <c r="CJ32" s="98">
        <f t="shared" si="365"/>
        <v>809.36</v>
      </c>
    </row>
    <row r="33" spans="1:88" s="4" customFormat="1" hidden="1" outlineLevel="1" x14ac:dyDescent="0.25">
      <c r="A33" s="276"/>
      <c r="B33" s="15" t="s">
        <v>13</v>
      </c>
      <c r="C33" s="81"/>
      <c r="D33" s="81"/>
      <c r="E33" s="81"/>
      <c r="F33" s="7">
        <f t="shared" ref="F33:M33" si="366">IF(OR(F31="",F32=""),"",F31+F32)</f>
        <v>0</v>
      </c>
      <c r="G33" s="7">
        <f>IF(OR(G31="",G32=""),"",G31+G32)</f>
        <v>3550.566661994797</v>
      </c>
      <c r="H33" s="7">
        <f t="shared" si="366"/>
        <v>-2039.2270118757631</v>
      </c>
      <c r="I33" s="7">
        <f t="shared" si="366"/>
        <v>-101526.37221352637</v>
      </c>
      <c r="J33" s="7">
        <f t="shared" si="366"/>
        <v>3181.1750170901091</v>
      </c>
      <c r="K33" s="7">
        <f t="shared" si="366"/>
        <v>76922.166998553206</v>
      </c>
      <c r="L33" s="7">
        <f t="shared" si="366"/>
        <v>-50661.124803922765</v>
      </c>
      <c r="M33" s="7">
        <f t="shared" si="366"/>
        <v>-212765.84868433682</v>
      </c>
      <c r="N33" s="7">
        <f>IF(OR(N31="",N32=""),"",N31+N32)</f>
        <v>-40875.043069465028</v>
      </c>
      <c r="O33" s="7">
        <f>IF(OR(O31="",O32=""),"",O31+O32)</f>
        <v>43896.744292571195</v>
      </c>
      <c r="P33" s="7">
        <f t="shared" ref="P33:AE33" si="367">IF(OR(P31="",P32=""),"",P31+P32)</f>
        <v>76515.982043950484</v>
      </c>
      <c r="Q33" s="7">
        <f>IF(OR(Q31="",Q32=""),"",Q31+Q32)</f>
        <v>85956.348655375506</v>
      </c>
      <c r="R33" s="7">
        <f t="shared" si="367"/>
        <v>-70408.201757633753</v>
      </c>
      <c r="S33" s="7">
        <f t="shared" si="367"/>
        <v>-209303.98822788437</v>
      </c>
      <c r="T33" s="7">
        <f t="shared" si="367"/>
        <v>-137640.24236749447</v>
      </c>
      <c r="U33" s="7">
        <f t="shared" si="367"/>
        <v>248443.1719304994</v>
      </c>
      <c r="V33" s="7">
        <f t="shared" si="367"/>
        <v>354404.31050838664</v>
      </c>
      <c r="W33" s="7">
        <f t="shared" si="367"/>
        <v>594446.5137826167</v>
      </c>
      <c r="X33" s="7">
        <f t="shared" si="367"/>
        <v>474074.18595819216</v>
      </c>
      <c r="Y33" s="7">
        <f t="shared" si="367"/>
        <v>74280.489640369255</v>
      </c>
      <c r="Z33" s="7">
        <f>IF(OR(Z31="",Z32=""),"",Z31+Z32)</f>
        <v>201600.9065930564</v>
      </c>
      <c r="AA33" s="7">
        <f t="shared" si="367"/>
        <v>226489.74155908043</v>
      </c>
      <c r="AB33" s="7">
        <f t="shared" si="367"/>
        <v>89235.463080529546</v>
      </c>
      <c r="AC33" s="7">
        <f t="shared" si="367"/>
        <v>-396123.86258011498</v>
      </c>
      <c r="AD33" s="7">
        <f t="shared" si="367"/>
        <v>-689936.95662341488</v>
      </c>
      <c r="AE33" s="7">
        <f t="shared" si="367"/>
        <v>-287999.03241608408</v>
      </c>
      <c r="AF33" s="7">
        <f t="shared" ref="AF33:AU33" si="368">IF(OR(AF31="",AF32=""),"",AF31+AF32)</f>
        <v>-150117.4629734566</v>
      </c>
      <c r="AG33" s="7">
        <f t="shared" si="368"/>
        <v>977466.59325227782</v>
      </c>
      <c r="AH33" s="7">
        <f t="shared" si="368"/>
        <v>1076439.0440727836</v>
      </c>
      <c r="AI33" s="7">
        <f t="shared" si="368"/>
        <v>1158485.1223658144</v>
      </c>
      <c r="AJ33" s="7">
        <f t="shared" si="368"/>
        <v>496777.70805298147</v>
      </c>
      <c r="AK33" s="7">
        <f t="shared" si="368"/>
        <v>-262376.02895831753</v>
      </c>
      <c r="AL33" s="7">
        <f t="shared" si="368"/>
        <v>-61140.529122828761</v>
      </c>
      <c r="AM33" s="7">
        <f t="shared" si="368"/>
        <v>-97462.202033826528</v>
      </c>
      <c r="AN33" s="7">
        <f t="shared" si="368"/>
        <v>-305516.52770618652</v>
      </c>
      <c r="AO33" s="7">
        <f t="shared" si="368"/>
        <v>-147330.91819023745</v>
      </c>
      <c r="AP33" s="7">
        <f t="shared" si="368"/>
        <v>-141971.59179687785</v>
      </c>
      <c r="AQ33" s="7">
        <f t="shared" si="368"/>
        <v>-56491.389592227941</v>
      </c>
      <c r="AR33" s="7">
        <f t="shared" si="368"/>
        <v>24252.407637465716</v>
      </c>
      <c r="AS33" s="7">
        <f t="shared" si="368"/>
        <v>906229.73754772858</v>
      </c>
      <c r="AT33" s="7">
        <f t="shared" si="368"/>
        <v>1109522.7043381908</v>
      </c>
      <c r="AU33" s="7">
        <f t="shared" si="368"/>
        <v>1071603.0567756402</v>
      </c>
      <c r="AV33" s="7">
        <f>IF(OR(AV31="",AV32=""),"",AV31+AV32)</f>
        <v>634872.62765233708</v>
      </c>
      <c r="AW33" s="7">
        <f>IF(OR(AW31="",AW32=""),"",AW31+AW32)</f>
        <v>-90636.886670348656</v>
      </c>
      <c r="AX33" s="7">
        <f>IF(OR(AX31="",AX32=""),"",AX31+AX32)</f>
        <v>109639.57475568332</v>
      </c>
      <c r="AY33" s="7">
        <f t="shared" ref="AY33" si="369">IF(OR(AY31="",AY32=""),"",AY31+AY32)</f>
        <v>37416.341840004818</v>
      </c>
      <c r="AZ33" s="7">
        <f t="shared" ref="AZ33:BA33" si="370">IF(OR(AZ31="",AZ32=""),"",AZ31+AZ32)</f>
        <v>-29602.797392770837</v>
      </c>
      <c r="BA33" s="7">
        <f t="shared" si="370"/>
        <v>6684.2830052239315</v>
      </c>
      <c r="BB33" s="7">
        <f t="shared" ref="BB33:BC33" si="371">IF(OR(BB31="",BB32=""),"",BB31+BB32)</f>
        <v>-20265.118331283862</v>
      </c>
      <c r="BC33" s="7">
        <f t="shared" si="371"/>
        <v>-32331.512055607524</v>
      </c>
      <c r="BD33" s="7">
        <f t="shared" ref="BD33:BE33" si="372">IF(OR(BD31="",BD32=""),"",BD31+BD32)</f>
        <v>138496.12276957292</v>
      </c>
      <c r="BE33" s="7">
        <f t="shared" si="372"/>
        <v>1510564.048414452</v>
      </c>
      <c r="BF33" s="7">
        <f t="shared" ref="BF33:BG33" si="373">IF(OR(BF31="",BF32=""),"",BF31+BF32)</f>
        <v>-408051.70246273949</v>
      </c>
      <c r="BG33" s="7">
        <f t="shared" si="373"/>
        <v>-348934.84116111055</v>
      </c>
      <c r="BH33" s="7">
        <f t="shared" ref="BH33:BI33" si="374">IF(OR(BH31="",BH32=""),"",BH31+BH32)</f>
        <v>-460397.38356071437</v>
      </c>
      <c r="BI33" s="7">
        <f t="shared" si="374"/>
        <v>-451711.64337635634</v>
      </c>
      <c r="BJ33" s="7">
        <f t="shared" ref="BJ33:BK33" si="375">IF(OR(BJ31="",BJ32=""),"",BJ31+BJ32)</f>
        <v>-354534.92360005662</v>
      </c>
      <c r="BK33" s="7">
        <f t="shared" si="375"/>
        <v>-456068.66874886112</v>
      </c>
      <c r="BL33" s="7">
        <f t="shared" ref="BL33" si="376">IF(OR(BL31="",BL32=""),"",BL31+BL32)</f>
        <v>-612147.23853306368</v>
      </c>
      <c r="BM33" s="7">
        <f t="shared" ref="BM33:BR33" si="377">IF(OR(BM31="",BM32=""),"",BM31+BM32)</f>
        <v>-1069822.1846766791</v>
      </c>
      <c r="BN33" s="7">
        <f t="shared" si="377"/>
        <v>-268039.90708953369</v>
      </c>
      <c r="BO33" s="7">
        <f t="shared" si="377"/>
        <v>-266077.08043047285</v>
      </c>
      <c r="BP33" s="7">
        <f t="shared" si="377"/>
        <v>-181187.60694295369</v>
      </c>
      <c r="BQ33" s="7">
        <f t="shared" si="377"/>
        <v>253182.61187570548</v>
      </c>
      <c r="BR33" s="7">
        <f t="shared" si="377"/>
        <v>408887.62615700788</v>
      </c>
      <c r="BS33" s="7">
        <f t="shared" ref="BS33:BT33" si="378">IF(OR(BS31="",BS32=""),"",BS31+BS32)</f>
        <v>475971.6301490945</v>
      </c>
      <c r="BT33" s="7">
        <f t="shared" si="378"/>
        <v>62172.460031629671</v>
      </c>
      <c r="BU33" s="7">
        <f t="shared" ref="BU33:BV33" si="379">IF(OR(BU31="",BU32=""),"",BU31+BU32)</f>
        <v>-230367.28825820942</v>
      </c>
      <c r="BV33" s="7">
        <f t="shared" si="379"/>
        <v>-96646.611429526456</v>
      </c>
      <c r="BW33" s="7">
        <f t="shared" ref="BW33:BX33" si="380">IF(OR(BW31="",BW32=""),"",BW31+BW32)</f>
        <v>-126648.40560401014</v>
      </c>
      <c r="BX33" s="7">
        <f t="shared" si="380"/>
        <v>-249812.83442873775</v>
      </c>
      <c r="BY33" s="7">
        <f t="shared" ref="BY33:BZ33" si="381">IF(OR(BY31="",BY32=""),"",BY31+BY32)</f>
        <v>-40848.390449943945</v>
      </c>
      <c r="BZ33" s="7">
        <f t="shared" si="381"/>
        <v>192200.94610595747</v>
      </c>
      <c r="CA33" s="7">
        <f t="shared" ref="CA33:CB33" si="382">IF(OR(CA31="",CA32=""),"",CA31+CA32)</f>
        <v>99474.092013028683</v>
      </c>
      <c r="CB33" s="7">
        <f t="shared" si="382"/>
        <v>144974.67887331144</v>
      </c>
      <c r="CC33" s="7">
        <f t="shared" ref="CC33:CD33" si="383">IF(OR(CC31="",CC32=""),"",CC31+CC32)</f>
        <v>-19888.075414284762</v>
      </c>
      <c r="CD33" s="7">
        <f t="shared" si="383"/>
        <v>66014.405948418513</v>
      </c>
      <c r="CE33" s="7">
        <f t="shared" ref="CE33:CF33" si="384">IF(OR(CE31="",CE32=""),"",CE31+CE32)</f>
        <v>57733.924212888363</v>
      </c>
      <c r="CF33" s="7">
        <f t="shared" si="384"/>
        <v>-15265.80140850976</v>
      </c>
      <c r="CG33" s="7">
        <f t="shared" ref="CG33:CH33" si="385">IF(OR(CG31="",CG32=""),"",CG31+CG32)</f>
        <v>-74448.725316660275</v>
      </c>
      <c r="CH33" s="7">
        <f t="shared" si="385"/>
        <v>-70959.31687706981</v>
      </c>
      <c r="CI33" s="7">
        <f t="shared" ref="CI33:CJ33" si="386">IF(OR(CI31="",CI32=""),"",CI31+CI32)</f>
        <v>-58587.976966980241</v>
      </c>
      <c r="CJ33" s="7">
        <f t="shared" si="386"/>
        <v>-55165.33260828691</v>
      </c>
    </row>
    <row r="34" spans="1:88" s="4" customFormat="1" hidden="1" outlineLevel="1" x14ac:dyDescent="0.25">
      <c r="A34" s="276"/>
      <c r="B34" s="17" t="s">
        <v>14</v>
      </c>
      <c r="C34" s="81"/>
      <c r="D34" s="81"/>
      <c r="E34" s="81"/>
      <c r="F34" s="7">
        <f>IF(OR(F33=""),"",F33)</f>
        <v>0</v>
      </c>
      <c r="G34" s="7">
        <f>IF(OR(G33="",F34=""),"",G33+F34)</f>
        <v>3550.566661994797</v>
      </c>
      <c r="H34" s="7">
        <f t="shared" ref="H34:K34" si="387">IF(OR(H33="",G34=""),"",H33+G34)</f>
        <v>1511.3396501190339</v>
      </c>
      <c r="I34" s="7">
        <f t="shared" si="387"/>
        <v>-100015.03256340734</v>
      </c>
      <c r="J34" s="7">
        <f t="shared" si="387"/>
        <v>-96833.857546317231</v>
      </c>
      <c r="K34" s="7">
        <f t="shared" si="387"/>
        <v>-19911.690547764025</v>
      </c>
      <c r="L34" s="7">
        <f>IF(OR(L33="",K34=""),"",L33+K34)</f>
        <v>-70572.81535168679</v>
      </c>
      <c r="M34" s="7">
        <f>IF(OR(M33="",L34=""),"",M33+L34)</f>
        <v>-283338.66403602361</v>
      </c>
      <c r="N34" s="7">
        <f>IF(OR(N33="",M34=""),"",N33+N29+M34)</f>
        <v>-324213.70710548863</v>
      </c>
      <c r="O34" s="7">
        <f>IF(OR(O33="",N34=""),"",O33+O29+N34)</f>
        <v>-280316.96281291742</v>
      </c>
      <c r="P34" s="7">
        <f t="shared" ref="P34:AE34" si="388">IF(OR(P33="",O34=""),"",P33+P29+O34)</f>
        <v>-203800.98076896695</v>
      </c>
      <c r="Q34" s="7">
        <f t="shared" si="388"/>
        <v>-2111.6621135914465</v>
      </c>
      <c r="R34" s="7">
        <f t="shared" si="388"/>
        <v>32054.646128774795</v>
      </c>
      <c r="S34" s="7">
        <f t="shared" si="388"/>
        <v>-94430.362099109581</v>
      </c>
      <c r="T34" s="7">
        <f t="shared" si="388"/>
        <v>-158064.95446660405</v>
      </c>
      <c r="U34" s="7">
        <f t="shared" si="388"/>
        <v>188319.39746389538</v>
      </c>
      <c r="V34" s="7">
        <f t="shared" si="388"/>
        <v>674318.377972282</v>
      </c>
      <c r="W34" s="7">
        <f t="shared" si="388"/>
        <v>1392292.0217548986</v>
      </c>
      <c r="X34" s="7">
        <f t="shared" si="388"/>
        <v>1977689.1577130908</v>
      </c>
      <c r="Y34" s="7">
        <f t="shared" si="388"/>
        <v>2127189.35735346</v>
      </c>
      <c r="Z34" s="7">
        <f>IF(OR(Z33="",Y34=""),"",Z33+Z29+Y34)</f>
        <v>2409031.7639465164</v>
      </c>
      <c r="AA34" s="7">
        <f t="shared" si="388"/>
        <v>2741923.1455055969</v>
      </c>
      <c r="AB34" s="7">
        <f t="shared" si="388"/>
        <v>2969628.3885861263</v>
      </c>
      <c r="AC34" s="7">
        <f t="shared" si="388"/>
        <v>2359294.6860060114</v>
      </c>
      <c r="AD34" s="7">
        <f t="shared" si="388"/>
        <v>1391292.7993825965</v>
      </c>
      <c r="AE34" s="7">
        <f t="shared" si="388"/>
        <v>915664.59696651238</v>
      </c>
      <c r="AF34" s="7">
        <f t="shared" ref="AF34" si="389">IF(OR(AF33="",AE34=""),"",AF33+AF29+AE34)</f>
        <v>589263.42399305583</v>
      </c>
      <c r="AG34" s="7">
        <f t="shared" ref="AG34" si="390">IF(OR(AG33="",AF34=""),"",AG33+AG29+AF34)</f>
        <v>1335506.7472453336</v>
      </c>
      <c r="AH34" s="7">
        <f t="shared" ref="AH34" si="391">IF(OR(AH33="",AG34=""),"",AH33+AH29+AG34)</f>
        <v>2106522.0613181172</v>
      </c>
      <c r="AI34" s="7">
        <f t="shared" ref="AI34" si="392">IF(OR(AI33="",AH34=""),"",AI33+AI29+AH34)</f>
        <v>2953392.1736839316</v>
      </c>
      <c r="AJ34" s="7">
        <f t="shared" ref="AJ34" si="393">IF(OR(AJ33="",AI34=""),"",AJ33+AJ29+AI34)</f>
        <v>3144077.431736913</v>
      </c>
      <c r="AK34" s="7">
        <f t="shared" ref="AK34" si="394">IF(OR(AK33="",AJ34=""),"",AK33+AK29+AJ34)</f>
        <v>2669733.3027785956</v>
      </c>
      <c r="AL34" s="7">
        <f t="shared" ref="AL34" si="395">IF(OR(AL33="",AK34=""),"",AL33+AL29+AK34)</f>
        <v>2409964.1436557667</v>
      </c>
      <c r="AM34" s="7">
        <f t="shared" ref="AM34" si="396">IF(OR(AM33="",AL34=""),"",AM33+AM29+AL34)</f>
        <v>2063973.0116219402</v>
      </c>
      <c r="AN34" s="7">
        <f t="shared" ref="AN34" si="397">IF(OR(AN33="",AM34=""),"",AN33+AN29+AM34)</f>
        <v>1437217.4439157536</v>
      </c>
      <c r="AO34" s="7">
        <f t="shared" ref="AO34" si="398">IF(OR(AO33="",AN34=""),"",AO33+AO29+AN34)</f>
        <v>1019711.0757255162</v>
      </c>
      <c r="AP34" s="7">
        <f t="shared" ref="AP34" si="399">IF(OR(AP33="",AO34=""),"",AP33+AP29+AO34)</f>
        <v>759507.27392863831</v>
      </c>
      <c r="AQ34" s="7">
        <f t="shared" ref="AQ34" si="400">IF(OR(AQ33="",AP34=""),"",AQ33+AQ29+AP34)</f>
        <v>612411.01433641044</v>
      </c>
      <c r="AR34" s="7">
        <f t="shared" ref="AR34" si="401">IF(OR(AR33="",AQ34=""),"",AR33+AR29+AQ34)</f>
        <v>551941.21197387611</v>
      </c>
      <c r="AS34" s="7">
        <f t="shared" ref="AS34" si="402">IF(OR(AS33="",AR34=""),"",AS33+AS29+AR34)</f>
        <v>1350484.9895216047</v>
      </c>
      <c r="AT34" s="7">
        <f t="shared" ref="AT34" si="403">IF(OR(AT33="",AS34=""),"",AT33+AT29+AS34)</f>
        <v>2311885.0038597956</v>
      </c>
      <c r="AU34" s="7">
        <f t="shared" ref="AU34" si="404">IF(OR(AU33="",AT34=""),"",AU33+AU29+AT34)</f>
        <v>3242392.0906354357</v>
      </c>
      <c r="AV34" s="7">
        <f>IF(OR(AV33="",AU34=""),"",AV33+AV29+AU34)</f>
        <v>3759756.0682877726</v>
      </c>
      <c r="AW34" s="7">
        <f>IF(OR(AW33="",AV34=""),"",AW33+AW29+AV34)</f>
        <v>3584531.4716174239</v>
      </c>
      <c r="AX34" s="7">
        <f>IF(OR(AX33="",AW34=""),"",AX33+AX29+AW34)</f>
        <v>3614105.4463731074</v>
      </c>
      <c r="AY34" s="7">
        <f t="shared" ref="AY34:BL34" si="405">IF(OR(AY33="",AX34=""),"",AY33+AY29+AX34)</f>
        <v>3529106.8282131124</v>
      </c>
      <c r="AZ34" s="7">
        <f t="shared" si="405"/>
        <v>3352539.2708203415</v>
      </c>
      <c r="BA34" s="7">
        <f t="shared" si="405"/>
        <v>3081688.0738255656</v>
      </c>
      <c r="BB34" s="7">
        <f t="shared" si="405"/>
        <v>2787094.1954942816</v>
      </c>
      <c r="BC34" s="7">
        <f t="shared" si="405"/>
        <v>2518194.0234386739</v>
      </c>
      <c r="BD34" s="7">
        <f t="shared" si="405"/>
        <v>2454458.716208247</v>
      </c>
      <c r="BE34" s="7">
        <f t="shared" si="405"/>
        <v>3703462.2946226988</v>
      </c>
      <c r="BF34" s="7">
        <f t="shared" si="405"/>
        <v>2953145.612159959</v>
      </c>
      <c r="BG34" s="7">
        <f t="shared" si="405"/>
        <v>2251431.3209988484</v>
      </c>
      <c r="BH34" s="7">
        <f t="shared" si="405"/>
        <v>1464731.0174381342</v>
      </c>
      <c r="BI34" s="7">
        <f t="shared" si="405"/>
        <v>776430.3140617779</v>
      </c>
      <c r="BJ34" s="7">
        <f t="shared" si="405"/>
        <v>215056.56046172127</v>
      </c>
      <c r="BK34" s="7">
        <f t="shared" si="405"/>
        <v>-529117.54828713986</v>
      </c>
      <c r="BL34" s="7">
        <f t="shared" si="405"/>
        <v>-1518385.7868202035</v>
      </c>
      <c r="BM34" s="108">
        <f>IF(OR(BM33="",BL34=""),"",BM33+BM29+BL34+BM26)</f>
        <v>-2235047.8170398204</v>
      </c>
      <c r="BN34" s="7">
        <f t="shared" ref="BN34:CJ34" si="406">IF(OR(BN33="",BM34=""),"",BN33+BN29+BM34)</f>
        <v>-2394121.8241293542</v>
      </c>
      <c r="BO34" s="7">
        <f t="shared" si="406"/>
        <v>-2562413.5145598268</v>
      </c>
      <c r="BP34" s="7">
        <f t="shared" si="406"/>
        <v>-2654954.9015027806</v>
      </c>
      <c r="BQ34" s="7">
        <f t="shared" si="406"/>
        <v>-2280752.4396270751</v>
      </c>
      <c r="BR34" s="7">
        <f t="shared" si="406"/>
        <v>-1710061.6934700673</v>
      </c>
      <c r="BS34" s="7">
        <f t="shared" si="406"/>
        <v>-1086669.1733209728</v>
      </c>
      <c r="BT34" s="7">
        <f t="shared" si="406"/>
        <v>-884526.81328934315</v>
      </c>
      <c r="BU34" s="7">
        <f t="shared" si="406"/>
        <v>-1012732.5515475526</v>
      </c>
      <c r="BV34" s="7">
        <f t="shared" si="406"/>
        <v>-1025228.012977079</v>
      </c>
      <c r="BW34" s="7">
        <f t="shared" si="406"/>
        <v>-1021091.9385810891</v>
      </c>
      <c r="BX34" s="7">
        <f t="shared" si="406"/>
        <v>-1095150.413009827</v>
      </c>
      <c r="BY34" s="7">
        <f t="shared" si="406"/>
        <v>-1043912.1715144026</v>
      </c>
      <c r="BZ34" s="7">
        <f t="shared" si="406"/>
        <v>-759624.59346307674</v>
      </c>
      <c r="CA34" s="7">
        <f t="shared" si="406"/>
        <v>-568063.86950467969</v>
      </c>
      <c r="CB34" s="7">
        <f t="shared" si="406"/>
        <v>-331002.55868599995</v>
      </c>
      <c r="CC34" s="7">
        <f t="shared" si="406"/>
        <v>-258804.00215491638</v>
      </c>
      <c r="CD34" s="7">
        <f t="shared" si="406"/>
        <v>-100702.96426112953</v>
      </c>
      <c r="CE34" s="7">
        <f t="shared" si="406"/>
        <v>49117.59189712716</v>
      </c>
      <c r="CF34" s="7">
        <f t="shared" si="406"/>
        <v>125938.42243398572</v>
      </c>
      <c r="CG34" s="7">
        <f t="shared" si="406"/>
        <v>143576.32906269375</v>
      </c>
      <c r="CH34" s="7">
        <f t="shared" si="406"/>
        <v>164703.64413099227</v>
      </c>
      <c r="CI34" s="7">
        <f t="shared" si="406"/>
        <v>198202.29910938034</v>
      </c>
      <c r="CJ34" s="7">
        <f t="shared" si="406"/>
        <v>235123.59844646175</v>
      </c>
    </row>
    <row r="35" spans="1:88" s="4" customFormat="1" ht="8.25" hidden="1" customHeight="1" outlineLevel="1" x14ac:dyDescent="0.25">
      <c r="A35" s="35"/>
      <c r="B35" s="11"/>
      <c r="C35" s="86"/>
      <c r="D35" s="86"/>
      <c r="E35" s="86"/>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row>
    <row r="36" spans="1:88" s="4" customFormat="1" ht="15" hidden="1" customHeight="1" outlineLevel="1" x14ac:dyDescent="0.25">
      <c r="A36" s="276" t="s">
        <v>20</v>
      </c>
      <c r="B36" s="14"/>
      <c r="C36" s="81"/>
      <c r="D36" s="81"/>
      <c r="E36" s="81"/>
      <c r="F36" s="7"/>
      <c r="G36" s="7"/>
      <c r="H36" s="7"/>
      <c r="I36" s="7"/>
      <c r="J36" s="7"/>
      <c r="K36" s="7"/>
      <c r="L36" s="7"/>
      <c r="M36" s="7"/>
      <c r="N36" s="97">
        <f>'MEEIA 3 adjs'!L22</f>
        <v>1.999999999998181E-2</v>
      </c>
      <c r="O36" s="7"/>
      <c r="P36" s="7"/>
      <c r="Q36" s="7"/>
      <c r="R36" s="7"/>
      <c r="S36" s="7"/>
      <c r="T36" s="7"/>
      <c r="U36" s="7"/>
      <c r="V36" s="7"/>
      <c r="W36" s="7"/>
      <c r="X36" s="7"/>
      <c r="Y36" s="7"/>
      <c r="Z36" s="97">
        <f>'MEEIA 3 adjs'!AA44</f>
        <v>78.53</v>
      </c>
      <c r="AA36" s="7"/>
      <c r="AB36" s="7"/>
      <c r="AC36" s="7"/>
      <c r="AD36" s="7"/>
      <c r="AE36" s="7"/>
      <c r="AF36" s="7"/>
      <c r="AG36" s="7"/>
      <c r="AH36" s="7"/>
      <c r="AI36" s="7"/>
      <c r="AJ36" s="7"/>
      <c r="AK36" s="7"/>
      <c r="AL36" s="7"/>
      <c r="AM36" s="7"/>
      <c r="AN36" s="7"/>
      <c r="AO36" s="7"/>
      <c r="AP36" s="7"/>
      <c r="AQ36" s="7"/>
      <c r="AR36" s="7"/>
      <c r="AS36" s="7"/>
      <c r="AT36" s="7"/>
      <c r="AU36" s="7"/>
      <c r="AV36" s="7"/>
      <c r="AW36" s="108">
        <v>26657.471334484057</v>
      </c>
      <c r="AX36" s="7"/>
      <c r="AY36" s="7"/>
      <c r="AZ36" s="97">
        <f>'MEEIA 3 adjs'!DZ42</f>
        <v>-27.780000000000655</v>
      </c>
      <c r="BA36" s="7"/>
      <c r="BB36" s="7"/>
      <c r="BC36" s="7"/>
      <c r="BD36" s="7"/>
      <c r="BE36" s="7"/>
      <c r="BF36" s="7"/>
      <c r="BG36" s="7"/>
      <c r="BH36" s="7"/>
      <c r="BI36" s="7"/>
      <c r="BJ36" s="7"/>
      <c r="BK36" s="7"/>
      <c r="BL36" s="7"/>
      <c r="BM36" s="60">
        <v>8651.4029467096771</v>
      </c>
      <c r="BN36" s="7"/>
      <c r="BO36" s="7"/>
      <c r="BP36" s="7"/>
      <c r="BQ36" s="7"/>
      <c r="BR36" s="7"/>
      <c r="BS36" s="7"/>
      <c r="BT36" s="7"/>
      <c r="BU36" s="7"/>
      <c r="BV36" s="7"/>
      <c r="BW36" s="7"/>
      <c r="BX36" s="7"/>
      <c r="BY36" s="7"/>
      <c r="BZ36" s="7"/>
      <c r="CA36" s="7"/>
      <c r="CB36" s="7"/>
      <c r="CC36" s="7"/>
      <c r="CD36" s="7"/>
      <c r="CE36" s="7"/>
      <c r="CF36" s="7"/>
      <c r="CG36" s="7"/>
      <c r="CH36" s="7"/>
      <c r="CI36" s="7"/>
      <c r="CJ36" s="7"/>
    </row>
    <row r="37" spans="1:88" s="2" customFormat="1" ht="15" hidden="1" customHeight="1" outlineLevel="1" x14ac:dyDescent="0.25">
      <c r="A37" s="276"/>
      <c r="B37" s="14" t="s">
        <v>27</v>
      </c>
      <c r="C37" s="81"/>
      <c r="D37" s="81"/>
      <c r="E37" s="81"/>
      <c r="F37" s="19">
        <f>IF('M3 Allocations - TD'!D6="","",'M3 Allocations - TD'!D32)</f>
        <v>0.34412602678174997</v>
      </c>
      <c r="G37" s="19">
        <f>IF('M3 Allocations - TD'!E6="","",'M3 Allocations - TD'!E32)</f>
        <v>593.85341007321881</v>
      </c>
      <c r="H37" s="19">
        <f>IF('M3 Allocations - TD'!F6="","",'M3 Allocations - TD'!F32)</f>
        <v>8368.5225960071712</v>
      </c>
      <c r="I37" s="19">
        <f>IF('M3 Allocations - TD'!G6="","",'M3 Allocations - TD'!G32)</f>
        <v>23641.814181406706</v>
      </c>
      <c r="J37" s="19">
        <f>IF('M3 Allocations - TD'!H6="","",'M3 Allocations - TD'!H32)</f>
        <v>47663.861231335664</v>
      </c>
      <c r="K37" s="19">
        <f>IF('M3 Allocations - TD'!I6="","",'M3 Allocations - TD'!I32)</f>
        <v>53414.007632337976</v>
      </c>
      <c r="L37" s="19">
        <f>IF('M3 Allocations - TD'!J6="","",'M3 Allocations - TD'!J32)</f>
        <v>71963.570102025027</v>
      </c>
      <c r="M37" s="19">
        <f>IF('M3 Allocations - TD'!K6="","",'M3 Allocations - TD'!K32)</f>
        <v>61965.410188273323</v>
      </c>
      <c r="N37" s="19">
        <f>IF('M3 Allocations - TD'!L6="","",'M3 Allocations - TD'!L32)</f>
        <v>64700.998849587129</v>
      </c>
      <c r="O37" s="19">
        <f>IF('M3 Allocations - TD'!M6="","",'M3 Allocations - TD'!M32)</f>
        <v>81956.189294724609</v>
      </c>
      <c r="P37" s="19">
        <f>IF('M3 Allocations - TD'!N6="","",'M3 Allocations - TD'!N32)</f>
        <v>113990.99327753842</v>
      </c>
      <c r="Q37" s="19">
        <f>IF('M3 Allocations - TD'!O6="","",'M3 Allocations - TD'!O32)</f>
        <v>88043.147483850829</v>
      </c>
      <c r="R37" s="19">
        <f>IF('M3 Allocations - TD'!P6="","",'M3 Allocations - TD'!P32)</f>
        <v>103641.60510926238</v>
      </c>
      <c r="S37" s="19">
        <f>IF('M3 Allocations - TD'!Q6="","",'M3 Allocations - TD'!Q32)</f>
        <v>44495.668454394727</v>
      </c>
      <c r="T37" s="19">
        <f>IF('M3 Allocations - TD'!R6="","",'M3 Allocations - TD'!R32)</f>
        <v>72447.479306892477</v>
      </c>
      <c r="U37" s="19">
        <f>IF('M3 Allocations - TD'!S6="","",'M3 Allocations - TD'!S32)</f>
        <v>100242.14080653639</v>
      </c>
      <c r="V37" s="19">
        <f>IF('M3 Allocations - TD'!T6="","",'M3 Allocations - TD'!T32)</f>
        <v>144814.88878280437</v>
      </c>
      <c r="W37" s="19">
        <f>IF('M3 Allocations - TD'!U6="","",'M3 Allocations - TD'!U32)</f>
        <v>113846.66455304027</v>
      </c>
      <c r="X37" s="19">
        <f>IF('M3 Allocations - TD'!V6="","",'M3 Allocations - TD'!V32)</f>
        <v>127713.0610159208</v>
      </c>
      <c r="Y37" s="19">
        <f>IF('M3 Allocations - TD'!W6="","",'M3 Allocations - TD'!W32)</f>
        <v>102944.20736329375</v>
      </c>
      <c r="Z37" s="19">
        <f>IF('M3 Allocations - TD'!X6="","",'M3 Allocations - TD'!X32)</f>
        <v>98619.753088261379</v>
      </c>
      <c r="AA37" s="19">
        <f>IF('M3 Allocations - TD'!Y6="","",'M3 Allocations - TD'!Y32)</f>
        <v>116491.49867964754</v>
      </c>
      <c r="AB37" s="19">
        <f>IF('M3 Allocations - TD'!Z6="","",'M3 Allocations - TD'!Z32)</f>
        <v>196559.66519683803</v>
      </c>
      <c r="AC37" s="19">
        <f>IF('M3 Allocations - TD'!AA6="","",'M3 Allocations - TD'!AA32)</f>
        <v>143190.44336244816</v>
      </c>
      <c r="AD37" s="19">
        <f>IF('M3 Allocations - TD'!AB6="","",'M3 Allocations - TD'!AB32)</f>
        <v>165885.95699877734</v>
      </c>
      <c r="AE37" s="19">
        <f>IF('M3 Allocations - TD'!AC6="","",'M3 Allocations - TD'!AC32)</f>
        <v>168014.93999895826</v>
      </c>
      <c r="AF37" s="19">
        <f>IF('M3 Allocations - TD'!AD6="","",'M3 Allocations - TD'!AD32)</f>
        <v>224708.57117023846</v>
      </c>
      <c r="AG37" s="19">
        <f>IF('M3 Allocations - TD'!AE6="","",'M3 Allocations - TD'!AE32)</f>
        <v>334985.01191056194</v>
      </c>
      <c r="AH37" s="19">
        <f>IF('M3 Allocations - TD'!AF6="","",'M3 Allocations - TD'!AF32)</f>
        <v>449867.18718954525</v>
      </c>
      <c r="AI37" s="19">
        <f>IF('M3 Allocations - TD'!AG6="","",'M3 Allocations - TD'!AG32)</f>
        <v>392143.15877642907</v>
      </c>
      <c r="AJ37" s="19">
        <f>IF('M3 Allocations - TD'!AH6="","",'M3 Allocations - TD'!AH32)</f>
        <v>337751.81199888035</v>
      </c>
      <c r="AK37" s="19">
        <f>IF('M3 Allocations - TD'!AI6="","",'M3 Allocations - TD'!AI32)</f>
        <v>247793.76914859904</v>
      </c>
      <c r="AL37" s="19">
        <f>IF('M3 Allocations - TD'!AJ6="","",'M3 Allocations - TD'!AJ32)</f>
        <v>222262.13845546212</v>
      </c>
      <c r="AM37" s="19">
        <f>IF('M3 Allocations - TD'!AK6="","",'M3 Allocations - TD'!AK32)</f>
        <v>249509.48642011534</v>
      </c>
      <c r="AN37" s="19">
        <f>IF('M3 Allocations - TD'!AL6="","",'M3 Allocations - TD'!AL32)</f>
        <v>321944.69044732186</v>
      </c>
      <c r="AO37" s="19">
        <f>IF('M3 Allocations - TD'!AM6="","",'M3 Allocations - TD'!AM32)</f>
        <v>246962.75301226831</v>
      </c>
      <c r="AP37" s="19">
        <f>IF('M3 Allocations - TD'!AN6="","",'M3 Allocations - TD'!AN32)</f>
        <v>100845.58616926862</v>
      </c>
      <c r="AQ37" s="19">
        <f>IF('M3 Allocations - TD'!AO6="","",'M3 Allocations - TD'!AO32)</f>
        <v>127422.49440160212</v>
      </c>
      <c r="AR37" s="19">
        <f>IF('M3 Allocations - TD'!AP6="","",'M3 Allocations - TD'!AP32)</f>
        <v>191471.00601967305</v>
      </c>
      <c r="AS37" s="19">
        <f>IF('M3 Allocations - TD'!AQ6="","",'M3 Allocations - TD'!AQ32)</f>
        <v>262682.7688338983</v>
      </c>
      <c r="AT37" s="19">
        <f>IF('M3 Allocations - TD'!AR6="","",'M3 Allocations - TD'!AR32)</f>
        <v>354188.78297288192</v>
      </c>
      <c r="AU37" s="19">
        <f>IF('M3 Allocations - TD'!AS6="","",'M3 Allocations - TD'!AS32)</f>
        <v>291793.54141646903</v>
      </c>
      <c r="AV37" s="19">
        <f>IF('M3 Allocations - TD'!AT6="","",'M3 Allocations - TD'!AT32)</f>
        <v>288002.90399346605</v>
      </c>
      <c r="AW37" s="19">
        <f>IF('M3 Allocations - TD'!AU6="","",'M3 Allocations - TD'!AU32)</f>
        <v>176158.92806469859</v>
      </c>
      <c r="AX37" s="19">
        <f>IF('M3 Allocations - TD'!AV6="","",'M3 Allocations - TD'!AV32)</f>
        <v>148988.71783347923</v>
      </c>
      <c r="AY37" s="19">
        <f>IF('M3 Allocations - TD'!AW6="","",'M3 Allocations - TD'!AW32)</f>
        <v>166383.33688258496</v>
      </c>
      <c r="AZ37" s="19">
        <f>IF('M3 Allocations - TD'!AX6="","",'M3 Allocations - TD'!AX32)</f>
        <v>230424.97504364184</v>
      </c>
      <c r="BA37" s="19">
        <f>IF('M3 Allocations - TD'!AY6="","",'M3 Allocations - TD'!AY32)</f>
        <v>167267.8186977868</v>
      </c>
      <c r="BB37" s="19">
        <f>IF('M3 Allocations - TD'!AZ6="","",'M3 Allocations - TD'!AZ32)</f>
        <v>188556.51884636932</v>
      </c>
      <c r="BC37" s="19">
        <f>IF('M3 Allocations - TD'!BA6="","",'M3 Allocations - TD'!BA32)</f>
        <v>207172.72942284547</v>
      </c>
      <c r="BD37" s="19">
        <f>IF('M3 Allocations - TD'!BB6="","",'M3 Allocations - TD'!BB32)</f>
        <v>282077.02604301338</v>
      </c>
      <c r="BE37" s="19">
        <f>IF('M3 Allocations - TD'!BC6="","",'M3 Allocations - TD'!BC32)</f>
        <v>384908.25435282208</v>
      </c>
      <c r="BF37" s="19">
        <f>IF('M3 Allocations - TD'!BD6="","",'M3 Allocations - TD'!BD32)</f>
        <v>139737.20125715411</v>
      </c>
      <c r="BG37" s="19">
        <f>IF('M3 Allocations - TD'!BE6="","",'M3 Allocations - TD'!BE32)</f>
        <v>125981.43604405341</v>
      </c>
      <c r="BH37" s="19">
        <f>IF('M3 Allocations - TD'!BF6="","",'M3 Allocations - TD'!BF32)</f>
        <v>117180.62967897265</v>
      </c>
      <c r="BI37" s="19">
        <f>IF('M3 Allocations - TD'!BG6="","",'M3 Allocations - TD'!BG32)</f>
        <v>83769.976962386063</v>
      </c>
      <c r="BJ37" s="19">
        <f>IF('M3 Allocations - TD'!BH6="","",'M3 Allocations - TD'!BH32)</f>
        <v>86625.171754673938</v>
      </c>
      <c r="BK37" s="19">
        <f>IF('M3 Allocations - TD'!BI6="","",'M3 Allocations - TD'!BI32)</f>
        <v>103759.43732189588</v>
      </c>
      <c r="BL37" s="19">
        <f>IF('M3 Allocations - TD'!BJ6="","",'M3 Allocations - TD'!BJ32)</f>
        <v>153373.54325638647</v>
      </c>
      <c r="BM37" s="19">
        <f>IF('M3 Allocations - TD'!BK6="","",'M3 Allocations - TD'!BK32)</f>
        <v>106775.05460937983</v>
      </c>
      <c r="BN37" s="19">
        <f>IF('M3 Allocations - TD'!BL6="","",'M3 Allocations - TD'!BL32)</f>
        <v>120639.5759518858</v>
      </c>
      <c r="BO37" s="19">
        <f>IF('M3 Allocations - TD'!BM6="","",'M3 Allocations - TD'!BM32)</f>
        <v>133274.54920832094</v>
      </c>
      <c r="BP37" s="19">
        <f>IF('M3 Allocations - TD'!BN6="","",'M3 Allocations - TD'!BN32)</f>
        <v>178850.56851695653</v>
      </c>
      <c r="BQ37" s="19">
        <f>IF('M3 Allocations - TD'!BO6="","",'M3 Allocations - TD'!BO32)</f>
        <v>275918.7728501762</v>
      </c>
      <c r="BR37" s="19">
        <f>IF('M3 Allocations - TD'!BP6="","",'M3 Allocations - TD'!BP32)</f>
        <v>360364.02993826458</v>
      </c>
      <c r="BS37" s="19">
        <f>IF('M3 Allocations - TD'!BQ6="","",'M3 Allocations - TD'!BQ32)</f>
        <v>316057.92453325889</v>
      </c>
      <c r="BT37" s="19">
        <f>IF('M3 Allocations - TD'!BR6="","",'M3 Allocations - TD'!BR32)</f>
        <v>271016.40741513378</v>
      </c>
      <c r="BU37" s="19">
        <f>IF('M3 Allocations - TD'!BS6="","",'M3 Allocations - TD'!BS32)</f>
        <v>173245.5348725713</v>
      </c>
      <c r="BV37" s="19">
        <f>IF('M3 Allocations - TD'!BT6="","",'M3 Allocations - TD'!BT32)</f>
        <v>160381.95228567347</v>
      </c>
      <c r="BW37" s="19">
        <f>IF('M3 Allocations - TD'!BU6="","",'M3 Allocations - TD'!BU32)</f>
        <v>178826.32223536313</v>
      </c>
      <c r="BX37" s="19">
        <f>IF('M3 Allocations - TD'!BV6="","",'M3 Allocations - TD'!BV32)</f>
        <v>231220.46126330021</v>
      </c>
      <c r="BY37" s="19">
        <f>IF('M3 Allocations - TD'!BW6="","",'M3 Allocations - TD'!BW32)</f>
        <v>167024.57521917662</v>
      </c>
      <c r="BZ37" s="19">
        <f>IF('M3 Allocations - TD'!BX6="","",'M3 Allocations - TD'!BX32)</f>
        <v>182279.82765440881</v>
      </c>
      <c r="CA37" s="19">
        <f>IF('M3 Allocations - TD'!BY6="","",'M3 Allocations - TD'!BY32)</f>
        <v>194419.12944950667</v>
      </c>
      <c r="CB37" s="19">
        <f>IF('M3 Allocations - TD'!BZ6="","",'M3 Allocations - TD'!BZ32)</f>
        <v>252615.50632201991</v>
      </c>
      <c r="CC37" s="19">
        <f>IF('M3 Allocations - TD'!CA6="","",'M3 Allocations - TD'!CA32)</f>
        <v>59638.559927928007</v>
      </c>
      <c r="CD37" s="19">
        <f>IF('M3 Allocations - TD'!CB6="","",'M3 Allocations - TD'!CB32)</f>
        <v>54584.074845480594</v>
      </c>
      <c r="CE37" s="19">
        <f>IF('M3 Allocations - TD'!CC6="","",'M3 Allocations - TD'!CC32)</f>
        <v>45938.707492139867</v>
      </c>
      <c r="CF37" s="19">
        <f>IF('M3 Allocations - TD'!CD6="","",'M3 Allocations - TD'!CD32)</f>
        <v>39124.259172710314</v>
      </c>
      <c r="CG37" s="19">
        <f>IF('M3 Allocations - TD'!CE6="","",'M3 Allocations - TD'!CE32)</f>
        <v>27456.08477223427</v>
      </c>
      <c r="CH37" s="19">
        <f>IF('M3 Allocations - TD'!CF6="","",'M3 Allocations - TD'!CF32)</f>
        <v>25410.84397269968</v>
      </c>
      <c r="CI37" s="19">
        <f>IF('M3 Allocations - TD'!CG6="","",'M3 Allocations - TD'!CG32)</f>
        <v>28629.302062797997</v>
      </c>
      <c r="CJ37" s="19">
        <f>IF('M3 Allocations - TD'!CH6="","",'M3 Allocations - TD'!CH32)</f>
        <v>29045.824618502043</v>
      </c>
    </row>
    <row r="38" spans="1:88" s="4" customFormat="1" ht="15" hidden="1" customHeight="1" outlineLevel="1" x14ac:dyDescent="0.25">
      <c r="A38" s="276"/>
      <c r="B38" s="15" t="s">
        <v>25</v>
      </c>
      <c r="C38" s="81"/>
      <c r="D38" s="81"/>
      <c r="E38" s="81"/>
      <c r="F38" s="19">
        <f>IF('M3 Allocations - TD'!D52="","",'M3 Allocations - TD'!D70)</f>
        <v>0</v>
      </c>
      <c r="G38" s="19">
        <f>IF('M3 Allocations - TD'!E52="","",'M3 Allocations - TD'!E70)</f>
        <v>0</v>
      </c>
      <c r="H38" s="19">
        <f>IF('M3 Allocations - TD'!F52="","",'M3 Allocations - TD'!F70)</f>
        <v>4662.874879564878</v>
      </c>
      <c r="I38" s="19">
        <f>IF('M3 Allocations - TD'!G52="","",'M3 Allocations - TD'!G70)</f>
        <v>60575.806014450071</v>
      </c>
      <c r="J38" s="19">
        <f>IF('M3 Allocations - TD'!H52="","",'M3 Allocations - TD'!H70)</f>
        <v>69235.226705339766</v>
      </c>
      <c r="K38" s="19">
        <f>IF('M3 Allocations - TD'!I52="","",'M3 Allocations - TD'!I70)</f>
        <v>71132.268141530934</v>
      </c>
      <c r="L38" s="19">
        <f>IF('M3 Allocations - TD'!J52="","",'M3 Allocations - TD'!J70)</f>
        <v>68766.003213137257</v>
      </c>
      <c r="M38" s="19">
        <f>IF('M3 Allocations - TD'!K52="","",'M3 Allocations - TD'!K70)</f>
        <v>61936.863591354115</v>
      </c>
      <c r="N38" s="19">
        <f>IF('M3 Allocations - TD'!L52="","",'M3 Allocations - TD'!L70)</f>
        <v>55314.675500358826</v>
      </c>
      <c r="O38" s="19">
        <f>IF('M3 Allocations - TD'!M52="","",'M3 Allocations - TD'!M70)</f>
        <v>64772.869833744619</v>
      </c>
      <c r="P38" s="19">
        <f>IF('M3 Allocations - TD'!N52="","",'M3 Allocations - TD'!N70)</f>
        <v>69020.979330338465</v>
      </c>
      <c r="Q38" s="19">
        <f>IF('M3 Allocations - TD'!O52="","",'M3 Allocations - TD'!O70)</f>
        <v>72477.677451482814</v>
      </c>
      <c r="R38" s="19">
        <f>IF('M3 Allocations - TD'!P52="","",'M3 Allocations - TD'!P70)</f>
        <v>71928.028717536567</v>
      </c>
      <c r="S38" s="19">
        <f>IF('M3 Allocations - TD'!Q52="","",'M3 Allocations - TD'!Q70)</f>
        <v>55453.451619799707</v>
      </c>
      <c r="T38" s="19">
        <f>IF('M3 Allocations - TD'!R52="","",'M3 Allocations - TD'!R70)</f>
        <v>50391.746026202469</v>
      </c>
      <c r="U38" s="19">
        <f>IF('M3 Allocations - TD'!S52="","",'M3 Allocations - TD'!S70)</f>
        <v>63389.498728401399</v>
      </c>
      <c r="V38" s="19">
        <f>IF('M3 Allocations - TD'!T52="","",'M3 Allocations - TD'!T70)</f>
        <v>78881.855890584935</v>
      </c>
      <c r="W38" s="19">
        <f>IF('M3 Allocations - TD'!U52="","",'M3 Allocations - TD'!U70)</f>
        <v>76955.02703194521</v>
      </c>
      <c r="X38" s="19">
        <f>IF('M3 Allocations - TD'!V52="","",'M3 Allocations - TD'!V70)</f>
        <v>73755.388306573834</v>
      </c>
      <c r="Y38" s="19">
        <f>IF('M3 Allocations - TD'!W52="","",'M3 Allocations - TD'!W70)</f>
        <v>59772.834718849517</v>
      </c>
      <c r="Z38" s="19">
        <f>IF('M3 Allocations - TD'!X52="","",'M3 Allocations - TD'!X70)</f>
        <v>59572.876185864705</v>
      </c>
      <c r="AA38" s="19">
        <f>IF('M3 Allocations - TD'!Y52="","",'M3 Allocations - TD'!Y70)</f>
        <v>68599.470346323797</v>
      </c>
      <c r="AB38" s="19">
        <f>IF('M3 Allocations - TD'!Z52="","",'M3 Allocations - TD'!Z70)</f>
        <v>81564.73791205966</v>
      </c>
      <c r="AC38" s="19">
        <f>IF('M3 Allocations - TD'!AA52="","",'M3 Allocations - TD'!AA70)</f>
        <v>242664.75286538465</v>
      </c>
      <c r="AD38" s="19">
        <f>IF('M3 Allocations - TD'!AB52="","",'M3 Allocations - TD'!AB70)</f>
        <v>375919.83719992841</v>
      </c>
      <c r="AE38" s="19">
        <f>IF('M3 Allocations - TD'!AC52="","",'M3 Allocations - TD'!AC70)</f>
        <v>300075.62636462261</v>
      </c>
      <c r="AF38" s="19">
        <f>IF('M3 Allocations - TD'!AD52="","",'M3 Allocations - TD'!AD70)</f>
        <v>293923.98139317043</v>
      </c>
      <c r="AG38" s="19">
        <f>IF('M3 Allocations - TD'!AE52="","",'M3 Allocations - TD'!AE70)</f>
        <v>350815.31218641665</v>
      </c>
      <c r="AH38" s="19">
        <f>IF('M3 Allocations - TD'!AF52="","",'M3 Allocations - TD'!AF70)</f>
        <v>415012.49945076351</v>
      </c>
      <c r="AI38" s="19">
        <f>IF('M3 Allocations - TD'!AG52="","",'M3 Allocations - TD'!AG70)</f>
        <v>415043.37829811877</v>
      </c>
      <c r="AJ38" s="19">
        <f>IF('M3 Allocations - TD'!AH52="","",'M3 Allocations - TD'!AH70)</f>
        <v>419425.17682734353</v>
      </c>
      <c r="AK38" s="19">
        <f>IF('M3 Allocations - TD'!AI52="","",'M3 Allocations - TD'!AI70)</f>
        <v>350351.57477839955</v>
      </c>
      <c r="AL38" s="19">
        <f>IF('M3 Allocations - TD'!AJ52="","",'M3 Allocations - TD'!AJ70)</f>
        <v>312397.32107489841</v>
      </c>
      <c r="AM38" s="19">
        <f>IF('M3 Allocations - TD'!AK52="","",'M3 Allocations - TD'!AK70)</f>
        <v>355639.37645809754</v>
      </c>
      <c r="AN38" s="19">
        <f>IF('M3 Allocations - TD'!AL52="","",'M3 Allocations - TD'!AL70)</f>
        <v>419510.42236398638</v>
      </c>
      <c r="AO38" s="19">
        <f>IF('M3 Allocations - TD'!AM52="","",'M3 Allocations - TD'!AM70)</f>
        <v>345889.73802590865</v>
      </c>
      <c r="AP38" s="19">
        <f>IF('M3 Allocations - TD'!AN52="","",'M3 Allocations - TD'!AN70)</f>
        <v>199586.56344967708</v>
      </c>
      <c r="AQ38" s="19">
        <f>IF('M3 Allocations - TD'!AO52="","",'M3 Allocations - TD'!AO70)</f>
        <v>176831.15319493209</v>
      </c>
      <c r="AR38" s="19">
        <f>IF('M3 Allocations - TD'!AP52="","",'M3 Allocations - TD'!AP70)</f>
        <v>171543.19774187819</v>
      </c>
      <c r="AS38" s="19">
        <f>IF('M3 Allocations - TD'!AQ52="","",'M3 Allocations - TD'!AQ70)</f>
        <v>199615.15184616181</v>
      </c>
      <c r="AT38" s="19">
        <f>IF('M3 Allocations - TD'!AR52="","",'M3 Allocations - TD'!AR70)</f>
        <v>238634.42662698543</v>
      </c>
      <c r="AU38" s="19">
        <f>IF('M3 Allocations - TD'!AS52="","",'M3 Allocations - TD'!AS70)</f>
        <v>233703.41244781748</v>
      </c>
      <c r="AV38" s="19">
        <f>IF('M3 Allocations - TD'!AT52="","",'M3 Allocations - TD'!AT70)</f>
        <v>214332.64423371092</v>
      </c>
      <c r="AW38" s="19">
        <f>IF('M3 Allocations - TD'!AU52="","",'M3 Allocations - TD'!AU70)</f>
        <v>176304.098950004</v>
      </c>
      <c r="AX38" s="19">
        <f>IF('M3 Allocations - TD'!AV52="","",'M3 Allocations - TD'!AV70)</f>
        <v>167898.42293823551</v>
      </c>
      <c r="AY38" s="19">
        <f>IF('M3 Allocations - TD'!AW52="","",'M3 Allocations - TD'!AW70)</f>
        <v>208742.33055279544</v>
      </c>
      <c r="AZ38" s="19">
        <f>IF('M3 Allocations - TD'!AX52="","",'M3 Allocations - TD'!AX70)</f>
        <v>238776.54615310833</v>
      </c>
      <c r="BA38" s="19">
        <f>IF('M3 Allocations - TD'!AY52="","",'M3 Allocations - TD'!AY70)</f>
        <v>183122.16294648265</v>
      </c>
      <c r="BB38" s="19">
        <f>IF('M3 Allocations - TD'!AZ52="","",'M3 Allocations - TD'!AZ70)</f>
        <v>132175.3110263155</v>
      </c>
      <c r="BC38" s="19">
        <f>IF('M3 Allocations - TD'!BA52="","",'M3 Allocations - TD'!BA70)</f>
        <v>121716.31880553745</v>
      </c>
      <c r="BD38" s="19">
        <f>IF('M3 Allocations - TD'!BB52="","",'M3 Allocations - TD'!BB70)</f>
        <v>112859.12458406219</v>
      </c>
      <c r="BE38" s="19">
        <f>IF('M3 Allocations - TD'!BC52="","",'M3 Allocations - TD'!BC70)</f>
        <v>135711.65425614105</v>
      </c>
      <c r="BF38" s="19">
        <f>IF('M3 Allocations - TD'!BD52="","",'M3 Allocations - TD'!BD70)</f>
        <v>157092.67328108675</v>
      </c>
      <c r="BG38" s="19">
        <f>IF('M3 Allocations - TD'!BE52="","",'M3 Allocations - TD'!BE70)</f>
        <v>160402.84864590407</v>
      </c>
      <c r="BH38" s="19">
        <f>IF('M3 Allocations - TD'!BF52="","",'M3 Allocations - TD'!BF70)</f>
        <v>155339.15490700732</v>
      </c>
      <c r="BI38" s="19">
        <f>IF('M3 Allocations - TD'!BG52="","",'M3 Allocations - TD'!BG70)</f>
        <v>131677.62985970045</v>
      </c>
      <c r="BJ38" s="19">
        <f>IF('M3 Allocations - TD'!BH52="","",'M3 Allocations - TD'!BH70)</f>
        <v>120918.22269657685</v>
      </c>
      <c r="BK38" s="19">
        <f>IF('M3 Allocations - TD'!BI52="","",'M3 Allocations - TD'!BI70)</f>
        <v>138127.82733634952</v>
      </c>
      <c r="BL38" s="19">
        <f>IF('M3 Allocations - TD'!BJ52="","",'M3 Allocations - TD'!BJ70)</f>
        <v>166136.60452411827</v>
      </c>
      <c r="BM38" s="19">
        <f>IF('M3 Allocations - TD'!BK52="","",'M3 Allocations - TD'!BK70)</f>
        <v>176808.40654881706</v>
      </c>
      <c r="BN38" s="19">
        <f>IF('M3 Allocations - TD'!BL52="","",'M3 Allocations - TD'!BL70)</f>
        <v>164534.37132568457</v>
      </c>
      <c r="BO38" s="19">
        <f>IF('M3 Allocations - TD'!BM52="","",'M3 Allocations - TD'!BM70)</f>
        <v>160123.77436654735</v>
      </c>
      <c r="BP38" s="19">
        <f>IF('M3 Allocations - TD'!BN52="","",'M3 Allocations - TD'!BN70)</f>
        <v>152714.47419511774</v>
      </c>
      <c r="BQ38" s="19">
        <f>IF('M3 Allocations - TD'!BO52="","",'M3 Allocations - TD'!BO70)</f>
        <v>186653.21437213788</v>
      </c>
      <c r="BR38" s="19">
        <f>IF('M3 Allocations - TD'!BP52="","",'M3 Allocations - TD'!BP70)</f>
        <v>223027.91014690811</v>
      </c>
      <c r="BS38" s="19">
        <f>IF('M3 Allocations - TD'!BQ52="","",'M3 Allocations - TD'!BQ70)</f>
        <v>209338.96303343435</v>
      </c>
      <c r="BT38" s="19">
        <f>IF('M3 Allocations - TD'!BR52="","",'M3 Allocations - TD'!BR70)</f>
        <v>203862.2764313856</v>
      </c>
      <c r="BU38" s="19">
        <f>IF('M3 Allocations - TD'!BS52="","",'M3 Allocations - TD'!BS70)</f>
        <v>172077.40616793602</v>
      </c>
      <c r="BV38" s="19">
        <f>IF('M3 Allocations - TD'!BT52="","",'M3 Allocations - TD'!BT70)</f>
        <v>154119.00803198112</v>
      </c>
      <c r="BW38" s="19">
        <f>IF('M3 Allocations - TD'!BU52="","",'M3 Allocations - TD'!BU70)</f>
        <v>188271.271927669</v>
      </c>
      <c r="BX38" s="19">
        <f>IF('M3 Allocations - TD'!BV52="","",'M3 Allocations - TD'!BV70)</f>
        <v>227875.21451036879</v>
      </c>
      <c r="BY38" s="19">
        <f>IF('M3 Allocations - TD'!BW52="","",'M3 Allocations - TD'!BW70)</f>
        <v>164570.28784107859</v>
      </c>
      <c r="BZ38" s="19">
        <f>IF('M3 Allocations - TD'!BX52="","",'M3 Allocations - TD'!BX70)</f>
        <v>78771.10071875107</v>
      </c>
      <c r="CA38" s="19">
        <f>IF('M3 Allocations - TD'!BY52="","",'M3 Allocations - TD'!BY70)</f>
        <v>61542.81978987663</v>
      </c>
      <c r="CB38" s="19">
        <f>IF('M3 Allocations - TD'!BZ52="","",'M3 Allocations - TD'!BZ70)</f>
        <v>60610.568515637875</v>
      </c>
      <c r="CC38" s="19">
        <f>IF('M3 Allocations - TD'!CA52="","",'M3 Allocations - TD'!CA70)</f>
        <v>69894.71397450025</v>
      </c>
      <c r="CD38" s="19">
        <f>IF('M3 Allocations - TD'!CB52="","",'M3 Allocations - TD'!CB70)</f>
        <v>92020.655591629955</v>
      </c>
      <c r="CE38" s="19">
        <f>IF('M3 Allocations - TD'!CC52="","",'M3 Allocations - TD'!CC70)</f>
        <v>88784.184135456075</v>
      </c>
      <c r="CF38" s="19">
        <f>IF('M3 Allocations - TD'!CD52="","",'M3 Allocations - TD'!CD70)</f>
        <v>82149.132113006446</v>
      </c>
      <c r="CG38" s="19">
        <f>IF('M3 Allocations - TD'!CE52="","",'M3 Allocations - TD'!CE70)</f>
        <v>72897.045807957897</v>
      </c>
      <c r="CH38" s="19">
        <f>IF('M3 Allocations - TD'!CF52="","",'M3 Allocations - TD'!CF70)</f>
        <v>62573.832630793273</v>
      </c>
      <c r="CI38" s="19">
        <f>IF('M3 Allocations - TD'!CG52="","",'M3 Allocations - TD'!CG70)</f>
        <v>77336.107560002856</v>
      </c>
      <c r="CJ38" s="19">
        <f>IF('M3 Allocations - TD'!CH52="","",'M3 Allocations - TD'!CH70)</f>
        <v>86535.932644731016</v>
      </c>
    </row>
    <row r="39" spans="1:88" s="4" customFormat="1" ht="15" hidden="1" customHeight="1" outlineLevel="1" x14ac:dyDescent="0.25">
      <c r="A39" s="276"/>
      <c r="B39" s="15" t="s">
        <v>45</v>
      </c>
      <c r="C39" s="81"/>
      <c r="D39" s="81"/>
      <c r="E39" s="81"/>
      <c r="F39" s="19">
        <f>IF(F38="","",0)</f>
        <v>0</v>
      </c>
      <c r="G39" s="19">
        <f t="shared" ref="G39" si="407">IF(G38="","",0)</f>
        <v>0</v>
      </c>
      <c r="H39" s="19">
        <f t="shared" ref="H39" si="408">IF(H38="","",0)</f>
        <v>0</v>
      </c>
      <c r="I39" s="19">
        <f t="shared" ref="I39" si="409">IF(I38="","",0)</f>
        <v>0</v>
      </c>
      <c r="J39" s="19">
        <f t="shared" ref="J39" si="410">IF(J38="","",0)</f>
        <v>0</v>
      </c>
      <c r="K39" s="19">
        <f t="shared" ref="K39" si="411">IF(K38="","",0)</f>
        <v>0</v>
      </c>
      <c r="L39" s="19">
        <f t="shared" ref="L39" si="412">IF(L38="","",0)</f>
        <v>0</v>
      </c>
      <c r="M39" s="19">
        <f t="shared" ref="M39" si="413">IF(M38="","",0)</f>
        <v>0</v>
      </c>
      <c r="N39" s="19">
        <f t="shared" ref="N39" si="414">IF(N38="","",0)</f>
        <v>0</v>
      </c>
      <c r="O39" s="19">
        <f t="shared" ref="O39" si="415">IF(O38="","",0)</f>
        <v>0</v>
      </c>
      <c r="P39" s="19">
        <f t="shared" ref="P39" si="416">IF(P38="","",0)</f>
        <v>0</v>
      </c>
      <c r="Q39" s="19">
        <f>IF(Q38="","",-'M3 TD amort'!C15)</f>
        <v>17996.03</v>
      </c>
      <c r="R39" s="19">
        <f>IF(R38="","",-'M3 TD amort'!D15)</f>
        <v>17828.82</v>
      </c>
      <c r="S39" s="19">
        <f>IF(S38="","",-'M3 TD amort'!E15)</f>
        <v>13698.34</v>
      </c>
      <c r="T39" s="19">
        <f>IF(T38="","",-'M3 TD amort'!F15)</f>
        <v>12419.68</v>
      </c>
      <c r="U39" s="19">
        <f>IF(U38="","",-'M3 TD amort'!G15)</f>
        <v>15595.43</v>
      </c>
      <c r="V39" s="19">
        <f>IF(V38="","",-'M3 TD amort'!H15)</f>
        <v>19419.18</v>
      </c>
      <c r="W39" s="19">
        <f>IF(W38="","",-'M3 TD amort'!I15)</f>
        <v>18927.88</v>
      </c>
      <c r="X39" s="19">
        <f>IF(X38="","",-'M3 TD amort'!J15)</f>
        <v>18118.43</v>
      </c>
      <c r="Y39" s="19">
        <f>IF(Y38="","",-'M3 TD amort'!K15)</f>
        <v>14686.23</v>
      </c>
      <c r="Z39" s="19">
        <f>IF(Z38="","",-'M3 TD amort'!L15)</f>
        <v>14677.84</v>
      </c>
      <c r="AA39" s="19">
        <f>IF(AA38="","",-'M3 TD amort'!M15)</f>
        <v>16957.169999999998</v>
      </c>
      <c r="AB39" s="19">
        <f>IF(AB38="","",-'M3 TD amort'!N15)</f>
        <v>20227.96</v>
      </c>
      <c r="AC39" s="19">
        <f>IF(AC38="","",-'M3 TD amort'!O15)</f>
        <v>-27075.87</v>
      </c>
      <c r="AD39" s="19">
        <f>IF(AD38="","",-'M3 TD amort'!P15)</f>
        <v>-41869.919999999998</v>
      </c>
      <c r="AE39" s="19">
        <f>IF(AE38="","",-'M3 TD amort'!Q15)</f>
        <v>-33303.57</v>
      </c>
      <c r="AF39" s="19">
        <f>IF(AF38="","",-'M3 TD amort'!R15)</f>
        <v>-32560.29</v>
      </c>
      <c r="AG39" s="19">
        <f>IF(AG38="","",-'M3 TD amort'!S15)</f>
        <v>-38841.39</v>
      </c>
      <c r="AH39" s="19">
        <f>IF(AH38="","",-'M3 TD amort'!T15)</f>
        <v>-45977.98</v>
      </c>
      <c r="AI39" s="19">
        <f>IF(AI38="","",-'M3 TD amort'!U15)</f>
        <v>-45995.38</v>
      </c>
      <c r="AJ39" s="19">
        <f>IF(AJ38="","",-'M3 TD amort'!V15)</f>
        <v>-46474.38</v>
      </c>
      <c r="AK39" s="19">
        <f>IF(AK38="","",-'M3 TD amort'!W15)</f>
        <v>-38765.449999999997</v>
      </c>
      <c r="AL39" s="19">
        <f>IF(AL38="","",-'M3 TD amort'!X15)</f>
        <v>-34659.79</v>
      </c>
      <c r="AM39" s="19">
        <f>IF(AM38="","",-'M3 TD amort'!Y15)</f>
        <v>-39489.65</v>
      </c>
      <c r="AN39" s="19">
        <f>IF(AN38="","",-'M3 TD amort'!Z15)</f>
        <v>-46633.93</v>
      </c>
      <c r="AO39" s="19">
        <f>IF(AO38="","",-'M3 TD amort'!AA15)</f>
        <v>59971.88</v>
      </c>
      <c r="AP39" s="19">
        <f>IF(AP38="","",-'M3 TD amort'!AB15)</f>
        <v>34460.21</v>
      </c>
      <c r="AQ39" s="19">
        <f>IF(AQ38="","",-'M3 TD amort'!AC15)</f>
        <v>30482.11</v>
      </c>
      <c r="AR39" s="19">
        <f>IF(AR38="","",-'M3 TD amort'!AD15)</f>
        <v>29523.43</v>
      </c>
      <c r="AS39" s="19">
        <f>IF(AS38="","",-'M3 TD amort'!AE15)</f>
        <v>34337.879999999997</v>
      </c>
      <c r="AT39" s="19">
        <f>IF(AT38="","",-'M3 TD amort'!AF15)</f>
        <v>41091.919999999998</v>
      </c>
      <c r="AU39" s="19">
        <f>IF(AU38="","",-'M3 TD amort'!AG15)</f>
        <v>40250.86</v>
      </c>
      <c r="AV39" s="19">
        <f>IF(AV38="","",-'M3 TD amort'!AH15)</f>
        <v>36905.46</v>
      </c>
      <c r="AW39" s="19">
        <f>IF(AW38="","",-'M3 TD amort'!AI15)</f>
        <v>30354.95</v>
      </c>
      <c r="AX39" s="19">
        <f>IF(AX38="","",-'M3 TD amort'!AJ15)</f>
        <v>28938.2</v>
      </c>
      <c r="AY39" s="19">
        <f>IF(AY38="","",-'M3 TD amort'!AK15)</f>
        <v>36146.32</v>
      </c>
      <c r="AZ39" s="19">
        <f>IF(AZ38="","",-'M3 TD amort'!AL15)</f>
        <v>41356.58</v>
      </c>
      <c r="BA39" s="19">
        <f>IF(BA38="","",-'M3 TD amort'!AM15)</f>
        <v>51287.19</v>
      </c>
      <c r="BB39" s="19">
        <f>IF(BB38="","",-'M3 TD amort'!AN15)</f>
        <v>37406.94</v>
      </c>
      <c r="BC39" s="19">
        <f>IF(BC38="","",-'M3 TD amort'!AO15)</f>
        <v>34363.08</v>
      </c>
      <c r="BD39" s="19">
        <f>IF(BD38="","",-'M3 TD amort'!AP15)</f>
        <v>31707.18</v>
      </c>
      <c r="BE39" s="19">
        <f>IF(BE38="","",-'M3 TD amort'!AQ15)</f>
        <v>38111.519999999997</v>
      </c>
      <c r="BF39" s="19">
        <f>IF(BF38="","",-'M3 TD amort'!AR15)</f>
        <v>44222.96</v>
      </c>
      <c r="BG39" s="19">
        <f>IF(BG38="","",-'M3 TD amort'!AS15)</f>
        <v>45175.25</v>
      </c>
      <c r="BH39" s="19">
        <f>IF(BH38="","",-'M3 TD amort'!AT15)</f>
        <v>43726.97</v>
      </c>
      <c r="BI39" s="19">
        <f>IF(BI38="","",-'M3 TD amort'!AU15)</f>
        <v>37032.21</v>
      </c>
      <c r="BJ39" s="19">
        <f>IF(BJ38="","",-'M3 TD amort'!AV15)</f>
        <v>34046.879999999997</v>
      </c>
      <c r="BK39" s="19">
        <f>IF(BK38="","",-'M3 TD amort'!AW15)</f>
        <v>39135.71</v>
      </c>
      <c r="BL39" s="19">
        <f>IF(BL38="","",-'M3 TD amort'!AX15)</f>
        <v>47215.65</v>
      </c>
      <c r="BM39" s="19">
        <f>IF(BM38="","",-'M3 TD amort'!AY15)</f>
        <v>15100.77</v>
      </c>
      <c r="BN39" s="19">
        <f>IF(BN38="","",-'M3 TD amort'!AZ15)</f>
        <v>13789.73</v>
      </c>
      <c r="BO39" s="19">
        <f>IF(BO38="","",-'M3 TD amort'!BA15)</f>
        <v>13405.68</v>
      </c>
      <c r="BP39" s="19">
        <f>IF(BP38="","",-'M3 TD amort'!BB15)</f>
        <v>12767</v>
      </c>
      <c r="BQ39" s="19">
        <f>IF(BQ38="","",-'M3 TD amort'!BC15)</f>
        <v>15604.25</v>
      </c>
      <c r="BR39" s="19">
        <f>IF(BR38="","",-'M3 TD amort'!BD15)</f>
        <v>18658.240000000002</v>
      </c>
      <c r="BS39" s="19">
        <f>IF(BS38="","",-'M3 TD amort'!BE15)</f>
        <v>17510.7</v>
      </c>
      <c r="BT39" s="19">
        <f>IF(BT38="","",-'M3 TD amort'!BF15)</f>
        <v>17048.64</v>
      </c>
      <c r="BU39" s="19">
        <f>IF(BU38="","",-'M3 TD amort'!BG15)</f>
        <v>14381.12</v>
      </c>
      <c r="BV39" s="19">
        <f>IF(BV38="","",-'M3 TD amort'!BH15)</f>
        <v>12880.57</v>
      </c>
      <c r="BW39" s="19">
        <f>IF(BW38="","",-'M3 TD amort'!BI15)</f>
        <v>15768.3</v>
      </c>
      <c r="BX39" s="19">
        <f>IF(BX38="","",-'M3 TD amort'!BJ15)</f>
        <v>19106.68</v>
      </c>
      <c r="BY39" s="19">
        <f>IF(BY38="","",-'M3 TD amort'!$BL$15)</f>
        <v>-9609.5595446093339</v>
      </c>
      <c r="BZ39" s="19">
        <f>IF(BZ38="","",-'M3 TD amort'!$BL$15)</f>
        <v>-9609.5595446093339</v>
      </c>
      <c r="CA39" s="19">
        <f>IF(CA38="","",-'M3 TD amort'!$BL$15)</f>
        <v>-9609.5595446093339</v>
      </c>
      <c r="CB39" s="19">
        <f>IF(CB38="","",-'M3 TD amort'!$BL$15)</f>
        <v>-9609.5595446093339</v>
      </c>
      <c r="CC39" s="19">
        <f>IF(CC38="","",-'M3 TD amort'!$BL$15)</f>
        <v>-9609.5595446093339</v>
      </c>
      <c r="CD39" s="19">
        <f>IF(CD38="","",-'M3 TD amort'!$BL$15)</f>
        <v>-9609.5595446093339</v>
      </c>
      <c r="CE39" s="19">
        <f>IF(CE38="","",-'M3 TD amort'!$BL$15)</f>
        <v>-9609.5595446093339</v>
      </c>
      <c r="CF39" s="19">
        <f>IF(CF38="","",-'M3 TD amort'!$BL$15)</f>
        <v>-9609.5595446093339</v>
      </c>
      <c r="CG39" s="19">
        <f>IF(CG38="","",-'M3 TD amort'!$BL$15)</f>
        <v>-9609.5595446093339</v>
      </c>
      <c r="CH39" s="19">
        <f>IF(CH38="","",-'M3 TD amort'!$BL$15)</f>
        <v>-9609.5595446093339</v>
      </c>
      <c r="CI39" s="19">
        <f>IF(CI38="","",-'M3 TD amort'!$BL$15)</f>
        <v>-9609.5595446093339</v>
      </c>
      <c r="CJ39" s="19">
        <f>IF(CJ38="","",-'M3 TD amort'!$BL$15)</f>
        <v>-9609.5595446093339</v>
      </c>
    </row>
    <row r="40" spans="1:88" s="4" customFormat="1" ht="15" hidden="1" customHeight="1" outlineLevel="1" x14ac:dyDescent="0.25">
      <c r="A40" s="276"/>
      <c r="B40" s="15" t="s">
        <v>46</v>
      </c>
      <c r="C40" s="81"/>
      <c r="D40" s="81"/>
      <c r="E40" s="81"/>
      <c r="F40" s="7">
        <f t="shared" ref="F40:M40" si="417">IF(OR(F39="",F38=""),"",F38+F39)</f>
        <v>0</v>
      </c>
      <c r="G40" s="7">
        <f t="shared" si="417"/>
        <v>0</v>
      </c>
      <c r="H40" s="7">
        <f t="shared" si="417"/>
        <v>4662.874879564878</v>
      </c>
      <c r="I40" s="7">
        <f t="shared" si="417"/>
        <v>60575.806014450071</v>
      </c>
      <c r="J40" s="7">
        <f t="shared" si="417"/>
        <v>69235.226705339766</v>
      </c>
      <c r="K40" s="7">
        <f t="shared" si="417"/>
        <v>71132.268141530934</v>
      </c>
      <c r="L40" s="7">
        <f t="shared" si="417"/>
        <v>68766.003213137257</v>
      </c>
      <c r="M40" s="7">
        <f t="shared" si="417"/>
        <v>61936.863591354115</v>
      </c>
      <c r="N40" s="7">
        <f>IF(OR(N39="",N38=""),"",N38+N39)</f>
        <v>55314.675500358826</v>
      </c>
      <c r="O40" s="7">
        <f t="shared" ref="O40:AE40" si="418">IF(OR(O39="",O38=""),"",O38+O39)</f>
        <v>64772.869833744619</v>
      </c>
      <c r="P40" s="7">
        <f t="shared" si="418"/>
        <v>69020.979330338465</v>
      </c>
      <c r="Q40" s="7">
        <f t="shared" si="418"/>
        <v>90473.707451482813</v>
      </c>
      <c r="R40" s="7">
        <f t="shared" si="418"/>
        <v>89756.848717536574</v>
      </c>
      <c r="S40" s="7">
        <f t="shared" si="418"/>
        <v>69151.791619799711</v>
      </c>
      <c r="T40" s="7">
        <f t="shared" si="418"/>
        <v>62811.426026202469</v>
      </c>
      <c r="U40" s="7">
        <f t="shared" si="418"/>
        <v>78984.928728401399</v>
      </c>
      <c r="V40" s="7">
        <f t="shared" si="418"/>
        <v>98301.035890584928</v>
      </c>
      <c r="W40" s="7">
        <f t="shared" si="418"/>
        <v>95882.907031945215</v>
      </c>
      <c r="X40" s="7">
        <f t="shared" si="418"/>
        <v>91873.818306573841</v>
      </c>
      <c r="Y40" s="7">
        <f t="shared" si="418"/>
        <v>74459.06471884952</v>
      </c>
      <c r="Z40" s="7">
        <f>IF(OR(Z39="",Z38=""),"",Z38+Z39)</f>
        <v>74250.716185864701</v>
      </c>
      <c r="AA40" s="7">
        <f t="shared" si="418"/>
        <v>85556.640346323795</v>
      </c>
      <c r="AB40" s="7">
        <f t="shared" si="418"/>
        <v>101792.69791205967</v>
      </c>
      <c r="AC40" s="7">
        <f t="shared" si="418"/>
        <v>215588.88286538466</v>
      </c>
      <c r="AD40" s="7">
        <f t="shared" si="418"/>
        <v>334049.91719992843</v>
      </c>
      <c r="AE40" s="7">
        <f t="shared" si="418"/>
        <v>266772.05636462261</v>
      </c>
      <c r="AF40" s="7">
        <f t="shared" ref="AF40:AW40" si="419">IF(OR(AF39="",AF38=""),"",AF38+AF39)</f>
        <v>261363.69139317042</v>
      </c>
      <c r="AG40" s="7">
        <f t="shared" si="419"/>
        <v>311973.92218641663</v>
      </c>
      <c r="AH40" s="7">
        <f t="shared" si="419"/>
        <v>369034.51945076353</v>
      </c>
      <c r="AI40" s="7">
        <f t="shared" si="419"/>
        <v>369047.99829811876</v>
      </c>
      <c r="AJ40" s="7">
        <f t="shared" si="419"/>
        <v>372950.79682734353</v>
      </c>
      <c r="AK40" s="7">
        <f t="shared" si="419"/>
        <v>311586.12477839953</v>
      </c>
      <c r="AL40" s="7">
        <f t="shared" si="419"/>
        <v>277737.53107489843</v>
      </c>
      <c r="AM40" s="7">
        <f t="shared" si="419"/>
        <v>316149.72645809752</v>
      </c>
      <c r="AN40" s="7">
        <f t="shared" si="419"/>
        <v>372876.49236398638</v>
      </c>
      <c r="AO40" s="7">
        <f t="shared" si="419"/>
        <v>405861.61802590865</v>
      </c>
      <c r="AP40" s="7">
        <f t="shared" si="419"/>
        <v>234046.77344967707</v>
      </c>
      <c r="AQ40" s="7">
        <f t="shared" si="419"/>
        <v>207313.26319493208</v>
      </c>
      <c r="AR40" s="7">
        <f t="shared" si="419"/>
        <v>201066.62774187818</v>
      </c>
      <c r="AS40" s="7">
        <f t="shared" si="419"/>
        <v>233953.03184616182</v>
      </c>
      <c r="AT40" s="7">
        <f t="shared" si="419"/>
        <v>279726.34662698541</v>
      </c>
      <c r="AU40" s="7">
        <f t="shared" si="419"/>
        <v>273954.27244781749</v>
      </c>
      <c r="AV40" s="7">
        <f t="shared" si="419"/>
        <v>251238.10423371091</v>
      </c>
      <c r="AW40" s="7">
        <f t="shared" si="419"/>
        <v>206659.04895000401</v>
      </c>
      <c r="AX40" s="7">
        <f t="shared" ref="AX40:AY40" si="420">IF(OR(AX39="",AX38=""),"",AX38+AX39)</f>
        <v>196836.62293823552</v>
      </c>
      <c r="AY40" s="7">
        <f t="shared" si="420"/>
        <v>244888.65055279544</v>
      </c>
      <c r="AZ40" s="7">
        <f t="shared" ref="AZ40:BA40" si="421">IF(OR(AZ39="",AZ38=""),"",AZ38+AZ39)</f>
        <v>280133.12615310831</v>
      </c>
      <c r="BA40" s="7">
        <f t="shared" si="421"/>
        <v>234409.35294648266</v>
      </c>
      <c r="BB40" s="7">
        <f t="shared" ref="BB40:BC40" si="422">IF(OR(BB39="",BB38=""),"",BB38+BB39)</f>
        <v>169582.2510263155</v>
      </c>
      <c r="BC40" s="7">
        <f t="shared" si="422"/>
        <v>156079.39880553744</v>
      </c>
      <c r="BD40" s="7">
        <f t="shared" ref="BD40:BE40" si="423">IF(OR(BD39="",BD38=""),"",BD38+BD39)</f>
        <v>144566.30458406219</v>
      </c>
      <c r="BE40" s="7">
        <f t="shared" si="423"/>
        <v>173823.17425614104</v>
      </c>
      <c r="BF40" s="7">
        <f t="shared" ref="BF40:BG40" si="424">IF(OR(BF39="",BF38=""),"",BF38+BF39)</f>
        <v>201315.63328108675</v>
      </c>
      <c r="BG40" s="7">
        <f t="shared" si="424"/>
        <v>205578.09864590407</v>
      </c>
      <c r="BH40" s="7">
        <f t="shared" ref="BH40:BI40" si="425">IF(OR(BH39="",BH38=""),"",BH38+BH39)</f>
        <v>199066.12490700732</v>
      </c>
      <c r="BI40" s="7">
        <f t="shared" si="425"/>
        <v>168709.83985970044</v>
      </c>
      <c r="BJ40" s="7">
        <f t="shared" ref="BJ40:BK40" si="426">IF(OR(BJ39="",BJ38=""),"",BJ38+BJ39)</f>
        <v>154965.10269657685</v>
      </c>
      <c r="BK40" s="7">
        <f t="shared" si="426"/>
        <v>177263.53733634952</v>
      </c>
      <c r="BL40" s="7">
        <f t="shared" ref="BL40:BM40" si="427">IF(OR(BL39="",BL38=""),"",BL38+BL39)</f>
        <v>213352.25452411827</v>
      </c>
      <c r="BM40" s="7">
        <f t="shared" si="427"/>
        <v>191909.17654881705</v>
      </c>
      <c r="BN40" s="7">
        <f t="shared" ref="BN40:BO40" si="428">IF(OR(BN39="",BN38=""),"",BN38+BN39)</f>
        <v>178324.10132568458</v>
      </c>
      <c r="BO40" s="7">
        <f t="shared" si="428"/>
        <v>173529.45436654735</v>
      </c>
      <c r="BP40" s="7">
        <f t="shared" ref="BP40:BQ40" si="429">IF(OR(BP39="",BP38=""),"",BP38+BP39)</f>
        <v>165481.47419511774</v>
      </c>
      <c r="BQ40" s="7">
        <f t="shared" si="429"/>
        <v>202257.46437213788</v>
      </c>
      <c r="BR40" s="7">
        <f t="shared" ref="BR40:BS40" si="430">IF(OR(BR39="",BR38=""),"",BR38+BR39)</f>
        <v>241686.1501469081</v>
      </c>
      <c r="BS40" s="7">
        <f t="shared" si="430"/>
        <v>226849.66303343436</v>
      </c>
      <c r="BT40" s="7">
        <f t="shared" ref="BT40:BU40" si="431">IF(OR(BT39="",BT38=""),"",BT38+BT39)</f>
        <v>220910.91643138562</v>
      </c>
      <c r="BU40" s="7">
        <f t="shared" si="431"/>
        <v>186458.52616793601</v>
      </c>
      <c r="BV40" s="7">
        <f t="shared" ref="BV40:BW40" si="432">IF(OR(BV39="",BV38=""),"",BV38+BV39)</f>
        <v>166999.57803198113</v>
      </c>
      <c r="BW40" s="7">
        <f t="shared" si="432"/>
        <v>204039.57192766899</v>
      </c>
      <c r="BX40" s="7">
        <f t="shared" ref="BX40:BY40" si="433">IF(OR(BX39="",BX38=""),"",BX38+BX39)</f>
        <v>246981.89451036879</v>
      </c>
      <c r="BY40" s="7">
        <f t="shared" si="433"/>
        <v>154960.72829646926</v>
      </c>
      <c r="BZ40" s="7">
        <f t="shared" ref="BZ40:CA40" si="434">IF(OR(BZ39="",BZ38=""),"",BZ38+BZ39)</f>
        <v>69161.541174141734</v>
      </c>
      <c r="CA40" s="7">
        <f t="shared" si="434"/>
        <v>51933.260245267295</v>
      </c>
      <c r="CB40" s="7">
        <f t="shared" ref="CB40:CC40" si="435">IF(OR(CB39="",CB38=""),"",CB38+CB39)</f>
        <v>51001.008971028539</v>
      </c>
      <c r="CC40" s="7">
        <f t="shared" si="435"/>
        <v>60285.154429890914</v>
      </c>
      <c r="CD40" s="7">
        <f t="shared" ref="CD40:CE40" si="436">IF(OR(CD39="",CD38=""),"",CD38+CD39)</f>
        <v>82411.096047020619</v>
      </c>
      <c r="CE40" s="7">
        <f t="shared" si="436"/>
        <v>79174.624590846739</v>
      </c>
      <c r="CF40" s="7">
        <f t="shared" ref="CF40:CG40" si="437">IF(OR(CF39="",CF38=""),"",CF38+CF39)</f>
        <v>72539.57256839711</v>
      </c>
      <c r="CG40" s="7">
        <f t="shared" si="437"/>
        <v>63287.486263348561</v>
      </c>
      <c r="CH40" s="7">
        <f t="shared" ref="CH40:CI40" si="438">IF(OR(CH39="",CH38=""),"",CH38+CH39)</f>
        <v>52964.273086183937</v>
      </c>
      <c r="CI40" s="7">
        <f t="shared" si="438"/>
        <v>67726.54801539352</v>
      </c>
      <c r="CJ40" s="7">
        <f t="shared" ref="CJ40" si="439">IF(OR(CJ39="",CJ38=""),"",CJ38+CJ39)</f>
        <v>76926.37310012168</v>
      </c>
    </row>
    <row r="41" spans="1:88" s="4" customFormat="1" hidden="1" outlineLevel="1" x14ac:dyDescent="0.25">
      <c r="A41" s="276"/>
      <c r="B41" s="15" t="s">
        <v>12</v>
      </c>
      <c r="C41" s="81"/>
      <c r="D41" s="81"/>
      <c r="E41" s="81"/>
      <c r="F41" s="7">
        <f t="shared" ref="F41:M41" si="440">IF(OR(F38="",F37=""),"",F37-F38)</f>
        <v>0.34412602678174997</v>
      </c>
      <c r="G41" s="7">
        <f t="shared" si="440"/>
        <v>593.85341007321881</v>
      </c>
      <c r="H41" s="7">
        <f t="shared" si="440"/>
        <v>3705.6477164422931</v>
      </c>
      <c r="I41" s="7">
        <f t="shared" si="440"/>
        <v>-36933.991833043365</v>
      </c>
      <c r="J41" s="7">
        <f t="shared" si="440"/>
        <v>-21571.365474004102</v>
      </c>
      <c r="K41" s="7">
        <f t="shared" si="440"/>
        <v>-17718.260509192958</v>
      </c>
      <c r="L41" s="7">
        <f t="shared" si="440"/>
        <v>3197.5668888877699</v>
      </c>
      <c r="M41" s="7">
        <f t="shared" si="440"/>
        <v>28.546596919208241</v>
      </c>
      <c r="N41" s="7">
        <f>IF(OR(N40="",N37=""),"",N37-N40)</f>
        <v>9386.3233492283034</v>
      </c>
      <c r="O41" s="7">
        <f t="shared" ref="O41:AE41" si="441">IF(OR(O40="",O37=""),"",O37-O40)</f>
        <v>17183.31946097999</v>
      </c>
      <c r="P41" s="7">
        <f t="shared" si="441"/>
        <v>44970.013947199957</v>
      </c>
      <c r="Q41" s="7">
        <f>IF(OR(Q40="",Q37=""),"",Q37-Q40)</f>
        <v>-2430.5599676319835</v>
      </c>
      <c r="R41" s="7">
        <f t="shared" si="441"/>
        <v>13884.756391725808</v>
      </c>
      <c r="S41" s="7">
        <f t="shared" si="441"/>
        <v>-24656.123165404984</v>
      </c>
      <c r="T41" s="7">
        <f t="shared" si="441"/>
        <v>9636.0532806900083</v>
      </c>
      <c r="U41" s="7">
        <f t="shared" si="441"/>
        <v>21257.212078134995</v>
      </c>
      <c r="V41" s="7">
        <f t="shared" si="441"/>
        <v>46513.852892219438</v>
      </c>
      <c r="W41" s="7">
        <f t="shared" si="441"/>
        <v>17963.75752109506</v>
      </c>
      <c r="X41" s="7">
        <f t="shared" si="441"/>
        <v>35839.24270934696</v>
      </c>
      <c r="Y41" s="7">
        <f t="shared" si="441"/>
        <v>28485.142644444233</v>
      </c>
      <c r="Z41" s="7">
        <f>IF(OR(Z40="",Z37=""),"",Z37-Z40)</f>
        <v>24369.036902396678</v>
      </c>
      <c r="AA41" s="7">
        <f t="shared" si="441"/>
        <v>30934.858333323748</v>
      </c>
      <c r="AB41" s="7">
        <f t="shared" si="441"/>
        <v>94766.967284778366</v>
      </c>
      <c r="AC41" s="7">
        <f t="shared" si="441"/>
        <v>-72398.439502936497</v>
      </c>
      <c r="AD41" s="7">
        <f t="shared" si="441"/>
        <v>-168163.96020115109</v>
      </c>
      <c r="AE41" s="7">
        <f t="shared" si="441"/>
        <v>-98757.116365664348</v>
      </c>
      <c r="AF41" s="7">
        <f t="shared" ref="AF41:AV41" si="442">IF(OR(AF40="",AF37=""),"",AF37-AF40)</f>
        <v>-36655.120222931961</v>
      </c>
      <c r="AG41" s="7">
        <f t="shared" si="442"/>
        <v>23011.089724145306</v>
      </c>
      <c r="AH41" s="7">
        <f t="shared" si="442"/>
        <v>80832.667738781718</v>
      </c>
      <c r="AI41" s="7">
        <f t="shared" si="442"/>
        <v>23095.16047831031</v>
      </c>
      <c r="AJ41" s="7">
        <f t="shared" si="442"/>
        <v>-35198.984828463173</v>
      </c>
      <c r="AK41" s="7">
        <f t="shared" si="442"/>
        <v>-63792.355629800499</v>
      </c>
      <c r="AL41" s="7">
        <f t="shared" si="442"/>
        <v>-55475.392619436316</v>
      </c>
      <c r="AM41" s="7">
        <f t="shared" si="442"/>
        <v>-66640.240037982177</v>
      </c>
      <c r="AN41" s="7">
        <f t="shared" si="442"/>
        <v>-50931.801916664524</v>
      </c>
      <c r="AO41" s="7">
        <f t="shared" si="442"/>
        <v>-158898.86501364034</v>
      </c>
      <c r="AP41" s="7">
        <f t="shared" si="442"/>
        <v>-133201.18728040846</v>
      </c>
      <c r="AQ41" s="7">
        <f t="shared" si="442"/>
        <v>-79890.76879332996</v>
      </c>
      <c r="AR41" s="7">
        <f t="shared" si="442"/>
        <v>-9595.6217222051346</v>
      </c>
      <c r="AS41" s="7">
        <f t="shared" si="442"/>
        <v>28729.736987736484</v>
      </c>
      <c r="AT41" s="7">
        <f t="shared" si="442"/>
        <v>74462.436345896509</v>
      </c>
      <c r="AU41" s="7">
        <f t="shared" si="442"/>
        <v>17839.268968651537</v>
      </c>
      <c r="AV41" s="7">
        <f t="shared" si="442"/>
        <v>36764.799759755144</v>
      </c>
      <c r="AW41" s="108">
        <f>IF(OR(AW40="",AW37=""),"",AW37-AW40)+AW36</f>
        <v>-3842.6495508213702</v>
      </c>
      <c r="AX41" s="7">
        <f t="shared" ref="AX41:AY41" si="443">IF(OR(AX40="",AX37=""),"",AX37-AX40)</f>
        <v>-47847.905104756297</v>
      </c>
      <c r="AY41" s="7">
        <f t="shared" si="443"/>
        <v>-78505.313670210482</v>
      </c>
      <c r="AZ41" s="7">
        <f t="shared" ref="AZ41:BA41" si="444">IF(OR(AZ40="",AZ37=""),"",AZ37-AZ40)</f>
        <v>-49708.151109466475</v>
      </c>
      <c r="BA41" s="7">
        <f t="shared" si="444"/>
        <v>-67141.534248695854</v>
      </c>
      <c r="BB41" s="7">
        <f t="shared" ref="BB41:BC41" si="445">IF(OR(BB40="",BB37=""),"",BB37-BB40)</f>
        <v>18974.267820053821</v>
      </c>
      <c r="BC41" s="7">
        <f t="shared" si="445"/>
        <v>51093.330617308035</v>
      </c>
      <c r="BD41" s="7">
        <f t="shared" ref="BD41:BE41" si="446">IF(OR(BD40="",BD37=""),"",BD37-BD40)</f>
        <v>137510.72145895119</v>
      </c>
      <c r="BE41" s="7">
        <f t="shared" si="446"/>
        <v>211085.08009668105</v>
      </c>
      <c r="BF41" s="7">
        <f t="shared" ref="BF41:BG41" si="447">IF(OR(BF40="",BF37=""),"",BF37-BF40)</f>
        <v>-61578.432023932633</v>
      </c>
      <c r="BG41" s="7">
        <f t="shared" si="447"/>
        <v>-79596.662601850665</v>
      </c>
      <c r="BH41" s="7">
        <f t="shared" ref="BH41:BI41" si="448">IF(OR(BH40="",BH37=""),"",BH37-BH40)</f>
        <v>-81885.495228034677</v>
      </c>
      <c r="BI41" s="7">
        <f t="shared" si="448"/>
        <v>-84939.862897314379</v>
      </c>
      <c r="BJ41" s="7">
        <f t="shared" ref="BJ41:BK41" si="449">IF(OR(BJ40="",BJ37=""),"",BJ37-BJ40)</f>
        <v>-68339.930941902916</v>
      </c>
      <c r="BK41" s="7">
        <f t="shared" si="449"/>
        <v>-73504.100014453637</v>
      </c>
      <c r="BL41" s="7">
        <f t="shared" ref="BL41:BM41" si="450">IF(OR(BL40="",BL37=""),"",BL37-BL40)</f>
        <v>-59978.711267731793</v>
      </c>
      <c r="BM41" s="7">
        <f t="shared" si="450"/>
        <v>-85134.121939437216</v>
      </c>
      <c r="BN41" s="7">
        <f t="shared" ref="BN41:BO41" si="451">IF(OR(BN40="",BN37=""),"",BN37-BN40)</f>
        <v>-57684.52537379878</v>
      </c>
      <c r="BO41" s="7">
        <f t="shared" si="451"/>
        <v>-40254.905158226407</v>
      </c>
      <c r="BP41" s="7">
        <f t="shared" ref="BP41:BQ41" si="452">IF(OR(BP40="",BP37=""),"",BP37-BP40)</f>
        <v>13369.094321838784</v>
      </c>
      <c r="BQ41" s="7">
        <f t="shared" si="452"/>
        <v>73661.308478038321</v>
      </c>
      <c r="BR41" s="7">
        <f t="shared" ref="BR41:BS41" si="453">IF(OR(BR40="",BR37=""),"",BR37-BR40)</f>
        <v>118677.87979135648</v>
      </c>
      <c r="BS41" s="7">
        <f t="shared" si="453"/>
        <v>89208.261499824526</v>
      </c>
      <c r="BT41" s="7">
        <f t="shared" ref="BT41:BU41" si="454">IF(OR(BT40="",BT37=""),"",BT37-BT40)</f>
        <v>50105.490983748168</v>
      </c>
      <c r="BU41" s="7">
        <f t="shared" si="454"/>
        <v>-13212.991295364714</v>
      </c>
      <c r="BV41" s="7">
        <f t="shared" ref="BV41:BW41" si="455">IF(OR(BV40="",BV37=""),"",BV37-BV40)</f>
        <v>-6617.6257463076618</v>
      </c>
      <c r="BW41" s="7">
        <f t="shared" si="455"/>
        <v>-25213.249692305864</v>
      </c>
      <c r="BX41" s="7">
        <f t="shared" ref="BX41:BY41" si="456">IF(OR(BX40="",BX37=""),"",BX37-BX40)</f>
        <v>-15761.433247068577</v>
      </c>
      <c r="BY41" s="7">
        <f t="shared" si="456"/>
        <v>12063.846922707366</v>
      </c>
      <c r="BZ41" s="7">
        <f t="shared" ref="BZ41:CA41" si="457">IF(OR(BZ40="",BZ37=""),"",BZ37-BZ40)</f>
        <v>113118.28648026708</v>
      </c>
      <c r="CA41" s="7">
        <f t="shared" si="457"/>
        <v>142485.86920423937</v>
      </c>
      <c r="CB41" s="7">
        <f t="shared" ref="CB41:CC41" si="458">IF(OR(CB40="",CB37=""),"",CB37-CB40)</f>
        <v>201614.49735099135</v>
      </c>
      <c r="CC41" s="7">
        <f t="shared" si="458"/>
        <v>-646.59450196290709</v>
      </c>
      <c r="CD41" s="7">
        <f t="shared" ref="CD41:CE41" si="459">IF(OR(CD40="",CD37=""),"",CD37-CD40)</f>
        <v>-27827.021201540025</v>
      </c>
      <c r="CE41" s="7">
        <f t="shared" si="459"/>
        <v>-33235.917098706872</v>
      </c>
      <c r="CF41" s="7">
        <f t="shared" ref="CF41:CG41" si="460">IF(OR(CF40="",CF37=""),"",CF37-CF40)</f>
        <v>-33415.313395686797</v>
      </c>
      <c r="CG41" s="7">
        <f t="shared" si="460"/>
        <v>-35831.401491114288</v>
      </c>
      <c r="CH41" s="7">
        <f t="shared" ref="CH41:CI41" si="461">IF(OR(CH40="",CH37=""),"",CH37-CH40)</f>
        <v>-27553.429113484257</v>
      </c>
      <c r="CI41" s="7">
        <f t="shared" si="461"/>
        <v>-39097.24595259552</v>
      </c>
      <c r="CJ41" s="7">
        <f t="shared" ref="CJ41" si="462">IF(OR(CJ40="",CJ37=""),"",CJ37-CJ40)</f>
        <v>-47880.54848161964</v>
      </c>
    </row>
    <row r="42" spans="1:88" s="4" customFormat="1" hidden="1" outlineLevel="1" x14ac:dyDescent="0.25">
      <c r="A42" s="276"/>
      <c r="B42" s="16" t="s">
        <v>7</v>
      </c>
      <c r="C42" s="81"/>
      <c r="D42" s="81"/>
      <c r="E42" s="81"/>
      <c r="F42" s="7">
        <f>IF(OR(F9="",F41=""),"",ROUND((F41+E44)*F9/12,2))</f>
        <v>0</v>
      </c>
      <c r="G42" s="7">
        <f t="shared" ref="G42:L42" si="463">IF(OR(G9="",G41=""),"",ROUND((G41+F44)*G9/12,2))</f>
        <v>1.32</v>
      </c>
      <c r="H42" s="7">
        <f t="shared" si="463"/>
        <v>9.6</v>
      </c>
      <c r="I42" s="7">
        <f t="shared" si="463"/>
        <v>-72.040000000000006</v>
      </c>
      <c r="J42" s="7">
        <f t="shared" si="463"/>
        <v>-117.35</v>
      </c>
      <c r="K42" s="7">
        <f t="shared" si="463"/>
        <v>-141.27000000000001</v>
      </c>
      <c r="L42" s="7">
        <f t="shared" si="463"/>
        <v>-127.55</v>
      </c>
      <c r="M42" s="7">
        <f t="shared" ref="M42" si="464">IF(OR(M9="",M41=""),"",ROUND((M41+L44)*M9/12,2))</f>
        <v>-121.81</v>
      </c>
      <c r="N42" s="98">
        <f>IF(OR(N9="",N41=""),"",ROUND((N41+M44)*N9/12,2))+N36</f>
        <v>-90.600000000000023</v>
      </c>
      <c r="O42" s="7">
        <f t="shared" ref="O42" si="465">IF(OR(O9="",O41=""),"",ROUND((O41+N44)*O9/12,2))</f>
        <v>-68.290000000000006</v>
      </c>
      <c r="P42" s="7">
        <f t="shared" ref="P42" si="466">IF(OR(P9="",P41=""),"",ROUND((P41+O44)*P9/12,2))</f>
        <v>3.33</v>
      </c>
      <c r="Q42" s="7">
        <f t="shared" ref="Q42:R42" si="467">IF(OR(Q9="",Q41=""),"",ROUND((Q41+P44)*Q9/12,2))</f>
        <v>-0.47</v>
      </c>
      <c r="R42" s="7">
        <f t="shared" si="467"/>
        <v>49.68</v>
      </c>
      <c r="S42" s="7">
        <f t="shared" ref="S42" si="468">IF(OR(S9="",S41=""),"",ROUND((S41+R44)*S9/12,2))</f>
        <v>19.39</v>
      </c>
      <c r="T42" s="7">
        <f t="shared" ref="T42" si="469">IF(OR(T9="",T41=""),"",ROUND((T41+S44)*T9/12,2))</f>
        <v>5.18</v>
      </c>
      <c r="U42" s="7">
        <f t="shared" ref="U42" si="470">IF(OR(U9="",U41=""),"",ROUND((U41+T44)*U9/12,2))</f>
        <v>8.57</v>
      </c>
      <c r="V42" s="7">
        <f t="shared" ref="V42" si="471">IF(OR(V9="",V41=""),"",ROUND((V41+U44)*V9/12,2))</f>
        <v>23.23</v>
      </c>
      <c r="W42" s="7">
        <f t="shared" ref="W42:X42" si="472">IF(OR(W9="",W41=""),"",ROUND((W41+V44)*W9/12,2))</f>
        <v>20.64</v>
      </c>
      <c r="X42" s="7">
        <f t="shared" si="472"/>
        <v>24.38</v>
      </c>
      <c r="Y42" s="7">
        <f>IF(OR(Y9="",Y41=""),"",ROUND((Y41+X44)*Y9/12,2))</f>
        <v>47.13</v>
      </c>
      <c r="Z42" s="7">
        <f>IF(OR(Z9="",Z41=""),"",ROUND((Z39+Z41+Y44+Z36)*Z9/12,2))+Z36</f>
        <v>149.35</v>
      </c>
      <c r="AA42" s="7">
        <f>IF(OR(AA9="",AA41=""),"",ROUND((AA39+AA41+Z44)*AA9/12,2))</f>
        <v>91.24</v>
      </c>
      <c r="AB42" s="7">
        <f>IF(OR(AB9="",AB41=""),"",ROUND((AB39+AB41+AA44)*AB9/12,2))</f>
        <v>85.84</v>
      </c>
      <c r="AC42" s="7">
        <f t="shared" ref="AC42:AE42" si="473">IF(OR(AC9="",AC41=""),"",ROUND((AC39+AC41+AB44)*AC9/12,2))</f>
        <v>77.459999999999994</v>
      </c>
      <c r="AD42" s="7">
        <f t="shared" si="473"/>
        <v>33.89</v>
      </c>
      <c r="AE42" s="7">
        <f t="shared" si="473"/>
        <v>10.94</v>
      </c>
      <c r="AF42" s="7">
        <f t="shared" ref="AF42" si="474">IF(OR(AF9="",AF41=""),"",ROUND((AF39+AF41+AE44)*AF9/12,2))</f>
        <v>-2.04</v>
      </c>
      <c r="AG42" s="7">
        <f t="shared" ref="AG42" si="475">IF(OR(AG9="",AG41=""),"",ROUND((AG39+AG41+AF44)*AG9/12,2))</f>
        <v>-4.49</v>
      </c>
      <c r="AH42" s="7">
        <f t="shared" ref="AH42" si="476">IF(OR(AH9="",AH41=""),"",ROUND((AH39+AH41+AG44)*AH9/12,2))</f>
        <v>0.94</v>
      </c>
      <c r="AI42" s="7">
        <f t="shared" ref="AI42" si="477">IF(OR(AI9="",AI41=""),"",ROUND((AI39+AI41+AH44)*AI9/12,2))</f>
        <v>-2.5299999999999998</v>
      </c>
      <c r="AJ42" s="7">
        <f t="shared" ref="AJ42" si="478">IF(OR(AJ9="",AJ41=""),"",ROUND((AJ39+AJ41+AI44)*AJ9/12,2))</f>
        <v>-15.53</v>
      </c>
      <c r="AK42" s="7">
        <f t="shared" ref="AK42" si="479">IF(OR(AK9="",AK41=""),"",ROUND((AK39+AK41+AJ44)*AK9/12,2))</f>
        <v>-24.88</v>
      </c>
      <c r="AL42" s="7">
        <f t="shared" ref="AL42" si="480">IF(OR(AL9="",AL41=""),"",ROUND((AL39+AL41+AK44)*AL9/12,2))</f>
        <v>-36.92</v>
      </c>
      <c r="AM42" s="7">
        <f t="shared" ref="AM42" si="481">IF(OR(AM9="",AM41=""),"",ROUND((AM39+AM41+AL44)*AM9/12,2))</f>
        <v>-85.81</v>
      </c>
      <c r="AN42" s="7">
        <f t="shared" ref="AN42" si="482">IF(OR(AN9="",AN41=""),"",ROUND((AN39+AN41+AM44)*AN9/12,2))</f>
        <v>-96.32</v>
      </c>
      <c r="AO42" s="7">
        <f t="shared" ref="AO42" si="483">IF(OR(AO9="",AO41=""),"",ROUND((AO39+AO41+AN44)*AO9/12,2))</f>
        <v>-145.96</v>
      </c>
      <c r="AP42" s="7">
        <f t="shared" ref="AP42" si="484">IF(OR(AP9="",AP41=""),"",ROUND((AP39+AP41+AO44)*AP9/12,2))</f>
        <v>-396.3</v>
      </c>
      <c r="AQ42" s="7">
        <f t="shared" ref="AQ42" si="485">IF(OR(AQ9="",AQ41=""),"",ROUND((AQ39+AQ41+AP44)*AQ9/12,2))</f>
        <v>-370.62</v>
      </c>
      <c r="AR42" s="7">
        <f t="shared" ref="AR42" si="486">IF(OR(AR9="",AR41=""),"",ROUND((AR39+AR41+AQ44)*AR9/12,2))</f>
        <v>-570.75</v>
      </c>
      <c r="AS42" s="7">
        <f t="shared" ref="AS42" si="487">IF(OR(AS9="",AS41=""),"",ROUND((AS39+AS41+AR44)*AS9/12,2))</f>
        <v>-815.58</v>
      </c>
      <c r="AT42" s="7">
        <f t="shared" ref="AT42" si="488">IF(OR(AT9="",AT41=""),"",ROUND((AT39+AT41+AS44)*AT9/12,2))</f>
        <v>-932.25</v>
      </c>
      <c r="AU42" s="7">
        <f t="shared" ref="AU42" si="489">IF(OR(AU9="",AU41=""),"",ROUND((AU39+AU41+AT44)*AU9/12,2))</f>
        <v>-1040.0999999999999</v>
      </c>
      <c r="AV42" s="7">
        <f t="shared" ref="AV42" si="490">IF(OR(AV9="",AV41=""),"",ROUND((AV39+AV41+AU44)*AV9/12,2))</f>
        <v>-980.73</v>
      </c>
      <c r="AW42" s="7">
        <f t="shared" ref="AW42:AY42" si="491">IF(OR(AW9="",AW41=""),"",ROUND((AW39+AW41+AV44)*AW9/12,2))</f>
        <v>-1123.78</v>
      </c>
      <c r="AX42" s="7">
        <f t="shared" si="491"/>
        <v>-1459.59</v>
      </c>
      <c r="AY42" s="7">
        <f t="shared" si="491"/>
        <v>-1741.09</v>
      </c>
      <c r="AZ42" s="7">
        <f>IF(OR(AZ9="",AZ41=""),"",ROUND((AZ39+AZ41+AY44+AZ36)*AZ9/12,2))+AZ36</f>
        <v>-1872.0600000000006</v>
      </c>
      <c r="BA42" s="7">
        <f t="shared" ref="BA42:BL42" si="492">IF(OR(BA9="",BA41=""),"",ROUND((BA39+BA41+AZ44)*BA9/12,2))</f>
        <v>-1940.33</v>
      </c>
      <c r="BB42" s="7">
        <f t="shared" si="492"/>
        <v>-1770.6</v>
      </c>
      <c r="BC42" s="7">
        <f t="shared" si="492"/>
        <v>-1496.58</v>
      </c>
      <c r="BD42" s="7">
        <f t="shared" si="492"/>
        <v>-774.33</v>
      </c>
      <c r="BE42" s="7">
        <f t="shared" si="492"/>
        <v>332.61</v>
      </c>
      <c r="BF42" s="7">
        <f t="shared" si="492"/>
        <v>258.35000000000002</v>
      </c>
      <c r="BG42" s="7">
        <f t="shared" si="492"/>
        <v>104.88</v>
      </c>
      <c r="BH42" s="7">
        <f t="shared" si="492"/>
        <v>-70.37</v>
      </c>
      <c r="BI42" s="7">
        <f t="shared" si="492"/>
        <v>-290.74</v>
      </c>
      <c r="BJ42" s="7">
        <f t="shared" si="492"/>
        <v>-453.06</v>
      </c>
      <c r="BK42" s="7">
        <f t="shared" si="492"/>
        <v>-613.19000000000005</v>
      </c>
      <c r="BL42" s="7">
        <f t="shared" si="492"/>
        <v>-654.42999999999995</v>
      </c>
      <c r="BM42" s="108">
        <f>IF(OR(BM9="",BM41=""),"",ROUND((BM39+BM41+BL44+BM36)*BM9/12,2))</f>
        <v>-932.27</v>
      </c>
      <c r="BN42" s="7">
        <f t="shared" ref="BN42:CJ42" si="493">IF(OR(BN9="",BN41=""),"",ROUND((BN39+BN41+BM44)*BN9/12,2))</f>
        <v>-1143.99</v>
      </c>
      <c r="BO42" s="7">
        <f t="shared" si="493"/>
        <v>-1287.3699999999999</v>
      </c>
      <c r="BP42" s="7">
        <f t="shared" si="493"/>
        <v>-1171.31</v>
      </c>
      <c r="BQ42" s="7">
        <f t="shared" si="493"/>
        <v>-777.06</v>
      </c>
      <c r="BR42" s="7">
        <f t="shared" si="493"/>
        <v>-145.91</v>
      </c>
      <c r="BS42" s="7">
        <f t="shared" si="493"/>
        <v>348.69</v>
      </c>
      <c r="BT42" s="7">
        <f t="shared" si="493"/>
        <v>630.91999999999996</v>
      </c>
      <c r="BU42" s="7">
        <f t="shared" si="493"/>
        <v>594.97</v>
      </c>
      <c r="BV42" s="7">
        <f t="shared" si="493"/>
        <v>611.1</v>
      </c>
      <c r="BW42" s="7">
        <f t="shared" si="493"/>
        <v>557.1</v>
      </c>
      <c r="BX42" s="7">
        <f t="shared" si="493"/>
        <v>555.19000000000005</v>
      </c>
      <c r="BY42" s="7">
        <f t="shared" si="493"/>
        <v>567.97</v>
      </c>
      <c r="BZ42" s="7">
        <f t="shared" si="493"/>
        <v>975.84</v>
      </c>
      <c r="CA42" s="7">
        <f t="shared" si="493"/>
        <v>1490.73</v>
      </c>
      <c r="CB42" s="7">
        <f t="shared" si="493"/>
        <v>2223.91</v>
      </c>
      <c r="CC42" s="7">
        <f t="shared" si="493"/>
        <v>2194.86</v>
      </c>
      <c r="CD42" s="7">
        <f t="shared" si="493"/>
        <v>2062.13</v>
      </c>
      <c r="CE42" s="7">
        <f t="shared" si="493"/>
        <v>1891.34</v>
      </c>
      <c r="CF42" s="7">
        <f t="shared" si="493"/>
        <v>1673.38</v>
      </c>
      <c r="CG42" s="7">
        <f t="shared" si="493"/>
        <v>1422.79</v>
      </c>
      <c r="CH42" s="98">
        <f t="shared" si="493"/>
        <v>1299.3399999999999</v>
      </c>
      <c r="CI42" s="98">
        <f t="shared" si="493"/>
        <v>1135.5899999999999</v>
      </c>
      <c r="CJ42" s="98">
        <f t="shared" si="493"/>
        <v>940.93</v>
      </c>
    </row>
    <row r="43" spans="1:88" s="4" customFormat="1" hidden="1" outlineLevel="1" x14ac:dyDescent="0.25">
      <c r="A43" s="276"/>
      <c r="B43" s="15" t="s">
        <v>13</v>
      </c>
      <c r="C43" s="81"/>
      <c r="D43" s="81"/>
      <c r="E43" s="81"/>
      <c r="F43" s="7">
        <f t="shared" ref="F43:M43" si="494">IF(OR(F41="",F42=""),"",F41+F42)</f>
        <v>0.34412602678174997</v>
      </c>
      <c r="G43" s="7">
        <f t="shared" si="494"/>
        <v>595.17341007321886</v>
      </c>
      <c r="H43" s="7">
        <f t="shared" si="494"/>
        <v>3715.247716442293</v>
      </c>
      <c r="I43" s="7">
        <f t="shared" si="494"/>
        <v>-37006.031833043366</v>
      </c>
      <c r="J43" s="7">
        <f t="shared" si="494"/>
        <v>-21688.715474004101</v>
      </c>
      <c r="K43" s="7">
        <f t="shared" si="494"/>
        <v>-17859.530509192959</v>
      </c>
      <c r="L43" s="7">
        <f t="shared" si="494"/>
        <v>3070.0168888877697</v>
      </c>
      <c r="M43" s="7">
        <f t="shared" si="494"/>
        <v>-93.263403080791761</v>
      </c>
      <c r="N43" s="7">
        <f>IF(OR(N41="",N42=""),"",N41+N42)</f>
        <v>9295.7233492283031</v>
      </c>
      <c r="O43" s="7">
        <f t="shared" ref="O43:AE43" si="495">IF(OR(O41="",O42=""),"",O41+O42)</f>
        <v>17115.029460979989</v>
      </c>
      <c r="P43" s="7">
        <f t="shared" si="495"/>
        <v>44973.343947199959</v>
      </c>
      <c r="Q43" s="7">
        <f t="shared" si="495"/>
        <v>-2431.0299676319833</v>
      </c>
      <c r="R43" s="7">
        <f t="shared" si="495"/>
        <v>13934.436391725809</v>
      </c>
      <c r="S43" s="7">
        <f t="shared" si="495"/>
        <v>-24636.733165404985</v>
      </c>
      <c r="T43" s="7">
        <f t="shared" si="495"/>
        <v>9641.2332806900085</v>
      </c>
      <c r="U43" s="7">
        <f t="shared" si="495"/>
        <v>21265.782078134995</v>
      </c>
      <c r="V43" s="7">
        <f t="shared" si="495"/>
        <v>46537.082892219441</v>
      </c>
      <c r="W43" s="7">
        <f t="shared" si="495"/>
        <v>17984.397521095059</v>
      </c>
      <c r="X43" s="7">
        <f t="shared" si="495"/>
        <v>35863.622709346957</v>
      </c>
      <c r="Y43" s="7">
        <f t="shared" si="495"/>
        <v>28532.272644444234</v>
      </c>
      <c r="Z43" s="7">
        <f>IF(OR(Z41="",Z42=""),"",Z41+Z42)</f>
        <v>24518.386902396676</v>
      </c>
      <c r="AA43" s="7">
        <f t="shared" si="495"/>
        <v>31026.098333323749</v>
      </c>
      <c r="AB43" s="7">
        <f t="shared" si="495"/>
        <v>94852.807284778362</v>
      </c>
      <c r="AC43" s="7">
        <f t="shared" si="495"/>
        <v>-72320.97950293649</v>
      </c>
      <c r="AD43" s="7">
        <f t="shared" si="495"/>
        <v>-168130.07020115107</v>
      </c>
      <c r="AE43" s="7">
        <f t="shared" si="495"/>
        <v>-98746.176365664345</v>
      </c>
      <c r="AF43" s="7">
        <f t="shared" ref="AF43:AW43" si="496">IF(OR(AF41="",AF42=""),"",AF41+AF42)</f>
        <v>-36657.160222931961</v>
      </c>
      <c r="AG43" s="7">
        <f t="shared" si="496"/>
        <v>23006.599724145304</v>
      </c>
      <c r="AH43" s="7">
        <f t="shared" si="496"/>
        <v>80833.60773878172</v>
      </c>
      <c r="AI43" s="7">
        <f t="shared" si="496"/>
        <v>23092.630478310311</v>
      </c>
      <c r="AJ43" s="7">
        <f t="shared" si="496"/>
        <v>-35214.514828463172</v>
      </c>
      <c r="AK43" s="7">
        <f t="shared" si="496"/>
        <v>-63817.235629800496</v>
      </c>
      <c r="AL43" s="7">
        <f t="shared" si="496"/>
        <v>-55512.312619436314</v>
      </c>
      <c r="AM43" s="7">
        <f t="shared" si="496"/>
        <v>-66726.050037982175</v>
      </c>
      <c r="AN43" s="7">
        <f t="shared" si="496"/>
        <v>-51028.121916664524</v>
      </c>
      <c r="AO43" s="7">
        <f t="shared" si="496"/>
        <v>-159044.82501364034</v>
      </c>
      <c r="AP43" s="7">
        <f t="shared" si="496"/>
        <v>-133597.48728040844</v>
      </c>
      <c r="AQ43" s="7">
        <f t="shared" si="496"/>
        <v>-80261.388793329956</v>
      </c>
      <c r="AR43" s="7">
        <f t="shared" si="496"/>
        <v>-10166.371722205135</v>
      </c>
      <c r="AS43" s="7">
        <f t="shared" si="496"/>
        <v>27914.156987736482</v>
      </c>
      <c r="AT43" s="7">
        <f t="shared" si="496"/>
        <v>73530.186345896509</v>
      </c>
      <c r="AU43" s="7">
        <f t="shared" si="496"/>
        <v>16799.168968651538</v>
      </c>
      <c r="AV43" s="7">
        <f t="shared" si="496"/>
        <v>35784.069759755141</v>
      </c>
      <c r="AW43" s="7">
        <f t="shared" si="496"/>
        <v>-4966.42955082137</v>
      </c>
      <c r="AX43" s="7">
        <f t="shared" ref="AX43:AY43" si="497">IF(OR(AX41="",AX42=""),"",AX41+AX42)</f>
        <v>-49307.495104756294</v>
      </c>
      <c r="AY43" s="7">
        <f t="shared" si="497"/>
        <v>-80246.403670210479</v>
      </c>
      <c r="AZ43" s="7">
        <f t="shared" ref="AZ43:BE43" si="498">IF(OR(AZ41="",AZ42=""),"",AZ41+AZ42)</f>
        <v>-51580.211109466472</v>
      </c>
      <c r="BA43" s="7">
        <f t="shared" si="498"/>
        <v>-69081.864248695856</v>
      </c>
      <c r="BB43" s="7">
        <f t="shared" si="498"/>
        <v>17203.667820053823</v>
      </c>
      <c r="BC43" s="7">
        <f t="shared" si="498"/>
        <v>49596.750617308033</v>
      </c>
      <c r="BD43" s="7">
        <f t="shared" si="498"/>
        <v>136736.3914589512</v>
      </c>
      <c r="BE43" s="7">
        <f t="shared" si="498"/>
        <v>211417.69009668104</v>
      </c>
      <c r="BF43" s="7">
        <f t="shared" ref="BF43:BG43" si="499">IF(OR(BF41="",BF42=""),"",BF41+BF42)</f>
        <v>-61320.082023932635</v>
      </c>
      <c r="BG43" s="7">
        <f t="shared" si="499"/>
        <v>-79491.78260185066</v>
      </c>
      <c r="BH43" s="7">
        <f t="shared" ref="BH43:BI43" si="500">IF(OR(BH41="",BH42=""),"",BH41+BH42)</f>
        <v>-81955.865228034672</v>
      </c>
      <c r="BI43" s="7">
        <f t="shared" si="500"/>
        <v>-85230.602897314384</v>
      </c>
      <c r="BJ43" s="7">
        <f t="shared" ref="BJ43:BK43" si="501">IF(OR(BJ41="",BJ42=""),"",BJ41+BJ42)</f>
        <v>-68792.990941902914</v>
      </c>
      <c r="BK43" s="7">
        <f t="shared" si="501"/>
        <v>-74117.29001445364</v>
      </c>
      <c r="BL43" s="7">
        <f t="shared" ref="BL43:BM43" si="502">IF(OR(BL41="",BL42=""),"",BL41+BL42)</f>
        <v>-60633.141267731793</v>
      </c>
      <c r="BM43" s="7">
        <f t="shared" si="502"/>
        <v>-86066.391939437221</v>
      </c>
      <c r="BN43" s="7">
        <f t="shared" ref="BN43:BO43" si="503">IF(OR(BN41="",BN42=""),"",BN41+BN42)</f>
        <v>-58828.515373798778</v>
      </c>
      <c r="BO43" s="7">
        <f t="shared" si="503"/>
        <v>-41542.27515822641</v>
      </c>
      <c r="BP43" s="7">
        <f t="shared" ref="BP43:BQ43" si="504">IF(OR(BP41="",BP42=""),"",BP41+BP42)</f>
        <v>12197.784321838784</v>
      </c>
      <c r="BQ43" s="7">
        <f t="shared" si="504"/>
        <v>72884.248478038324</v>
      </c>
      <c r="BR43" s="7">
        <f t="shared" ref="BR43:BS43" si="505">IF(OR(BR41="",BR42=""),"",BR41+BR42)</f>
        <v>118531.96979135647</v>
      </c>
      <c r="BS43" s="7">
        <f t="shared" si="505"/>
        <v>89556.951499824529</v>
      </c>
      <c r="BT43" s="7">
        <f t="shared" ref="BT43:BU43" si="506">IF(OR(BT41="",BT42=""),"",BT41+BT42)</f>
        <v>50736.410983748166</v>
      </c>
      <c r="BU43" s="7">
        <f t="shared" si="506"/>
        <v>-12618.021295364715</v>
      </c>
      <c r="BV43" s="7">
        <f t="shared" ref="BV43:BW43" si="507">IF(OR(BV41="",BV42=""),"",BV41+BV42)</f>
        <v>-6006.5257463076614</v>
      </c>
      <c r="BW43" s="7">
        <f t="shared" si="507"/>
        <v>-24656.149692305866</v>
      </c>
      <c r="BX43" s="7">
        <f t="shared" ref="BX43:BY43" si="508">IF(OR(BX41="",BX42=""),"",BX41+BX42)</f>
        <v>-15206.243247068576</v>
      </c>
      <c r="BY43" s="7">
        <f t="shared" si="508"/>
        <v>12631.816922707365</v>
      </c>
      <c r="BZ43" s="7">
        <f t="shared" ref="BZ43:CA43" si="509">IF(OR(BZ41="",BZ42=""),"",BZ41+BZ42)</f>
        <v>114094.12648026708</v>
      </c>
      <c r="CA43" s="7">
        <f t="shared" si="509"/>
        <v>143976.59920423938</v>
      </c>
      <c r="CB43" s="7">
        <f t="shared" ref="CB43:CC43" si="510">IF(OR(CB41="",CB42=""),"",CB41+CB42)</f>
        <v>203838.40735099136</v>
      </c>
      <c r="CC43" s="7">
        <f t="shared" si="510"/>
        <v>1548.265498037093</v>
      </c>
      <c r="CD43" s="7">
        <f t="shared" ref="CD43:CE43" si="511">IF(OR(CD41="",CD42=""),"",CD41+CD42)</f>
        <v>-25764.891201540024</v>
      </c>
      <c r="CE43" s="7">
        <f t="shared" si="511"/>
        <v>-31344.577098706872</v>
      </c>
      <c r="CF43" s="7">
        <f t="shared" ref="CF43:CG43" si="512">IF(OR(CF41="",CF42=""),"",CF41+CF42)</f>
        <v>-31741.933395686796</v>
      </c>
      <c r="CG43" s="7">
        <f t="shared" si="512"/>
        <v>-34408.611491114287</v>
      </c>
      <c r="CH43" s="7">
        <f t="shared" ref="CH43:CI43" si="513">IF(OR(CH41="",CH42=""),"",CH41+CH42)</f>
        <v>-26254.089113484257</v>
      </c>
      <c r="CI43" s="7">
        <f t="shared" si="513"/>
        <v>-37961.655952595524</v>
      </c>
      <c r="CJ43" s="7">
        <f t="shared" ref="CJ43" si="514">IF(OR(CJ41="",CJ42=""),"",CJ41+CJ42)</f>
        <v>-46939.61848161964</v>
      </c>
    </row>
    <row r="44" spans="1:88" s="4" customFormat="1" hidden="1" outlineLevel="1" x14ac:dyDescent="0.25">
      <c r="A44" s="276"/>
      <c r="B44" s="17" t="s">
        <v>15</v>
      </c>
      <c r="C44" s="81"/>
      <c r="D44" s="81"/>
      <c r="E44" s="81"/>
      <c r="F44" s="7">
        <f>IF(OR(F43=""),"",F43)</f>
        <v>0.34412602678174997</v>
      </c>
      <c r="G44" s="7">
        <f t="shared" ref="G44:M44" si="515">IF(OR(G43="",F44=""),"",G43+F44)</f>
        <v>595.5175361000006</v>
      </c>
      <c r="H44" s="7">
        <f t="shared" si="515"/>
        <v>4310.7652525422936</v>
      </c>
      <c r="I44" s="7">
        <f t="shared" si="515"/>
        <v>-32695.266580501073</v>
      </c>
      <c r="J44" s="7">
        <f t="shared" si="515"/>
        <v>-54383.982054505177</v>
      </c>
      <c r="K44" s="7">
        <f t="shared" si="515"/>
        <v>-72243.512563698139</v>
      </c>
      <c r="L44" s="7">
        <f t="shared" si="515"/>
        <v>-69173.495674810372</v>
      </c>
      <c r="M44" s="7">
        <f t="shared" si="515"/>
        <v>-69266.759077891169</v>
      </c>
      <c r="N44" s="7">
        <f>IF(OR(N43="",M44=""),"",N43+N39+M44)</f>
        <v>-59971.035728662864</v>
      </c>
      <c r="O44" s="7">
        <f>IF(OR(O43="",N44=""),"",O43+O39+N44)</f>
        <v>-42856.006267682875</v>
      </c>
      <c r="P44" s="7">
        <f t="shared" ref="P44:AE44" si="516">IF(OR(P43="",O44=""),"",P43+P39+O44)</f>
        <v>2117.3376795170843</v>
      </c>
      <c r="Q44" s="7">
        <f t="shared" si="516"/>
        <v>17682.337711885099</v>
      </c>
      <c r="R44" s="7">
        <f t="shared" si="516"/>
        <v>49445.594103610907</v>
      </c>
      <c r="S44" s="7">
        <f t="shared" si="516"/>
        <v>38507.200938205919</v>
      </c>
      <c r="T44" s="7">
        <f>IF(OR(T43="",S44=""),"",T43+T39+S44)</f>
        <v>60568.114218895927</v>
      </c>
      <c r="U44" s="7">
        <f t="shared" si="516"/>
        <v>97429.32629703093</v>
      </c>
      <c r="V44" s="7">
        <f t="shared" si="516"/>
        <v>163385.58918925037</v>
      </c>
      <c r="W44" s="7">
        <f t="shared" si="516"/>
        <v>200297.86671034544</v>
      </c>
      <c r="X44" s="7">
        <f t="shared" si="516"/>
        <v>254279.91941969239</v>
      </c>
      <c r="Y44" s="7">
        <f t="shared" si="516"/>
        <v>297498.4220641366</v>
      </c>
      <c r="Z44" s="7">
        <f>IF(OR(Z43="",Y44=""),"",Z43+Z39+Y44)</f>
        <v>336694.64896653325</v>
      </c>
      <c r="AA44" s="7">
        <f t="shared" si="516"/>
        <v>384677.91729985701</v>
      </c>
      <c r="AB44" s="7">
        <f t="shared" si="516"/>
        <v>499758.68458463537</v>
      </c>
      <c r="AC44" s="7">
        <f t="shared" si="516"/>
        <v>400361.8350816989</v>
      </c>
      <c r="AD44" s="7">
        <f t="shared" si="516"/>
        <v>190361.84488054784</v>
      </c>
      <c r="AE44" s="7">
        <f t="shared" si="516"/>
        <v>58312.098514883488</v>
      </c>
      <c r="AF44" s="7">
        <f t="shared" ref="AF44" si="517">IF(OR(AF43="",AE44=""),"",AF43+AF39+AE44)</f>
        <v>-10905.351708048474</v>
      </c>
      <c r="AG44" s="7">
        <f t="shared" ref="AG44" si="518">IF(OR(AG43="",AF44=""),"",AG43+AG39+AF44)</f>
        <v>-26740.14198390317</v>
      </c>
      <c r="AH44" s="7">
        <f t="shared" ref="AH44" si="519">IF(OR(AH43="",AG44=""),"",AH43+AH39+AG44)</f>
        <v>8115.4857548785476</v>
      </c>
      <c r="AI44" s="7">
        <f t="shared" ref="AI44" si="520">IF(OR(AI43="",AH44=""),"",AI43+AI39+AH44)</f>
        <v>-14787.263766811138</v>
      </c>
      <c r="AJ44" s="7">
        <f t="shared" ref="AJ44" si="521">IF(OR(AJ43="",AI44=""),"",AJ43+AJ39+AI44)</f>
        <v>-96476.158595274319</v>
      </c>
      <c r="AK44" s="7">
        <f t="shared" ref="AK44" si="522">IF(OR(AK43="",AJ44=""),"",AK43+AK39+AJ44)</f>
        <v>-199058.8442250748</v>
      </c>
      <c r="AL44" s="7">
        <f t="shared" ref="AL44" si="523">IF(OR(AL43="",AK44=""),"",AL43+AL39+AK44)</f>
        <v>-289230.94684451108</v>
      </c>
      <c r="AM44" s="7">
        <f t="shared" ref="AM44" si="524">IF(OR(AM43="",AL44=""),"",AM43+AM39+AL44)</f>
        <v>-395446.64688249328</v>
      </c>
      <c r="AN44" s="7">
        <f t="shared" ref="AN44" si="525">IF(OR(AN43="",AM44=""),"",AN43+AN39+AM44)</f>
        <v>-493108.69879915781</v>
      </c>
      <c r="AO44" s="7">
        <f t="shared" ref="AO44" si="526">IF(OR(AO43="",AN44=""),"",AO43+AO39+AN44)</f>
        <v>-592181.6438127982</v>
      </c>
      <c r="AP44" s="7">
        <f t="shared" ref="AP44" si="527">IF(OR(AP43="",AO44=""),"",AP43+AP39+AO44)</f>
        <v>-691318.92109320662</v>
      </c>
      <c r="AQ44" s="7">
        <f t="shared" ref="AQ44" si="528">IF(OR(AQ43="",AP44=""),"",AQ43+AQ39+AP44)</f>
        <v>-741098.19988653657</v>
      </c>
      <c r="AR44" s="7">
        <f t="shared" ref="AR44" si="529">IF(OR(AR43="",AQ44=""),"",AR43+AR39+AQ44)</f>
        <v>-721741.14160874172</v>
      </c>
      <c r="AS44" s="7">
        <f t="shared" ref="AS44" si="530">IF(OR(AS43="",AR44=""),"",AS43+AS39+AR44)</f>
        <v>-659489.10462100524</v>
      </c>
      <c r="AT44" s="7">
        <f t="shared" ref="AT44" si="531">IF(OR(AT43="",AS44=""),"",AT43+AT39+AS44)</f>
        <v>-544866.99827510875</v>
      </c>
      <c r="AU44" s="7">
        <f t="shared" ref="AU44" si="532">IF(OR(AU43="",AT44=""),"",AU43+AU39+AT44)</f>
        <v>-487816.96930645721</v>
      </c>
      <c r="AV44" s="7">
        <f t="shared" ref="AV44" si="533">IF(OR(AV43="",AU44=""),"",AV43+AV39+AU44)</f>
        <v>-415127.43954670208</v>
      </c>
      <c r="AW44" s="7">
        <f t="shared" ref="AW44:AY44" si="534">IF(OR(AW43="",AV44=""),"",AW43+AW39+AV44)</f>
        <v>-389738.91909752344</v>
      </c>
      <c r="AX44" s="7">
        <f t="shared" si="534"/>
        <v>-410108.21420227975</v>
      </c>
      <c r="AY44" s="7">
        <f t="shared" si="534"/>
        <v>-454208.29787249025</v>
      </c>
      <c r="AZ44" s="7">
        <f t="shared" ref="AZ44:BL44" si="535">IF(OR(AZ43="",AY44=""),"",AZ43+AZ39+AY44)</f>
        <v>-464431.92898195673</v>
      </c>
      <c r="BA44" s="7">
        <f t="shared" si="535"/>
        <v>-482226.60323065257</v>
      </c>
      <c r="BB44" s="7">
        <f t="shared" si="535"/>
        <v>-427615.99541059876</v>
      </c>
      <c r="BC44" s="7">
        <f t="shared" si="535"/>
        <v>-343656.16479329072</v>
      </c>
      <c r="BD44" s="7">
        <f t="shared" si="535"/>
        <v>-175212.59333433953</v>
      </c>
      <c r="BE44" s="7">
        <f t="shared" si="535"/>
        <v>74316.616762341495</v>
      </c>
      <c r="BF44" s="7">
        <f t="shared" si="535"/>
        <v>57219.494738408859</v>
      </c>
      <c r="BG44" s="7">
        <f t="shared" si="535"/>
        <v>22902.962136558199</v>
      </c>
      <c r="BH44" s="7">
        <f t="shared" si="535"/>
        <v>-15325.933091476472</v>
      </c>
      <c r="BI44" s="7">
        <f t="shared" si="535"/>
        <v>-63524.325988790857</v>
      </c>
      <c r="BJ44" s="7">
        <f t="shared" si="535"/>
        <v>-98270.436930693773</v>
      </c>
      <c r="BK44" s="7">
        <f t="shared" si="535"/>
        <v>-133252.01694514742</v>
      </c>
      <c r="BL44" s="7">
        <f t="shared" si="535"/>
        <v>-146669.50821287921</v>
      </c>
      <c r="BM44" s="108">
        <f>IF(OR(BM43="",BL44=""),"",BM43+BM39+BL44+BM36)</f>
        <v>-208983.72720560673</v>
      </c>
      <c r="BN44" s="7">
        <f t="shared" ref="BN44:CJ44" si="536">IF(OR(BN43="",BM44=""),"",BN43+BN39+BM44)</f>
        <v>-254022.51257940551</v>
      </c>
      <c r="BO44" s="7">
        <f t="shared" si="536"/>
        <v>-282159.10773763189</v>
      </c>
      <c r="BP44" s="7">
        <f t="shared" si="536"/>
        <v>-257194.3234157931</v>
      </c>
      <c r="BQ44" s="7">
        <f t="shared" si="536"/>
        <v>-168705.82493775478</v>
      </c>
      <c r="BR44" s="7">
        <f t="shared" si="536"/>
        <v>-31515.615146398311</v>
      </c>
      <c r="BS44" s="7">
        <f t="shared" si="536"/>
        <v>75552.036353426214</v>
      </c>
      <c r="BT44" s="7">
        <f t="shared" si="536"/>
        <v>143337.08733717439</v>
      </c>
      <c r="BU44" s="7">
        <f t="shared" si="536"/>
        <v>145100.18604180968</v>
      </c>
      <c r="BV44" s="7">
        <f t="shared" si="536"/>
        <v>151974.23029550203</v>
      </c>
      <c r="BW44" s="7">
        <f t="shared" si="536"/>
        <v>143086.38060319616</v>
      </c>
      <c r="BX44" s="7">
        <f t="shared" si="536"/>
        <v>146986.81735612758</v>
      </c>
      <c r="BY44" s="7">
        <f t="shared" si="536"/>
        <v>150009.07473422561</v>
      </c>
      <c r="BZ44" s="7">
        <f t="shared" si="536"/>
        <v>254493.64166988333</v>
      </c>
      <c r="CA44" s="7">
        <f t="shared" si="536"/>
        <v>388860.68132951338</v>
      </c>
      <c r="CB44" s="7">
        <f t="shared" si="536"/>
        <v>583089.52913589543</v>
      </c>
      <c r="CC44" s="7">
        <f t="shared" si="536"/>
        <v>575028.23508932313</v>
      </c>
      <c r="CD44" s="7">
        <f t="shared" si="536"/>
        <v>539653.78434317373</v>
      </c>
      <c r="CE44" s="7">
        <f t="shared" si="536"/>
        <v>498699.64769985754</v>
      </c>
      <c r="CF44" s="7">
        <f t="shared" si="536"/>
        <v>457348.15475956141</v>
      </c>
      <c r="CG44" s="7">
        <f t="shared" si="536"/>
        <v>413329.98372383777</v>
      </c>
      <c r="CH44" s="7">
        <f t="shared" si="536"/>
        <v>377466.33506574418</v>
      </c>
      <c r="CI44" s="7">
        <f t="shared" si="536"/>
        <v>329895.11956853932</v>
      </c>
      <c r="CJ44" s="7">
        <f t="shared" si="536"/>
        <v>273345.94154231035</v>
      </c>
    </row>
    <row r="45" spans="1:88" s="4" customFormat="1" ht="8.25" hidden="1" customHeight="1" outlineLevel="1" x14ac:dyDescent="0.25">
      <c r="A45" s="35"/>
      <c r="B45" s="11"/>
      <c r="C45" s="86"/>
      <c r="D45" s="86"/>
      <c r="E45" s="86"/>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row>
    <row r="46" spans="1:88" s="4" customFormat="1" ht="15" hidden="1" customHeight="1" outlineLevel="1" x14ac:dyDescent="0.25">
      <c r="A46" s="276" t="s">
        <v>21</v>
      </c>
      <c r="B46" s="14"/>
      <c r="C46" s="81"/>
      <c r="D46" s="81"/>
      <c r="E46" s="81"/>
      <c r="F46" s="7"/>
      <c r="G46" s="7"/>
      <c r="H46" s="7"/>
      <c r="I46" s="7"/>
      <c r="J46" s="7"/>
      <c r="K46" s="7"/>
      <c r="L46" s="7"/>
      <c r="M46" s="7"/>
      <c r="N46" s="97">
        <f>'MEEIA 3 adjs'!L32</f>
        <v>95.419999999999618</v>
      </c>
      <c r="O46" s="7"/>
      <c r="P46" s="7"/>
      <c r="Q46" s="7"/>
      <c r="R46" s="7"/>
      <c r="S46" s="7"/>
      <c r="T46" s="7"/>
      <c r="U46" s="7"/>
      <c r="V46" s="7"/>
      <c r="W46" s="7"/>
      <c r="X46" s="7"/>
      <c r="Y46" s="7"/>
      <c r="Z46" s="97">
        <f>'MEEIA 3 adjs'!AA54</f>
        <v>176.33999999999946</v>
      </c>
      <c r="AA46" s="7"/>
      <c r="AB46" s="7"/>
      <c r="AC46" s="7"/>
      <c r="AD46" s="7"/>
      <c r="AE46" s="7"/>
      <c r="AF46" s="7"/>
      <c r="AG46" s="7"/>
      <c r="AH46" s="7"/>
      <c r="AI46" s="7"/>
      <c r="AJ46" s="7"/>
      <c r="AK46" s="7"/>
      <c r="AL46" s="7"/>
      <c r="AM46" s="7"/>
      <c r="AN46" s="7"/>
      <c r="AO46" s="7"/>
      <c r="AP46" s="7"/>
      <c r="AQ46" s="7"/>
      <c r="AR46" s="7"/>
      <c r="AS46" s="7"/>
      <c r="AT46" s="7"/>
      <c r="AU46" s="7"/>
      <c r="AV46" s="7"/>
      <c r="AW46" s="108">
        <v>54573.283373827086</v>
      </c>
      <c r="AX46" s="7"/>
      <c r="AY46" s="7"/>
      <c r="AZ46" s="97">
        <f>'MEEIA 3 adjs'!DZ52</f>
        <v>-28.739999999997963</v>
      </c>
      <c r="BA46" s="7"/>
      <c r="BB46" s="7"/>
      <c r="BC46" s="7"/>
      <c r="BD46" s="7"/>
      <c r="BE46" s="7"/>
      <c r="BF46" s="7"/>
      <c r="BG46" s="7"/>
      <c r="BH46" s="7"/>
      <c r="BI46" s="7"/>
      <c r="BJ46" s="7"/>
      <c r="BK46" s="7"/>
      <c r="BL46" s="7"/>
      <c r="BM46" s="60">
        <v>24354.086794278319</v>
      </c>
      <c r="BN46" s="7"/>
      <c r="BO46" s="7"/>
      <c r="BP46" s="7"/>
      <c r="BQ46" s="7"/>
      <c r="BR46" s="7"/>
      <c r="BS46" s="7"/>
      <c r="BT46" s="7"/>
      <c r="BU46" s="7"/>
      <c r="BV46" s="7"/>
      <c r="BW46" s="7"/>
      <c r="BX46" s="7"/>
      <c r="BY46" s="7"/>
      <c r="BZ46" s="7"/>
      <c r="CA46" s="7"/>
      <c r="CB46" s="7"/>
      <c r="CC46" s="7"/>
      <c r="CD46" s="7"/>
      <c r="CE46" s="7"/>
      <c r="CF46" s="7"/>
      <c r="CG46" s="7"/>
      <c r="CH46" s="7"/>
      <c r="CI46" s="7"/>
      <c r="CJ46" s="7"/>
    </row>
    <row r="47" spans="1:88" s="2" customFormat="1" ht="15" hidden="1" customHeight="1" outlineLevel="1" x14ac:dyDescent="0.25">
      <c r="A47" s="276"/>
      <c r="B47" s="14" t="s">
        <v>27</v>
      </c>
      <c r="C47" s="81"/>
      <c r="D47" s="81"/>
      <c r="E47" s="81"/>
      <c r="F47" s="19">
        <f>IF('M3 Allocations - TD'!D7="","",'M3 Allocations - TD'!D33)</f>
        <v>0.36790548240712501</v>
      </c>
      <c r="G47" s="19">
        <f>IF('M3 Allocations - TD'!E7="","",'M3 Allocations - TD'!E33)</f>
        <v>549.3842450882164</v>
      </c>
      <c r="H47" s="19">
        <f>IF('M3 Allocations - TD'!F7="","",'M3 Allocations - TD'!F33)</f>
        <v>3822.5375931394819</v>
      </c>
      <c r="I47" s="19">
        <f>IF('M3 Allocations - TD'!G7="","",'M3 Allocations - TD'!G33)</f>
        <v>16781.332362054229</v>
      </c>
      <c r="J47" s="19">
        <f>IF('M3 Allocations - TD'!H7="","",'M3 Allocations - TD'!H33)</f>
        <v>40077.718380542559</v>
      </c>
      <c r="K47" s="19">
        <f>IF('M3 Allocations - TD'!I7="","",'M3 Allocations - TD'!I33)</f>
        <v>54061.137994792116</v>
      </c>
      <c r="L47" s="19">
        <f>IF('M3 Allocations - TD'!J7="","",'M3 Allocations - TD'!J33)</f>
        <v>79608.348605740233</v>
      </c>
      <c r="M47" s="19">
        <f>IF('M3 Allocations - TD'!K7="","",'M3 Allocations - TD'!K33)</f>
        <v>56432.915123633284</v>
      </c>
      <c r="N47" s="19">
        <f>IF('M3 Allocations - TD'!L7="","",'M3 Allocations - TD'!L33)</f>
        <v>84805.665004540322</v>
      </c>
      <c r="O47" s="19">
        <f>IF('M3 Allocations - TD'!M7="","",'M3 Allocations - TD'!M33)</f>
        <v>101585.96799703788</v>
      </c>
      <c r="P47" s="19">
        <f>IF('M3 Allocations - TD'!N7="","",'M3 Allocations - TD'!N33)</f>
        <v>154209.2659634623</v>
      </c>
      <c r="Q47" s="19">
        <f>IF('M3 Allocations - TD'!O7="","",'M3 Allocations - TD'!O33)</f>
        <v>122696.92137199735</v>
      </c>
      <c r="R47" s="19">
        <f>IF('M3 Allocations - TD'!P7="","",'M3 Allocations - TD'!P33)</f>
        <v>123411.87388052933</v>
      </c>
      <c r="S47" s="19">
        <f>IF('M3 Allocations - TD'!Q7="","",'M3 Allocations - TD'!Q33)</f>
        <v>47446.211556775474</v>
      </c>
      <c r="T47" s="19">
        <f>IF('M3 Allocations - TD'!R7="","",'M3 Allocations - TD'!R33)</f>
        <v>83556.534245541465</v>
      </c>
      <c r="U47" s="19">
        <f>IF('M3 Allocations - TD'!S7="","",'M3 Allocations - TD'!S33)</f>
        <v>189049.36683437167</v>
      </c>
      <c r="V47" s="19">
        <f>IF('M3 Allocations - TD'!T7="","",'M3 Allocations - TD'!T33)</f>
        <v>265484.4397628404</v>
      </c>
      <c r="W47" s="19">
        <f>IF('M3 Allocations - TD'!U7="","",'M3 Allocations - TD'!U33)</f>
        <v>248590.59560852987</v>
      </c>
      <c r="X47" s="19">
        <f>IF('M3 Allocations - TD'!V7="","",'M3 Allocations - TD'!V33)</f>
        <v>229992.78825383674</v>
      </c>
      <c r="Y47" s="19">
        <f>IF('M3 Allocations - TD'!W7="","",'M3 Allocations - TD'!W33)</f>
        <v>142655.78999924072</v>
      </c>
      <c r="Z47" s="19">
        <f>IF('M3 Allocations - TD'!X7="","",'M3 Allocations - TD'!X33)</f>
        <v>140592.80164431839</v>
      </c>
      <c r="AA47" s="19">
        <f>IF('M3 Allocations - TD'!Y7="","",'M3 Allocations - TD'!Y33)</f>
        <v>171784.13279113677</v>
      </c>
      <c r="AB47" s="19">
        <f>IF('M3 Allocations - TD'!Z7="","",'M3 Allocations - TD'!Z33)</f>
        <v>283797.45031291858</v>
      </c>
      <c r="AC47" s="19">
        <f>IF('M3 Allocations - TD'!AA7="","",'M3 Allocations - TD'!AA33)</f>
        <v>210481.86723637651</v>
      </c>
      <c r="AD47" s="19">
        <f>IF('M3 Allocations - TD'!AB7="","",'M3 Allocations - TD'!AB33)</f>
        <v>232927.56555946911</v>
      </c>
      <c r="AE47" s="19">
        <f>IF('M3 Allocations - TD'!AC7="","",'M3 Allocations - TD'!AC33)</f>
        <v>221111.27962203597</v>
      </c>
      <c r="AF47" s="19">
        <f>IF('M3 Allocations - TD'!AD7="","",'M3 Allocations - TD'!AD33)</f>
        <v>314679.79966629087</v>
      </c>
      <c r="AG47" s="19">
        <f>IF('M3 Allocations - TD'!AE7="","",'M3 Allocations - TD'!AE33)</f>
        <v>715299.40366319334</v>
      </c>
      <c r="AH47" s="19">
        <f>IF('M3 Allocations - TD'!AF7="","",'M3 Allocations - TD'!AF33)</f>
        <v>953627.42461110547</v>
      </c>
      <c r="AI47" s="19">
        <f>IF('M3 Allocations - TD'!AG7="","",'M3 Allocations - TD'!AG33)</f>
        <v>939310.43288894033</v>
      </c>
      <c r="AJ47" s="19">
        <f>IF('M3 Allocations - TD'!AH7="","",'M3 Allocations - TD'!AH33)</f>
        <v>659615.18241367524</v>
      </c>
      <c r="AK47" s="19">
        <f>IF('M3 Allocations - TD'!AI7="","",'M3 Allocations - TD'!AI33)</f>
        <v>353569.18814987835</v>
      </c>
      <c r="AL47" s="19">
        <f>IF('M3 Allocations - TD'!AJ7="","",'M3 Allocations - TD'!AJ33)</f>
        <v>343727.65210763505</v>
      </c>
      <c r="AM47" s="19">
        <f>IF('M3 Allocations - TD'!AK7="","",'M3 Allocations - TD'!AK33)</f>
        <v>418850.04670264991</v>
      </c>
      <c r="AN47" s="19">
        <f>IF('M3 Allocations - TD'!AL7="","",'M3 Allocations - TD'!AL33)</f>
        <v>627056.98298263596</v>
      </c>
      <c r="AO47" s="19">
        <f>IF('M3 Allocations - TD'!AM7="","",'M3 Allocations - TD'!AM33)</f>
        <v>475288.11809378932</v>
      </c>
      <c r="AP47" s="19">
        <f>IF('M3 Allocations - TD'!AN7="","",'M3 Allocations - TD'!AN33)</f>
        <v>288997.35659879085</v>
      </c>
      <c r="AQ47" s="19">
        <f>IF('M3 Allocations - TD'!AO7="","",'M3 Allocations - TD'!AO33)</f>
        <v>253245.26358346242</v>
      </c>
      <c r="AR47" s="19">
        <f>IF('M3 Allocations - TD'!AP7="","",'M3 Allocations - TD'!AP33)</f>
        <v>337719.24594805558</v>
      </c>
      <c r="AS47" s="19">
        <f>IF('M3 Allocations - TD'!AQ7="","",'M3 Allocations - TD'!AQ33)</f>
        <v>917413.81462190335</v>
      </c>
      <c r="AT47" s="19">
        <f>IF('M3 Allocations - TD'!AR7="","",'M3 Allocations - TD'!AR33)</f>
        <v>1145597.0197120309</v>
      </c>
      <c r="AU47" s="19">
        <f>IF('M3 Allocations - TD'!AS7="","",'M3 Allocations - TD'!AS33)</f>
        <v>988866.58881189337</v>
      </c>
      <c r="AV47" s="19">
        <f>IF('M3 Allocations - TD'!AT7="","",'M3 Allocations - TD'!AT33)</f>
        <v>672365.26793086936</v>
      </c>
      <c r="AW47" s="19">
        <f>IF('M3 Allocations - TD'!AU7="","",'M3 Allocations - TD'!AU33)</f>
        <v>344986.1375718661</v>
      </c>
      <c r="AX47" s="19">
        <f>IF('M3 Allocations - TD'!AV7="","",'M3 Allocations - TD'!AV33)</f>
        <v>367525.10463732504</v>
      </c>
      <c r="AY47" s="19">
        <f>IF('M3 Allocations - TD'!AW7="","",'M3 Allocations - TD'!AW33)</f>
        <v>468411.57966709038</v>
      </c>
      <c r="AZ47" s="19">
        <f>IF('M3 Allocations - TD'!AX7="","",'M3 Allocations - TD'!AX33)</f>
        <v>620203.95847182651</v>
      </c>
      <c r="BA47" s="19">
        <f>IF('M3 Allocations - TD'!AY7="","",'M3 Allocations - TD'!AY33)</f>
        <v>478324.36066286819</v>
      </c>
      <c r="BB47" s="19">
        <f>IF('M3 Allocations - TD'!AZ7="","",'M3 Allocations - TD'!AZ33)</f>
        <v>479847.59845747025</v>
      </c>
      <c r="BC47" s="19">
        <f>IF('M3 Allocations - TD'!BA7="","",'M3 Allocations - TD'!BA33)</f>
        <v>438290.6610723678</v>
      </c>
      <c r="BD47" s="19">
        <f>IF('M3 Allocations - TD'!BB7="","",'M3 Allocations - TD'!BB33)</f>
        <v>600233.99929541291</v>
      </c>
      <c r="BE47" s="19">
        <f>IF('M3 Allocations - TD'!BC7="","",'M3 Allocations - TD'!BC33)</f>
        <v>1562742.7352753344</v>
      </c>
      <c r="BF47" s="19">
        <f>IF('M3 Allocations - TD'!BD7="","",'M3 Allocations - TD'!BD33)</f>
        <v>403317.94432410318</v>
      </c>
      <c r="BG47" s="19">
        <f>IF('M3 Allocations - TD'!BE7="","",'M3 Allocations - TD'!BE33)</f>
        <v>405009.19644890801</v>
      </c>
      <c r="BH47" s="19">
        <f>IF('M3 Allocations - TD'!BF7="","",'M3 Allocations - TD'!BF33)</f>
        <v>309717.05932065495</v>
      </c>
      <c r="BI47" s="19">
        <f>IF('M3 Allocations - TD'!BG7="","",'M3 Allocations - TD'!BG33)</f>
        <v>165446.63321632627</v>
      </c>
      <c r="BJ47" s="19">
        <f>IF('M3 Allocations - TD'!BH7="","",'M3 Allocations - TD'!BH33)</f>
        <v>177257.17636601315</v>
      </c>
      <c r="BK47" s="19">
        <f>IF('M3 Allocations - TD'!BI7="","",'M3 Allocations - TD'!BI33)</f>
        <v>216355.69459913264</v>
      </c>
      <c r="BL47" s="19">
        <f>IF('M3 Allocations - TD'!BJ7="","",'M3 Allocations - TD'!BJ33)</f>
        <v>297766.07742960955</v>
      </c>
      <c r="BM47" s="19">
        <f>IF('M3 Allocations - TD'!BK7="","",'M3 Allocations - TD'!BK33)</f>
        <v>221766.54736590007</v>
      </c>
      <c r="BN47" s="19">
        <f>IF('M3 Allocations - TD'!BL7="","",'M3 Allocations - TD'!BL33)</f>
        <v>235868.07069965589</v>
      </c>
      <c r="BO47" s="19">
        <f>IF('M3 Allocations - TD'!BM7="","",'M3 Allocations - TD'!BM33)</f>
        <v>217209.78009139144</v>
      </c>
      <c r="BP47" s="19">
        <f>IF('M3 Allocations - TD'!BN7="","",'M3 Allocations - TD'!BN33)</f>
        <v>282620.40359287354</v>
      </c>
      <c r="BQ47" s="19">
        <f>IF('M3 Allocations - TD'!BO7="","",'M3 Allocations - TD'!BO33)</f>
        <v>698718.28942311229</v>
      </c>
      <c r="BR47" s="19">
        <f>IF('M3 Allocations - TD'!BP7="","",'M3 Allocations - TD'!BP33)</f>
        <v>853101.84507416235</v>
      </c>
      <c r="BS47" s="19">
        <f>IF('M3 Allocations - TD'!BQ7="","",'M3 Allocations - TD'!BQ33)</f>
        <v>813199.23858644778</v>
      </c>
      <c r="BT47" s="19">
        <f>IF('M3 Allocations - TD'!BR7="","",'M3 Allocations - TD'!BR33)</f>
        <v>604659.70795225631</v>
      </c>
      <c r="BU47" s="19">
        <f>IF('M3 Allocations - TD'!BS7="","",'M3 Allocations - TD'!BS33)</f>
        <v>297586.42900451482</v>
      </c>
      <c r="BV47" s="19">
        <f>IF('M3 Allocations - TD'!BT7="","",'M3 Allocations - TD'!BT33)</f>
        <v>295626.02953037975</v>
      </c>
      <c r="BW47" s="19">
        <f>IF('M3 Allocations - TD'!BU7="","",'M3 Allocations - TD'!BU33)</f>
        <v>340285.85928937874</v>
      </c>
      <c r="BX47" s="19">
        <f>IF('M3 Allocations - TD'!BV7="","",'M3 Allocations - TD'!BV33)</f>
        <v>401361.5413751881</v>
      </c>
      <c r="BY47" s="19">
        <f>IF('M3 Allocations - TD'!BW7="","",'M3 Allocations - TD'!BW33)</f>
        <v>318009.86981433083</v>
      </c>
      <c r="BZ47" s="19">
        <f>IF('M3 Allocations - TD'!BX7="","",'M3 Allocations - TD'!BX33)</f>
        <v>334661.23230941041</v>
      </c>
      <c r="CA47" s="19">
        <f>IF('M3 Allocations - TD'!BY7="","",'M3 Allocations - TD'!BY33)</f>
        <v>306179.11142154119</v>
      </c>
      <c r="CB47" s="19">
        <f>IF('M3 Allocations - TD'!BZ7="","",'M3 Allocations - TD'!BZ33)</f>
        <v>392186.47760127374</v>
      </c>
      <c r="CC47" s="19">
        <f>IF('M3 Allocations - TD'!CA7="","",'M3 Allocations - TD'!CA33)</f>
        <v>81564.533081253991</v>
      </c>
      <c r="CD47" s="19">
        <f>IF('M3 Allocations - TD'!CB7="","",'M3 Allocations - TD'!CB33)</f>
        <v>86326.098423879681</v>
      </c>
      <c r="CE47" s="19">
        <f>IF('M3 Allocations - TD'!CC7="","",'M3 Allocations - TD'!CC33)</f>
        <v>78881.617476605825</v>
      </c>
      <c r="CF47" s="19">
        <f>IF('M3 Allocations - TD'!CD7="","",'M3 Allocations - TD'!CD33)</f>
        <v>54995.142936941818</v>
      </c>
      <c r="CG47" s="19">
        <f>IF('M3 Allocations - TD'!CE7="","",'M3 Allocations - TD'!CE33)</f>
        <v>28392.513048978599</v>
      </c>
      <c r="CH47" s="19">
        <f>IF('M3 Allocations - TD'!CF7="","",'M3 Allocations - TD'!CF33)</f>
        <v>27532.311237571579</v>
      </c>
      <c r="CI47" s="19">
        <f>IF('M3 Allocations - TD'!CG7="","",'M3 Allocations - TD'!CG33)</f>
        <v>32065.131352627686</v>
      </c>
      <c r="CJ47" s="19">
        <f>IF('M3 Allocations - TD'!CH7="","",'M3 Allocations - TD'!CH33)</f>
        <v>33134.796532458939</v>
      </c>
    </row>
    <row r="48" spans="1:88" s="4" customFormat="1" ht="15" hidden="1" customHeight="1" outlineLevel="1" x14ac:dyDescent="0.25">
      <c r="A48" s="276"/>
      <c r="B48" s="15" t="s">
        <v>25</v>
      </c>
      <c r="C48" s="81"/>
      <c r="D48" s="81"/>
      <c r="E48" s="81"/>
      <c r="F48" s="19">
        <f>IF('M3 Allocations - TD'!D53="","",'M3 Allocations - TD'!D71)</f>
        <v>0</v>
      </c>
      <c r="G48" s="19">
        <f>IF('M3 Allocations - TD'!E53="","",'M3 Allocations - TD'!E71)</f>
        <v>0</v>
      </c>
      <c r="H48" s="19">
        <f>IF('M3 Allocations - TD'!F53="","",'M3 Allocations - TD'!F71)</f>
        <v>6753.6701978728988</v>
      </c>
      <c r="I48" s="19">
        <f>IF('M3 Allocations - TD'!G53="","",'M3 Allocations - TD'!G71)</f>
        <v>107151.44580605239</v>
      </c>
      <c r="J48" s="19">
        <f>IF('M3 Allocations - TD'!H53="","",'M3 Allocations - TD'!H71)</f>
        <v>115634.5208649429</v>
      </c>
      <c r="K48" s="19">
        <f>IF('M3 Allocations - TD'!I53="","",'M3 Allocations - TD'!I71)</f>
        <v>118331.81312804784</v>
      </c>
      <c r="L48" s="19">
        <f>IF('M3 Allocations - TD'!J53="","",'M3 Allocations - TD'!J71)</f>
        <v>119601.33814288217</v>
      </c>
      <c r="M48" s="19">
        <f>IF('M3 Allocations - TD'!K53="","",'M3 Allocations - TD'!K71)</f>
        <v>109968.9574924099</v>
      </c>
      <c r="N48" s="19">
        <f>IF('M3 Allocations - TD'!L53="","",'M3 Allocations - TD'!L71)</f>
        <v>96533.881711475129</v>
      </c>
      <c r="O48" s="19">
        <f>IF('M3 Allocations - TD'!M53="","",'M3 Allocations - TD'!M71)</f>
        <v>104142.56971532079</v>
      </c>
      <c r="P48" s="19">
        <f>IF('M3 Allocations - TD'!N53="","",'M3 Allocations - TD'!N71)</f>
        <v>107611.86637282498</v>
      </c>
      <c r="Q48" s="19">
        <f>IF('M3 Allocations - TD'!O53="","",'M3 Allocations - TD'!O71)</f>
        <v>104313.87773241718</v>
      </c>
      <c r="R48" s="19">
        <f>IF('M3 Allocations - TD'!P53="","",'M3 Allocations - TD'!P71)</f>
        <v>98420.974410363575</v>
      </c>
      <c r="S48" s="19">
        <f>IF('M3 Allocations - TD'!Q53="","",'M3 Allocations - TD'!Q71)</f>
        <v>84560.155028366615</v>
      </c>
      <c r="T48" s="19">
        <f>IF('M3 Allocations - TD'!R53="","",'M3 Allocations - TD'!R71)</f>
        <v>79147.524446379844</v>
      </c>
      <c r="U48" s="19">
        <f>IF('M3 Allocations - TD'!S53="","",'M3 Allocations - TD'!S71)</f>
        <v>94049.927973792379</v>
      </c>
      <c r="V48" s="19">
        <f>IF('M3 Allocations - TD'!T53="","",'M3 Allocations - TD'!T71)</f>
        <v>109708.48677351972</v>
      </c>
      <c r="W48" s="19">
        <f>IF('M3 Allocations - TD'!U53="","",'M3 Allocations - TD'!U71)</f>
        <v>109463.73998502946</v>
      </c>
      <c r="X48" s="19">
        <f>IF('M3 Allocations - TD'!V53="","",'M3 Allocations - TD'!V71)</f>
        <v>109154.24836711264</v>
      </c>
      <c r="Y48" s="19">
        <f>IF('M3 Allocations - TD'!W53="","",'M3 Allocations - TD'!W71)</f>
        <v>93111.170115006884</v>
      </c>
      <c r="Z48" s="19">
        <f>IF('M3 Allocations - TD'!X53="","",'M3 Allocations - TD'!X71)</f>
        <v>90314.439841834988</v>
      </c>
      <c r="AA48" s="19">
        <f>IF('M3 Allocations - TD'!Y53="","",'M3 Allocations - TD'!Y71)</f>
        <v>96572.606390330679</v>
      </c>
      <c r="AB48" s="19">
        <f>IF('M3 Allocations - TD'!Z53="","",'M3 Allocations - TD'!Z71)</f>
        <v>102973.56100695563</v>
      </c>
      <c r="AC48" s="19">
        <f>IF('M3 Allocations - TD'!AA53="","",'M3 Allocations - TD'!AA71)</f>
        <v>317054.12799449282</v>
      </c>
      <c r="AD48" s="19">
        <f>IF('M3 Allocations - TD'!AB53="","",'M3 Allocations - TD'!AB71)</f>
        <v>555274.69988765684</v>
      </c>
      <c r="AE48" s="19">
        <f>IF('M3 Allocations - TD'!AC53="","",'M3 Allocations - TD'!AC71)</f>
        <v>496959.09444564459</v>
      </c>
      <c r="AF48" s="19">
        <f>IF('M3 Allocations - TD'!AD53="","",'M3 Allocations - TD'!AD71)</f>
        <v>507462.60422851134</v>
      </c>
      <c r="AG48" s="19">
        <f>IF('M3 Allocations - TD'!AE53="","",'M3 Allocations - TD'!AE71)</f>
        <v>564396.00989380945</v>
      </c>
      <c r="AH48" s="19">
        <f>IF('M3 Allocations - TD'!AF53="","",'M3 Allocations - TD'!AF71)</f>
        <v>660447.26760719228</v>
      </c>
      <c r="AI48" s="19">
        <f>IF('M3 Allocations - TD'!AG53="","",'M3 Allocations - TD'!AG71)</f>
        <v>654260.67532357096</v>
      </c>
      <c r="AJ48" s="19">
        <f>IF('M3 Allocations - TD'!AH53="","",'M3 Allocations - TD'!AH71)</f>
        <v>666957.41235823918</v>
      </c>
      <c r="AK48" s="19">
        <f>IF('M3 Allocations - TD'!AI53="","",'M3 Allocations - TD'!AI71)</f>
        <v>587413.62430156593</v>
      </c>
      <c r="AL48" s="19">
        <f>IF('M3 Allocations - TD'!AJ53="","",'M3 Allocations - TD'!AJ71)</f>
        <v>519976.82051891321</v>
      </c>
      <c r="AM48" s="19">
        <f>IF('M3 Allocations - TD'!AK53="","",'M3 Allocations - TD'!AK71)</f>
        <v>567613.70409043762</v>
      </c>
      <c r="AN48" s="19">
        <f>IF('M3 Allocations - TD'!AL53="","",'M3 Allocations - TD'!AL71)</f>
        <v>605915.85091646248</v>
      </c>
      <c r="AO48" s="19">
        <f>IF('M3 Allocations - TD'!AM53="","",'M3 Allocations - TD'!AM71)</f>
        <v>491377.50787101442</v>
      </c>
      <c r="AP48" s="19">
        <f>IF('M3 Allocations - TD'!AN53="","",'M3 Allocations - TD'!AN71)</f>
        <v>295776.31891815155</v>
      </c>
      <c r="AQ48" s="19">
        <f>IF('M3 Allocations - TD'!AO53="","",'M3 Allocations - TD'!AO71)</f>
        <v>275370.89343587006</v>
      </c>
      <c r="AR48" s="19">
        <f>IF('M3 Allocations - TD'!AP53="","",'M3 Allocations - TD'!AP71)</f>
        <v>285530.13328453153</v>
      </c>
      <c r="AS48" s="19">
        <f>IF('M3 Allocations - TD'!AQ53="","",'M3 Allocations - TD'!AQ71)</f>
        <v>320626.18147462484</v>
      </c>
      <c r="AT48" s="19">
        <f>IF('M3 Allocations - TD'!AR53="","",'M3 Allocations - TD'!AR71)</f>
        <v>359045.8467287785</v>
      </c>
      <c r="AU48" s="19">
        <f>IF('M3 Allocations - TD'!AS53="","",'M3 Allocations - TD'!AS71)</f>
        <v>356393.75583709526</v>
      </c>
      <c r="AV48" s="19">
        <f>IF('M3 Allocations - TD'!AT53="","",'M3 Allocations - TD'!AT71)</f>
        <v>340966.67570072628</v>
      </c>
      <c r="AW48" s="19">
        <f>IF('M3 Allocations - TD'!AU53="","",'M3 Allocations - TD'!AU71)</f>
        <v>293032.69252515415</v>
      </c>
      <c r="AX48" s="19">
        <f>IF('M3 Allocations - TD'!AV53="","",'M3 Allocations - TD'!AV71)</f>
        <v>284530.72242752794</v>
      </c>
      <c r="AY48" s="19">
        <f>IF('M3 Allocations - TD'!AW53="","",'M3 Allocations - TD'!AW71)</f>
        <v>315151.4942720079</v>
      </c>
      <c r="AZ48" s="19">
        <f>IF('M3 Allocations - TD'!AX53="","",'M3 Allocations - TD'!AX71)</f>
        <v>326915.51533468132</v>
      </c>
      <c r="BA48" s="19">
        <f>IF('M3 Allocations - TD'!AY53="","",'M3 Allocations - TD'!AY71)</f>
        <v>495028.13257713738</v>
      </c>
      <c r="BB48" s="19">
        <f>IF('M3 Allocations - TD'!AZ53="","",'M3 Allocations - TD'!AZ71)</f>
        <v>776601.02939900942</v>
      </c>
      <c r="BC48" s="19">
        <f>IF('M3 Allocations - TD'!BA53="","",'M3 Allocations - TD'!BA71)</f>
        <v>744958.66884249065</v>
      </c>
      <c r="BD48" s="19">
        <f>IF('M3 Allocations - TD'!BB53="","",'M3 Allocations - TD'!BB71)</f>
        <v>742679.53603549488</v>
      </c>
      <c r="BE48" s="19">
        <f>IF('M3 Allocations - TD'!BC53="","",'M3 Allocations - TD'!BC71)</f>
        <v>838043.54050146521</v>
      </c>
      <c r="BF48" s="19">
        <f>IF('M3 Allocations - TD'!BD53="","",'M3 Allocations - TD'!BD71)</f>
        <v>901539.36414699082</v>
      </c>
      <c r="BG48" s="19">
        <f>IF('M3 Allocations - TD'!BE53="","",'M3 Allocations - TD'!BE71)</f>
        <v>933578.0584226402</v>
      </c>
      <c r="BH48" s="19">
        <f>IF('M3 Allocations - TD'!BF53="","",'M3 Allocations - TD'!BF71)</f>
        <v>935041.31426513928</v>
      </c>
      <c r="BI48" s="19">
        <f>IF('M3 Allocations - TD'!BG53="","",'M3 Allocations - TD'!BG71)</f>
        <v>822431.07735931734</v>
      </c>
      <c r="BJ48" s="19">
        <f>IF('M3 Allocations - TD'!BH53="","",'M3 Allocations - TD'!BH71)</f>
        <v>757805.67077663436</v>
      </c>
      <c r="BK48" s="19">
        <f>IF('M3 Allocations - TD'!BI53="","",'M3 Allocations - TD'!BI71)</f>
        <v>806243.01024479186</v>
      </c>
      <c r="BL48" s="19">
        <f>IF('M3 Allocations - TD'!BJ53="","",'M3 Allocations - TD'!BJ71)</f>
        <v>887557.66763329331</v>
      </c>
      <c r="BM48" s="19">
        <f>IF('M3 Allocations - TD'!BK53="","",'M3 Allocations - TD'!BK71)</f>
        <v>668377.87423099403</v>
      </c>
      <c r="BN48" s="19">
        <f>IF('M3 Allocations - TD'!BL53="","",'M3 Allocations - TD'!BL71)</f>
        <v>391022.57774303708</v>
      </c>
      <c r="BO48" s="19">
        <f>IF('M3 Allocations - TD'!BM53="","",'M3 Allocations - TD'!BM71)</f>
        <v>386888.30936900136</v>
      </c>
      <c r="BP48" s="19">
        <f>IF('M3 Allocations - TD'!BN53="","",'M3 Allocations - TD'!BN71)</f>
        <v>389331.8334457695</v>
      </c>
      <c r="BQ48" s="19">
        <f>IF('M3 Allocations - TD'!BO53="","",'M3 Allocations - TD'!BO71)</f>
        <v>441026.67746722768</v>
      </c>
      <c r="BR48" s="19">
        <f>IF('M3 Allocations - TD'!BP53="","",'M3 Allocations - TD'!BP71)</f>
        <v>497722.67888960714</v>
      </c>
      <c r="BS48" s="19">
        <f>IF('M3 Allocations - TD'!BQ53="","",'M3 Allocations - TD'!BQ71)</f>
        <v>467145.79989049118</v>
      </c>
      <c r="BT48" s="19">
        <f>IF('M3 Allocations - TD'!BR53="","",'M3 Allocations - TD'!BR71)</f>
        <v>467468.93906646414</v>
      </c>
      <c r="BU48" s="19">
        <f>IF('M3 Allocations - TD'!BS53="","",'M3 Allocations - TD'!BS71)</f>
        <v>417199.16446984245</v>
      </c>
      <c r="BV48" s="19">
        <f>IF('M3 Allocations - TD'!BT53="","",'M3 Allocations - TD'!BT71)</f>
        <v>381239.43518107763</v>
      </c>
      <c r="BW48" s="19">
        <f>IF('M3 Allocations - TD'!BU53="","",'M3 Allocations - TD'!BU71)</f>
        <v>416438.85188440635</v>
      </c>
      <c r="BX48" s="19">
        <f>IF('M3 Allocations - TD'!BV53="","",'M3 Allocations - TD'!BV71)</f>
        <v>456761.08225291135</v>
      </c>
      <c r="BY48" s="19">
        <f>IF('M3 Allocations - TD'!BW53="","",'M3 Allocations - TD'!BW71)</f>
        <v>269174.51952399034</v>
      </c>
      <c r="BZ48" s="19">
        <f>IF('M3 Allocations - TD'!BX53="","",'M3 Allocations - TD'!BX71)</f>
        <v>16266.352441484547</v>
      </c>
      <c r="CA48" s="19">
        <f>IF('M3 Allocations - TD'!BY53="","",'M3 Allocations - TD'!BY71)</f>
        <v>6098.28093311052</v>
      </c>
      <c r="CB48" s="19">
        <f>IF('M3 Allocations - TD'!BZ53="","",'M3 Allocations - TD'!BZ71)</f>
        <v>13569.402848267171</v>
      </c>
      <c r="CC48" s="19">
        <f>IF('M3 Allocations - TD'!CA53="","",'M3 Allocations - TD'!CA71)</f>
        <v>10061.607821545809</v>
      </c>
      <c r="CD48" s="19">
        <f>IF('M3 Allocations - TD'!CB53="","",'M3 Allocations - TD'!CB71)</f>
        <v>13460.358180383437</v>
      </c>
      <c r="CE48" s="19">
        <f>IF('M3 Allocations - TD'!CC53="","",'M3 Allocations - TD'!CC71)</f>
        <v>14904.354654633435</v>
      </c>
      <c r="CF48" s="19">
        <f>IF('M3 Allocations - TD'!CD53="","",'M3 Allocations - TD'!CD71)</f>
        <v>11263.166638272416</v>
      </c>
      <c r="CG48" s="19">
        <f>IF('M3 Allocations - TD'!CE53="","",'M3 Allocations - TD'!CE71)</f>
        <v>10565.405628422865</v>
      </c>
      <c r="CH48" s="19">
        <f>IF('M3 Allocations - TD'!CF53="","",'M3 Allocations - TD'!CF71)</f>
        <v>9852.4743997709302</v>
      </c>
      <c r="CI48" s="19">
        <f>IF('M3 Allocations - TD'!CG53="","",'M3 Allocations - TD'!CG71)</f>
        <v>10631.028177820428</v>
      </c>
      <c r="CJ48" s="19">
        <f>IF('M3 Allocations - TD'!CH53="","",'M3 Allocations - TD'!CH71)</f>
        <v>10911.320906698393</v>
      </c>
    </row>
    <row r="49" spans="1:88" s="4" customFormat="1" ht="15" hidden="1" customHeight="1" outlineLevel="1" x14ac:dyDescent="0.25">
      <c r="A49" s="276"/>
      <c r="B49" s="15" t="s">
        <v>45</v>
      </c>
      <c r="C49" s="81"/>
      <c r="D49" s="81"/>
      <c r="E49" s="81"/>
      <c r="F49" s="19">
        <f>IF(F48="","",0)</f>
        <v>0</v>
      </c>
      <c r="G49" s="19">
        <f t="shared" ref="G49" si="537">IF(G48="","",0)</f>
        <v>0</v>
      </c>
      <c r="H49" s="19">
        <f t="shared" ref="H49" si="538">IF(H48="","",0)</f>
        <v>0</v>
      </c>
      <c r="I49" s="19">
        <f t="shared" ref="I49" si="539">IF(I48="","",0)</f>
        <v>0</v>
      </c>
      <c r="J49" s="19">
        <f t="shared" ref="J49" si="540">IF(J48="","",0)</f>
        <v>0</v>
      </c>
      <c r="K49" s="19">
        <f t="shared" ref="K49" si="541">IF(K48="","",0)</f>
        <v>0</v>
      </c>
      <c r="L49" s="19">
        <f t="shared" ref="L49" si="542">IF(L48="","",0)</f>
        <v>0</v>
      </c>
      <c r="M49" s="19">
        <f t="shared" ref="M49" si="543">IF(M48="","",0)</f>
        <v>0</v>
      </c>
      <c r="N49" s="19">
        <f t="shared" ref="N49" si="544">IF(N48="","",0)</f>
        <v>0</v>
      </c>
      <c r="O49" s="19">
        <f t="shared" ref="O49" si="545">IF(O48="","",0)</f>
        <v>0</v>
      </c>
      <c r="P49" s="19">
        <f t="shared" ref="P49" si="546">IF(P48="","",0)</f>
        <v>0</v>
      </c>
      <c r="Q49" s="19">
        <f>IF(Q48="","",-'M3 TD amort'!C22)</f>
        <v>40612.01</v>
      </c>
      <c r="R49" s="19">
        <f>IF(R48="","",-'M3 TD amort'!D22)</f>
        <v>38351.11</v>
      </c>
      <c r="S49" s="19">
        <f>IF(S48="","",-'M3 TD amort'!E22)</f>
        <v>32774.379999999997</v>
      </c>
      <c r="T49" s="19">
        <f>IF(T48="","",-'M3 TD amort'!F22)</f>
        <v>30569.17</v>
      </c>
      <c r="U49" s="19">
        <f>IF(U48="","",-'M3 TD amort'!G22)</f>
        <v>36225.06</v>
      </c>
      <c r="V49" s="19">
        <f>IF(V48="","",-'M3 TD amort'!H22)</f>
        <v>42295.91</v>
      </c>
      <c r="W49" s="19">
        <f>IF(W48="","",-'M3 TD amort'!I22)</f>
        <v>42141.33</v>
      </c>
      <c r="X49" s="19">
        <f>IF(X48="","",-'M3 TD amort'!J22)</f>
        <v>41942.74</v>
      </c>
      <c r="Y49" s="19">
        <f>IF(Y48="","",-'M3 TD amort'!K22)</f>
        <v>35788.269999999997</v>
      </c>
      <c r="Z49" s="19">
        <f>IF(Z48="","",-'M3 TD amort'!L22)</f>
        <v>34863.54</v>
      </c>
      <c r="AA49" s="19">
        <f>IF(AA48="","",-'M3 TD amort'!M22)</f>
        <v>37469.9</v>
      </c>
      <c r="AB49" s="19">
        <f>IF(AB48="","",-'M3 TD amort'!N22)</f>
        <v>40157.82</v>
      </c>
      <c r="AC49" s="19">
        <f>IF(AC48="","",-'M3 TD amort'!O22)</f>
        <v>-26804.880000000001</v>
      </c>
      <c r="AD49" s="19">
        <f>IF(AD48="","",-'M3 TD amort'!P22)</f>
        <v>-46741.51</v>
      </c>
      <c r="AE49" s="19">
        <f>IF(AE48="","",-'M3 TD amort'!Q22)</f>
        <v>-41624.800000000003</v>
      </c>
      <c r="AF49" s="19">
        <f>IF(AF48="","",-'M3 TD amort'!R22)</f>
        <v>-42397.51</v>
      </c>
      <c r="AG49" s="19">
        <f>IF(AG48="","",-'M3 TD amort'!S22)</f>
        <v>-47114.93</v>
      </c>
      <c r="AH49" s="19">
        <f>IF(AH48="","",-'M3 TD amort'!T22)</f>
        <v>-55182.37</v>
      </c>
      <c r="AI49" s="19">
        <f>IF(AI48="","",-'M3 TD amort'!U22)</f>
        <v>-54689.09</v>
      </c>
      <c r="AJ49" s="19">
        <f>IF(AJ48="","",-'M3 TD amort'!V22)</f>
        <v>-55739.85</v>
      </c>
      <c r="AK49" s="19">
        <f>IF(AK48="","",-'M3 TD amort'!W22)</f>
        <v>-48995.69</v>
      </c>
      <c r="AL49" s="19">
        <f>IF(AL48="","",-'M3 TD amort'!X22)</f>
        <v>-43533.32</v>
      </c>
      <c r="AM49" s="19">
        <f>IF(AM48="","",-'M3 TD amort'!Y22)</f>
        <v>-47580.19</v>
      </c>
      <c r="AN49" s="19">
        <f>IF(AN48="","",-'M3 TD amort'!Z22)</f>
        <v>-50865.22</v>
      </c>
      <c r="AO49" s="19">
        <f>IF(AO48="","",-'M3 TD amort'!AA22)</f>
        <v>38543.78</v>
      </c>
      <c r="AP49" s="19">
        <f>IF(AP48="","",-'M3 TD amort'!AB22)</f>
        <v>23075.85</v>
      </c>
      <c r="AQ49" s="19">
        <f>IF(AQ48="","",-'M3 TD amort'!AC22)</f>
        <v>21444.13</v>
      </c>
      <c r="AR49" s="19">
        <f>IF(AR48="","",-'M3 TD amort'!AD22)</f>
        <v>22179.41</v>
      </c>
      <c r="AS49" s="19">
        <f>IF(AS48="","",-'M3 TD amort'!AE22)</f>
        <v>24889.02</v>
      </c>
      <c r="AT49" s="19">
        <f>IF(AT48="","",-'M3 TD amort'!AF22)</f>
        <v>27910.6</v>
      </c>
      <c r="AU49" s="19">
        <f>IF(AU48="","",-'M3 TD amort'!AG22)</f>
        <v>27712.27</v>
      </c>
      <c r="AV49" s="19">
        <f>IF(AV48="","",-'M3 TD amort'!AH22)</f>
        <v>26504</v>
      </c>
      <c r="AW49" s="19">
        <f>IF(AW48="","",-'M3 TD amort'!AI22)</f>
        <v>22775.33</v>
      </c>
      <c r="AX49" s="19">
        <f>IF(AX48="","",-'M3 TD amort'!AJ22)</f>
        <v>22147.35</v>
      </c>
      <c r="AY49" s="19">
        <f>IF(AY48="","",-'M3 TD amort'!AK22)</f>
        <v>24687.83</v>
      </c>
      <c r="AZ49" s="19">
        <f>IF(AZ48="","",-'M3 TD amort'!AL22)</f>
        <v>25625.98</v>
      </c>
      <c r="BA49" s="19">
        <f>IF(BA48="","",-'M3 TD amort'!AM22)</f>
        <v>-140314.01</v>
      </c>
      <c r="BB49" s="19">
        <f>IF(BB48="","",-'M3 TD amort'!AN22)</f>
        <v>-219033.77</v>
      </c>
      <c r="BC49" s="19">
        <f>IF(BC48="","",-'M3 TD amort'!AO22)</f>
        <v>-209918.87</v>
      </c>
      <c r="BD49" s="19">
        <f>IF(BD48="","",-'M3 TD amort'!AP22)</f>
        <v>-208910.7</v>
      </c>
      <c r="BE49" s="19">
        <f>IF(BE48="","",-'M3 TD amort'!AQ22)</f>
        <v>-235701.66</v>
      </c>
      <c r="BF49" s="19">
        <f>IF(BF48="","",-'M3 TD amort'!AR22)</f>
        <v>-253779.93</v>
      </c>
      <c r="BG49" s="19">
        <f>IF(BG48="","",-'M3 TD amort'!AS22)</f>
        <v>-262841.98</v>
      </c>
      <c r="BH49" s="19">
        <f>IF(BH48="","",-'M3 TD amort'!AT22)</f>
        <v>-263181.37</v>
      </c>
      <c r="BI49" s="19">
        <f>IF(BI48="","",-'M3 TD amort'!AU22)</f>
        <v>-231429.61</v>
      </c>
      <c r="BJ49" s="19">
        <f>IF(BJ48="","",-'M3 TD amort'!AV22)</f>
        <v>-213326.57</v>
      </c>
      <c r="BK49" s="19">
        <f>IF(BK48="","",-'M3 TD amort'!AW22)</f>
        <v>-227485.65</v>
      </c>
      <c r="BL49" s="19">
        <f>IF(BL48="","",-'M3 TD amort'!AX22)</f>
        <v>-250681.84</v>
      </c>
      <c r="BM49" s="19">
        <f>IF(BM48="","",-'M3 TD amort'!AY22)</f>
        <v>146637.76000000001</v>
      </c>
      <c r="BN49" s="19">
        <f>IF(BN48="","",-'M3 TD amort'!AZ22)</f>
        <v>85383.65</v>
      </c>
      <c r="BO49" s="19">
        <f>IF(BO48="","",-'M3 TD amort'!BA22)</f>
        <v>84409.24</v>
      </c>
      <c r="BP49" s="19">
        <f>IF(BP48="","",-'M3 TD amort'!BB22)</f>
        <v>84833.95</v>
      </c>
      <c r="BQ49" s="19">
        <f>IF(BQ48="","",-'M3 TD amort'!BC22)</f>
        <v>96097.95</v>
      </c>
      <c r="BR49" s="19">
        <f>IF(BR48="","",-'M3 TD amort'!BD22)</f>
        <v>108519.56</v>
      </c>
      <c r="BS49" s="19">
        <f>IF(BS48="","",-'M3 TD amort'!BE22)</f>
        <v>101840.57</v>
      </c>
      <c r="BT49" s="19">
        <f>IF(BT48="","",-'M3 TD amort'!BF22)</f>
        <v>101890.01</v>
      </c>
      <c r="BU49" s="19">
        <f>IF(BU48="","",-'M3 TD amort'!BG22)</f>
        <v>90880.12</v>
      </c>
      <c r="BV49" s="19">
        <f>IF(BV48="","",-'M3 TD amort'!BH22)</f>
        <v>83048.45</v>
      </c>
      <c r="BW49" s="19">
        <f>IF(BW48="","",-'M3 TD amort'!BI22)</f>
        <v>90887.97</v>
      </c>
      <c r="BX49" s="19">
        <f>IF(BX48="","",-'M3 TD amort'!BJ22)</f>
        <v>99787.96</v>
      </c>
      <c r="BY49" s="19">
        <f>IF(BY48="","",-'M3 TD amort'!$BL$22)</f>
        <v>110728.66062183333</v>
      </c>
      <c r="BZ49" s="19">
        <f>IF(BZ48="","",-'M3 TD amort'!$BL$22)</f>
        <v>110728.66062183333</v>
      </c>
      <c r="CA49" s="19">
        <f>IF(CA48="","",-'M3 TD amort'!$BL$22)</f>
        <v>110728.66062183333</v>
      </c>
      <c r="CB49" s="19">
        <f>IF(CB48="","",-'M3 TD amort'!$BL$22)</f>
        <v>110728.66062183333</v>
      </c>
      <c r="CC49" s="19">
        <f>IF(CC48="","",-'M3 TD amort'!$BL$22)</f>
        <v>110728.66062183333</v>
      </c>
      <c r="CD49" s="19">
        <f>IF(CD48="","",-'M3 TD amort'!$BL$22)</f>
        <v>110728.66062183333</v>
      </c>
      <c r="CE49" s="19">
        <f>IF(CE48="","",-'M3 TD amort'!$BL$22)</f>
        <v>110728.66062183333</v>
      </c>
      <c r="CF49" s="19">
        <f>IF(CF48="","",-'M3 TD amort'!$BL$22)</f>
        <v>110728.66062183333</v>
      </c>
      <c r="CG49" s="19">
        <f>IF(CG48="","",-'M3 TD amort'!$BL$22)</f>
        <v>110728.66062183333</v>
      </c>
      <c r="CH49" s="19">
        <f>IF(CH48="","",-'M3 TD amort'!$BL$22)</f>
        <v>110728.66062183333</v>
      </c>
      <c r="CI49" s="19">
        <f>IF(CI48="","",-'M3 TD amort'!$BL$22)</f>
        <v>110728.66062183333</v>
      </c>
      <c r="CJ49" s="19">
        <f>IF(CJ48="","",-'M3 TD amort'!$BL$22)</f>
        <v>110728.66062183333</v>
      </c>
    </row>
    <row r="50" spans="1:88" s="4" customFormat="1" ht="15" hidden="1" customHeight="1" outlineLevel="1" x14ac:dyDescent="0.25">
      <c r="A50" s="276"/>
      <c r="B50" s="15" t="s">
        <v>46</v>
      </c>
      <c r="C50" s="81"/>
      <c r="D50" s="81"/>
      <c r="E50" s="81"/>
      <c r="F50" s="7">
        <f t="shared" ref="F50:M50" si="547">IF(OR(F49="",F48=""),"",F48+F49)</f>
        <v>0</v>
      </c>
      <c r="G50" s="7">
        <f t="shared" si="547"/>
        <v>0</v>
      </c>
      <c r="H50" s="7">
        <f t="shared" si="547"/>
        <v>6753.6701978728988</v>
      </c>
      <c r="I50" s="7">
        <f t="shared" si="547"/>
        <v>107151.44580605239</v>
      </c>
      <c r="J50" s="7">
        <f t="shared" si="547"/>
        <v>115634.5208649429</v>
      </c>
      <c r="K50" s="7">
        <f t="shared" si="547"/>
        <v>118331.81312804784</v>
      </c>
      <c r="L50" s="7">
        <f t="shared" si="547"/>
        <v>119601.33814288217</v>
      </c>
      <c r="M50" s="7">
        <f t="shared" si="547"/>
        <v>109968.9574924099</v>
      </c>
      <c r="N50" s="7">
        <f>IF(OR(N49="",N48=""),"",N48+N49)</f>
        <v>96533.881711475129</v>
      </c>
      <c r="O50" s="7">
        <f t="shared" ref="O50:AE50" si="548">IF(OR(O49="",O48=""),"",O48+O49)</f>
        <v>104142.56971532079</v>
      </c>
      <c r="P50" s="7">
        <f t="shared" si="548"/>
        <v>107611.86637282498</v>
      </c>
      <c r="Q50" s="7">
        <f t="shared" si="548"/>
        <v>144925.88773241718</v>
      </c>
      <c r="R50" s="7">
        <f t="shared" si="548"/>
        <v>136772.08441036358</v>
      </c>
      <c r="S50" s="7">
        <f t="shared" si="548"/>
        <v>117334.5350283666</v>
      </c>
      <c r="T50" s="7">
        <f t="shared" si="548"/>
        <v>109716.69444637984</v>
      </c>
      <c r="U50" s="7">
        <f t="shared" si="548"/>
        <v>130274.98797379238</v>
      </c>
      <c r="V50" s="7">
        <f t="shared" si="548"/>
        <v>152004.39677351972</v>
      </c>
      <c r="W50" s="7">
        <f t="shared" si="548"/>
        <v>151605.06998502946</v>
      </c>
      <c r="X50" s="7">
        <f t="shared" si="548"/>
        <v>151096.98836711264</v>
      </c>
      <c r="Y50" s="7">
        <f t="shared" si="548"/>
        <v>128899.44011500687</v>
      </c>
      <c r="Z50" s="7">
        <f t="shared" si="548"/>
        <v>125177.97984183498</v>
      </c>
      <c r="AA50" s="7">
        <f t="shared" si="548"/>
        <v>134042.50639033067</v>
      </c>
      <c r="AB50" s="7">
        <f t="shared" si="548"/>
        <v>143131.38100695563</v>
      </c>
      <c r="AC50" s="7">
        <f t="shared" si="548"/>
        <v>290249.24799449282</v>
      </c>
      <c r="AD50" s="7">
        <f t="shared" si="548"/>
        <v>508533.18988765683</v>
      </c>
      <c r="AE50" s="7">
        <f t="shared" si="548"/>
        <v>455334.2944456446</v>
      </c>
      <c r="AF50" s="7">
        <f t="shared" ref="AF50:AV50" si="549">IF(OR(AF49="",AF48=""),"",AF48+AF49)</f>
        <v>465065.09422851133</v>
      </c>
      <c r="AG50" s="7">
        <f t="shared" si="549"/>
        <v>517281.07989380945</v>
      </c>
      <c r="AH50" s="7">
        <f t="shared" si="549"/>
        <v>605264.89760719228</v>
      </c>
      <c r="AI50" s="7">
        <f t="shared" si="549"/>
        <v>599571.58532357099</v>
      </c>
      <c r="AJ50" s="7">
        <f t="shared" si="549"/>
        <v>611217.5623582392</v>
      </c>
      <c r="AK50" s="7">
        <f t="shared" si="549"/>
        <v>538417.93430156587</v>
      </c>
      <c r="AL50" s="7">
        <f t="shared" si="549"/>
        <v>476443.50051891321</v>
      </c>
      <c r="AM50" s="7">
        <f t="shared" si="549"/>
        <v>520033.51409043762</v>
      </c>
      <c r="AN50" s="7">
        <f t="shared" si="549"/>
        <v>555050.63091646251</v>
      </c>
      <c r="AO50" s="7">
        <f t="shared" si="549"/>
        <v>529921.28787101444</v>
      </c>
      <c r="AP50" s="7">
        <f t="shared" si="549"/>
        <v>318852.16891815152</v>
      </c>
      <c r="AQ50" s="7">
        <f t="shared" si="549"/>
        <v>296815.02343587007</v>
      </c>
      <c r="AR50" s="7">
        <f t="shared" si="549"/>
        <v>307709.54328453151</v>
      </c>
      <c r="AS50" s="7">
        <f t="shared" si="549"/>
        <v>345515.20147462486</v>
      </c>
      <c r="AT50" s="7">
        <f t="shared" si="549"/>
        <v>386956.44672877848</v>
      </c>
      <c r="AU50" s="7">
        <f t="shared" si="549"/>
        <v>384106.02583709528</v>
      </c>
      <c r="AV50" s="7">
        <f t="shared" si="549"/>
        <v>367470.67570072628</v>
      </c>
      <c r="AW50" s="7">
        <f>IF(OR(AW49="",AW48=""),"",AW48+AW49)</f>
        <v>315808.02252515417</v>
      </c>
      <c r="AX50" s="7">
        <f t="shared" ref="AX50:AY50" si="550">IF(OR(AX49="",AX48=""),"",AX48+AX49)</f>
        <v>306678.07242752792</v>
      </c>
      <c r="AY50" s="7">
        <f t="shared" si="550"/>
        <v>339839.32427200791</v>
      </c>
      <c r="AZ50" s="7">
        <f t="shared" ref="AZ50:BA50" si="551">IF(OR(AZ49="",AZ48=""),"",AZ48+AZ49)</f>
        <v>352541.4953346813</v>
      </c>
      <c r="BA50" s="7">
        <f t="shared" si="551"/>
        <v>354714.12257713737</v>
      </c>
      <c r="BB50" s="7">
        <f t="shared" ref="BB50:BC50" si="552">IF(OR(BB49="",BB48=""),"",BB48+BB49)</f>
        <v>557567.2593990094</v>
      </c>
      <c r="BC50" s="7">
        <f t="shared" si="552"/>
        <v>535039.79884249065</v>
      </c>
      <c r="BD50" s="7">
        <f t="shared" ref="BD50:BE50" si="553">IF(OR(BD49="",BD48=""),"",BD48+BD49)</f>
        <v>533768.83603549493</v>
      </c>
      <c r="BE50" s="7">
        <f t="shared" si="553"/>
        <v>602341.88050146517</v>
      </c>
      <c r="BF50" s="7">
        <f t="shared" ref="BF50:BG50" si="554">IF(OR(BF49="",BF48=""),"",BF48+BF49)</f>
        <v>647759.43414699077</v>
      </c>
      <c r="BG50" s="7">
        <f t="shared" si="554"/>
        <v>670736.07842264022</v>
      </c>
      <c r="BH50" s="7">
        <f t="shared" ref="BH50:BI50" si="555">IF(OR(BH49="",BH48=""),"",BH48+BH49)</f>
        <v>671859.94426513929</v>
      </c>
      <c r="BI50" s="7">
        <f t="shared" si="555"/>
        <v>591001.46735931735</v>
      </c>
      <c r="BJ50" s="7">
        <f t="shared" ref="BJ50:BK50" si="556">IF(OR(BJ49="",BJ48=""),"",BJ48+BJ49)</f>
        <v>544479.10077663441</v>
      </c>
      <c r="BK50" s="7">
        <f t="shared" si="556"/>
        <v>578757.36024479184</v>
      </c>
      <c r="BL50" s="7">
        <f t="shared" ref="BL50:BM50" si="557">IF(OR(BL49="",BL48=""),"",BL48+BL49)</f>
        <v>636875.82763329335</v>
      </c>
      <c r="BM50" s="7">
        <f t="shared" si="557"/>
        <v>815015.63423099404</v>
      </c>
      <c r="BN50" s="7">
        <f t="shared" ref="BN50:BO50" si="558">IF(OR(BN49="",BN48=""),"",BN48+BN49)</f>
        <v>476406.22774303705</v>
      </c>
      <c r="BO50" s="7">
        <f t="shared" si="558"/>
        <v>471297.54936900135</v>
      </c>
      <c r="BP50" s="7">
        <f t="shared" ref="BP50:BQ50" si="559">IF(OR(BP49="",BP48=""),"",BP48+BP49)</f>
        <v>474165.78344576951</v>
      </c>
      <c r="BQ50" s="7">
        <f t="shared" si="559"/>
        <v>537124.62746722763</v>
      </c>
      <c r="BR50" s="7">
        <f t="shared" ref="BR50:BS50" si="560">IF(OR(BR49="",BR48=""),"",BR48+BR49)</f>
        <v>606242.23888960714</v>
      </c>
      <c r="BS50" s="7">
        <f t="shared" si="560"/>
        <v>568986.36989049125</v>
      </c>
      <c r="BT50" s="7">
        <f t="shared" ref="BT50:BU50" si="561">IF(OR(BT49="",BT48=""),"",BT48+BT49)</f>
        <v>569358.94906646409</v>
      </c>
      <c r="BU50" s="7">
        <f t="shared" si="561"/>
        <v>508079.28446984245</v>
      </c>
      <c r="BV50" s="7">
        <f t="shared" ref="BV50:BW50" si="562">IF(OR(BV49="",BV48=""),"",BV48+BV49)</f>
        <v>464287.88518107764</v>
      </c>
      <c r="BW50" s="7">
        <f t="shared" si="562"/>
        <v>507326.82188440638</v>
      </c>
      <c r="BX50" s="7">
        <f t="shared" ref="BX50:BY50" si="563">IF(OR(BX49="",BX48=""),"",BX48+BX49)</f>
        <v>556549.04225291137</v>
      </c>
      <c r="BY50" s="7">
        <f t="shared" si="563"/>
        <v>379903.18014582369</v>
      </c>
      <c r="BZ50" s="7">
        <f t="shared" ref="BZ50:CA50" si="564">IF(OR(BZ49="",BZ48=""),"",BZ48+BZ49)</f>
        <v>126995.01306331788</v>
      </c>
      <c r="CA50" s="7">
        <f t="shared" si="564"/>
        <v>116826.94155494386</v>
      </c>
      <c r="CB50" s="7">
        <f t="shared" ref="CB50:CC50" si="565">IF(OR(CB49="",CB48=""),"",CB48+CB49)</f>
        <v>124298.0634701005</v>
      </c>
      <c r="CC50" s="7">
        <f t="shared" si="565"/>
        <v>120790.26844337914</v>
      </c>
      <c r="CD50" s="7">
        <f t="shared" ref="CD50:CE50" si="566">IF(OR(CD49="",CD48=""),"",CD48+CD49)</f>
        <v>124189.01880221677</v>
      </c>
      <c r="CE50" s="7">
        <f t="shared" si="566"/>
        <v>125633.01527646677</v>
      </c>
      <c r="CF50" s="7">
        <f t="shared" ref="CF50:CG50" si="567">IF(OR(CF49="",CF48=""),"",CF48+CF49)</f>
        <v>121991.82726010575</v>
      </c>
      <c r="CG50" s="7">
        <f t="shared" si="567"/>
        <v>121294.0662502562</v>
      </c>
      <c r="CH50" s="7">
        <f t="shared" ref="CH50:CI50" si="568">IF(OR(CH49="",CH48=""),"",CH48+CH49)</f>
        <v>120581.13502160426</v>
      </c>
      <c r="CI50" s="7">
        <f t="shared" si="568"/>
        <v>121359.68879965376</v>
      </c>
      <c r="CJ50" s="7">
        <f t="shared" ref="CJ50" si="569">IF(OR(CJ49="",CJ48=""),"",CJ48+CJ49)</f>
        <v>121639.98152853173</v>
      </c>
    </row>
    <row r="51" spans="1:88" s="4" customFormat="1" hidden="1" outlineLevel="1" x14ac:dyDescent="0.25">
      <c r="A51" s="276"/>
      <c r="B51" s="15" t="s">
        <v>12</v>
      </c>
      <c r="C51" s="81"/>
      <c r="D51" s="81"/>
      <c r="E51" s="81"/>
      <c r="F51" s="7">
        <f t="shared" ref="F51:M51" si="570">IF(OR(F48="",F47=""),"",F47-F48)</f>
        <v>0.36790548240712501</v>
      </c>
      <c r="G51" s="7">
        <f t="shared" si="570"/>
        <v>549.3842450882164</v>
      </c>
      <c r="H51" s="7">
        <f t="shared" si="570"/>
        <v>-2931.1326047334169</v>
      </c>
      <c r="I51" s="7">
        <f t="shared" si="570"/>
        <v>-90370.113443998154</v>
      </c>
      <c r="J51" s="7">
        <f t="shared" si="570"/>
        <v>-75556.802484400338</v>
      </c>
      <c r="K51" s="7">
        <f t="shared" si="570"/>
        <v>-64270.675133255725</v>
      </c>
      <c r="L51" s="7">
        <f t="shared" si="570"/>
        <v>-39992.989537141941</v>
      </c>
      <c r="M51" s="7">
        <f t="shared" si="570"/>
        <v>-53536.042368776616</v>
      </c>
      <c r="N51" s="7">
        <f>IF(OR(N50="",N47=""),"",N47-N50)</f>
        <v>-11728.216706934807</v>
      </c>
      <c r="O51" s="7">
        <f t="shared" ref="O51:AE51" si="571">IF(OR(O50="",O47=""),"",O47-O50)</f>
        <v>-2556.6017182829091</v>
      </c>
      <c r="P51" s="7">
        <f t="shared" si="571"/>
        <v>46597.399590637317</v>
      </c>
      <c r="Q51" s="7">
        <f t="shared" si="571"/>
        <v>-22228.966360419829</v>
      </c>
      <c r="R51" s="7">
        <f t="shared" si="571"/>
        <v>-13360.21052983425</v>
      </c>
      <c r="S51" s="7">
        <f t="shared" si="571"/>
        <v>-69888.323471591139</v>
      </c>
      <c r="T51" s="7">
        <f t="shared" si="571"/>
        <v>-26160.160200838378</v>
      </c>
      <c r="U51" s="7">
        <f t="shared" si="571"/>
        <v>58774.378860579294</v>
      </c>
      <c r="V51" s="7">
        <f t="shared" si="571"/>
        <v>113480.04298932067</v>
      </c>
      <c r="W51" s="7">
        <f t="shared" si="571"/>
        <v>96985.525623500405</v>
      </c>
      <c r="X51" s="7">
        <f t="shared" si="571"/>
        <v>78895.799886724097</v>
      </c>
      <c r="Y51" s="7">
        <f t="shared" si="571"/>
        <v>13756.349884233845</v>
      </c>
      <c r="Z51" s="7">
        <f t="shared" si="571"/>
        <v>15414.821802483406</v>
      </c>
      <c r="AA51" s="7">
        <f t="shared" si="571"/>
        <v>37741.626400806097</v>
      </c>
      <c r="AB51" s="7">
        <f t="shared" si="571"/>
        <v>140666.06930596294</v>
      </c>
      <c r="AC51" s="7">
        <f t="shared" si="571"/>
        <v>-79767.380758116313</v>
      </c>
      <c r="AD51" s="7">
        <f t="shared" si="571"/>
        <v>-275605.62432818773</v>
      </c>
      <c r="AE51" s="7">
        <f t="shared" si="571"/>
        <v>-234223.01482360862</v>
      </c>
      <c r="AF51" s="7">
        <f t="shared" ref="AF51:AV51" si="572">IF(OR(AF50="",AF47=""),"",AF47-AF50)</f>
        <v>-150385.29456222046</v>
      </c>
      <c r="AG51" s="7">
        <f t="shared" si="572"/>
        <v>198018.32376938389</v>
      </c>
      <c r="AH51" s="7">
        <f t="shared" si="572"/>
        <v>348362.52700391319</v>
      </c>
      <c r="AI51" s="7">
        <f t="shared" si="572"/>
        <v>339738.84756536933</v>
      </c>
      <c r="AJ51" s="7">
        <f t="shared" si="572"/>
        <v>48397.62005543604</v>
      </c>
      <c r="AK51" s="7">
        <f t="shared" si="572"/>
        <v>-184848.74615168752</v>
      </c>
      <c r="AL51" s="7">
        <f t="shared" si="572"/>
        <v>-132715.84841127816</v>
      </c>
      <c r="AM51" s="7">
        <f t="shared" si="572"/>
        <v>-101183.46738778771</v>
      </c>
      <c r="AN51" s="7">
        <f t="shared" si="572"/>
        <v>72006.352066173451</v>
      </c>
      <c r="AO51" s="7">
        <f t="shared" si="572"/>
        <v>-54633.169777225121</v>
      </c>
      <c r="AP51" s="7">
        <f t="shared" si="572"/>
        <v>-29854.812319360673</v>
      </c>
      <c r="AQ51" s="7">
        <f t="shared" si="572"/>
        <v>-43569.759852407646</v>
      </c>
      <c r="AR51" s="7">
        <f t="shared" si="572"/>
        <v>30009.702663524076</v>
      </c>
      <c r="AS51" s="7">
        <f t="shared" si="572"/>
        <v>571898.61314727855</v>
      </c>
      <c r="AT51" s="7">
        <f t="shared" si="572"/>
        <v>758640.57298325235</v>
      </c>
      <c r="AU51" s="7">
        <f t="shared" si="572"/>
        <v>604760.56297479803</v>
      </c>
      <c r="AV51" s="7">
        <f t="shared" si="572"/>
        <v>304894.59223014308</v>
      </c>
      <c r="AW51" s="108">
        <f>IF(OR(AW50="",AW47=""),"",AW47-AW50)+AW46</f>
        <v>83751.398420539015</v>
      </c>
      <c r="AX51" s="7">
        <f t="shared" ref="AX51:AY51" si="573">IF(OR(AX50="",AX47=""),"",AX47-AX50)</f>
        <v>60847.032209797122</v>
      </c>
      <c r="AY51" s="7">
        <f t="shared" si="573"/>
        <v>128572.25539508247</v>
      </c>
      <c r="AZ51" s="7">
        <f t="shared" ref="AZ51:BA51" si="574">IF(OR(AZ50="",AZ47=""),"",AZ47-AZ50)</f>
        <v>267662.46313714521</v>
      </c>
      <c r="BA51" s="7">
        <f t="shared" si="574"/>
        <v>123610.23808573082</v>
      </c>
      <c r="BB51" s="7">
        <f t="shared" ref="BB51:BC51" si="575">IF(OR(BB50="",BB47=""),"",BB47-BB50)</f>
        <v>-77719.660941539158</v>
      </c>
      <c r="BC51" s="7">
        <f t="shared" si="575"/>
        <v>-96749.137770122848</v>
      </c>
      <c r="BD51" s="7">
        <f t="shared" ref="BD51:BE51" si="576">IF(OR(BD50="",BD47=""),"",BD47-BD50)</f>
        <v>66465.163259917987</v>
      </c>
      <c r="BE51" s="7">
        <f t="shared" si="576"/>
        <v>960400.85477386927</v>
      </c>
      <c r="BF51" s="7">
        <f t="shared" ref="BF51:BG51" si="577">IF(OR(BF50="",BF47=""),"",BF47-BF50)</f>
        <v>-244441.48982288758</v>
      </c>
      <c r="BG51" s="7">
        <f t="shared" si="577"/>
        <v>-265726.8819737322</v>
      </c>
      <c r="BH51" s="7">
        <f t="shared" ref="BH51:BI51" si="578">IF(OR(BH50="",BH47=""),"",BH47-BH50)</f>
        <v>-362142.88494448434</v>
      </c>
      <c r="BI51" s="7">
        <f t="shared" si="578"/>
        <v>-425554.83414299111</v>
      </c>
      <c r="BJ51" s="7">
        <f t="shared" ref="BJ51:BK51" si="579">IF(OR(BJ50="",BJ47=""),"",BJ47-BJ50)</f>
        <v>-367221.92441062129</v>
      </c>
      <c r="BK51" s="7">
        <f t="shared" si="579"/>
        <v>-362401.6656456592</v>
      </c>
      <c r="BL51" s="7">
        <f t="shared" ref="BL51:BM51" si="580">IF(OR(BL50="",BL47=""),"",BL47-BL50)</f>
        <v>-339109.7502036838</v>
      </c>
      <c r="BM51" s="7">
        <f t="shared" si="580"/>
        <v>-593249.08686509402</v>
      </c>
      <c r="BN51" s="7">
        <f t="shared" ref="BN51:BO51" si="581">IF(OR(BN50="",BN47=""),"",BN47-BN50)</f>
        <v>-240538.15704338116</v>
      </c>
      <c r="BO51" s="7">
        <f t="shared" si="581"/>
        <v>-254087.76927760991</v>
      </c>
      <c r="BP51" s="7">
        <f t="shared" ref="BP51:BQ51" si="582">IF(OR(BP50="",BP47=""),"",BP47-BP50)</f>
        <v>-191545.37985289597</v>
      </c>
      <c r="BQ51" s="7">
        <f t="shared" si="582"/>
        <v>161593.66195588466</v>
      </c>
      <c r="BR51" s="7">
        <f t="shared" ref="BR51:BS51" si="583">IF(OR(BR50="",BR47=""),"",BR47-BR50)</f>
        <v>246859.60618455522</v>
      </c>
      <c r="BS51" s="7">
        <f t="shared" si="583"/>
        <v>244212.86869595654</v>
      </c>
      <c r="BT51" s="7">
        <f t="shared" ref="BT51:BU51" si="584">IF(OR(BT50="",BT47=""),"",BT47-BT50)</f>
        <v>35300.758885792224</v>
      </c>
      <c r="BU51" s="7">
        <f t="shared" si="584"/>
        <v>-210492.85546532762</v>
      </c>
      <c r="BV51" s="7">
        <f t="shared" ref="BV51:BW51" si="585">IF(OR(BV50="",BV47=""),"",BV47-BV50)</f>
        <v>-168661.85565069789</v>
      </c>
      <c r="BW51" s="7">
        <f t="shared" si="585"/>
        <v>-167040.96259502764</v>
      </c>
      <c r="BX51" s="7">
        <f t="shared" ref="BX51:BY51" si="586">IF(OR(BX50="",BX47=""),"",BX47-BX50)</f>
        <v>-155187.50087772327</v>
      </c>
      <c r="BY51" s="7">
        <f t="shared" si="586"/>
        <v>-61893.310331492859</v>
      </c>
      <c r="BZ51" s="7">
        <f t="shared" ref="BZ51:CA51" si="587">IF(OR(BZ50="",BZ47=""),"",BZ47-BZ50)</f>
        <v>207666.21924609254</v>
      </c>
      <c r="CA51" s="7">
        <f t="shared" si="587"/>
        <v>189352.16986659734</v>
      </c>
      <c r="CB51" s="7">
        <f t="shared" ref="CB51:CC51" si="588">IF(OR(CB50="",CB47=""),"",CB47-CB50)</f>
        <v>267888.41413117322</v>
      </c>
      <c r="CC51" s="7">
        <f t="shared" si="588"/>
        <v>-39225.735362125153</v>
      </c>
      <c r="CD51" s="7">
        <f t="shared" ref="CD51:CE51" si="589">IF(OR(CD50="",CD47=""),"",CD47-CD50)</f>
        <v>-37862.92037833709</v>
      </c>
      <c r="CE51" s="7">
        <f t="shared" si="589"/>
        <v>-46751.397799860948</v>
      </c>
      <c r="CF51" s="7">
        <f t="shared" ref="CF51:CG51" si="590">IF(OR(CF50="",CF47=""),"",CF47-CF50)</f>
        <v>-66996.684323163936</v>
      </c>
      <c r="CG51" s="7">
        <f t="shared" si="590"/>
        <v>-92901.553201277609</v>
      </c>
      <c r="CH51" s="7">
        <f t="shared" ref="CH51:CI51" si="591">IF(OR(CH50="",CH47=""),"",CH47-CH50)</f>
        <v>-93048.823784032691</v>
      </c>
      <c r="CI51" s="7">
        <f t="shared" si="591"/>
        <v>-89294.557447026076</v>
      </c>
      <c r="CJ51" s="7">
        <f t="shared" ref="CJ51" si="592">IF(OR(CJ50="",CJ47=""),"",CJ47-CJ50)</f>
        <v>-88505.184996072785</v>
      </c>
    </row>
    <row r="52" spans="1:88" s="4" customFormat="1" hidden="1" outlineLevel="1" x14ac:dyDescent="0.25">
      <c r="A52" s="276"/>
      <c r="B52" s="16" t="s">
        <v>7</v>
      </c>
      <c r="C52" s="81"/>
      <c r="D52" s="81"/>
      <c r="E52" s="81"/>
      <c r="F52" s="7">
        <f>IF(OR(F9="",F51=""),"",ROUND((F51+E54)*F9/12,2))</f>
        <v>0</v>
      </c>
      <c r="G52" s="7">
        <f t="shared" ref="G52:L52" si="593">IF(OR(G9="",G51=""),"",ROUND((G51+F54)*G9/12,2))</f>
        <v>1.22</v>
      </c>
      <c r="H52" s="7">
        <f t="shared" si="593"/>
        <v>-5.31</v>
      </c>
      <c r="I52" s="7">
        <f t="shared" si="593"/>
        <v>-204.84</v>
      </c>
      <c r="J52" s="7">
        <f t="shared" si="593"/>
        <v>-364.4</v>
      </c>
      <c r="K52" s="7">
        <f t="shared" si="593"/>
        <v>-456.82</v>
      </c>
      <c r="L52" s="7">
        <f t="shared" si="593"/>
        <v>-505.45</v>
      </c>
      <c r="M52" s="7">
        <f t="shared" ref="M52" si="594">IF(OR(M9="",M51=""),"",ROUND((M51+L54)*M9/12,2))</f>
        <v>-577.17999999999995</v>
      </c>
      <c r="N52" s="98">
        <f>IF(OR(N9="",N51=""),"",ROUND((N51+M54)*N9/12,2))+N46</f>
        <v>-419.03000000000043</v>
      </c>
      <c r="O52" s="7">
        <f t="shared" ref="O52" si="595">IF(OR(O9="",O51=""),"",ROUND((O51+N54)*O9/12,2))</f>
        <v>-547.30999999999995</v>
      </c>
      <c r="P52" s="7">
        <f t="shared" ref="P52" si="596">IF(OR(P9="",P51=""),"",ROUND((P51+O54)*P9/12,2))</f>
        <v>-467.35</v>
      </c>
      <c r="Q52" s="7">
        <f t="shared" ref="Q52:R52" si="597">IF(OR(Q9="",Q51=""),"",ROUND((Q51+P54)*Q9/12,2))</f>
        <v>-480.31</v>
      </c>
      <c r="R52" s="7">
        <f t="shared" si="597"/>
        <v>-460.82</v>
      </c>
      <c r="S52" s="7">
        <f t="shared" ref="S52" si="598">IF(OR(S9="",S51=""),"",ROUND((S51+R54)*S9/12,2))</f>
        <v>-254.01</v>
      </c>
      <c r="T52" s="7">
        <f t="shared" ref="T52" si="599">IF(OR(T9="",T51=""),"",ROUND((T51+S54)*T9/12,2))</f>
        <v>-34.25</v>
      </c>
      <c r="U52" s="7">
        <f t="shared" ref="U52" si="600">IF(OR(U9="",U51=""),"",ROUND((U51+T54)*U9/12,2))</f>
        <v>-23.99</v>
      </c>
      <c r="V52" s="7">
        <f t="shared" ref="V52" si="601">IF(OR(V9="",V51=""),"",ROUND((V51+U54)*V9/12,2))</f>
        <v>-12.82</v>
      </c>
      <c r="W52" s="7">
        <f>IF(OR(W9="",W51=""),"",ROUND((W51+V54)*W9/12,2))</f>
        <v>6.81</v>
      </c>
      <c r="X52" s="7">
        <f t="shared" ref="X52" si="602">IF(OR(X9="",X51=""),"",ROUND((X51+W54)*X9/12,2))</f>
        <v>18.68</v>
      </c>
      <c r="Y52" s="7">
        <f>IF(OR(Y9="",Y51=""),"",ROUND((Y51+X54)*Y9/12,2))</f>
        <v>39.43</v>
      </c>
      <c r="Z52" s="7">
        <f>IF(OR(Z9="",Z51=""),"",ROUND((Z49+Z51+Y54+Z46)*Z9/12,2))+Z46</f>
        <v>244.25999999999948</v>
      </c>
      <c r="AA52" s="7">
        <f>IF(OR(AA9="",AA51=""),"",ROUND((AA49+AA51+Z54)*AA9/12,2))</f>
        <v>94.46</v>
      </c>
      <c r="AB52" s="7">
        <f>IF(OR(AB9="",AB51=""),"",ROUND((AB49+AB51+AA54)*AB9/12,2))</f>
        <v>99.47</v>
      </c>
      <c r="AC52" s="7">
        <f t="shared" ref="AC52:AE52" si="603">IF(OR(AC9="",AC51=""),"",ROUND((AC49+AC51+AB54)*AC9/12,2))</f>
        <v>91.45</v>
      </c>
      <c r="AD52" s="7">
        <f t="shared" si="603"/>
        <v>26.77</v>
      </c>
      <c r="AE52" s="7">
        <f t="shared" si="603"/>
        <v>-23.54</v>
      </c>
      <c r="AF52" s="7">
        <f t="shared" ref="AF52" si="604">IF(OR(AF9="",AF51=""),"",ROUND((AF49+AF51+AE54)*AF9/12,2))</f>
        <v>-59.49</v>
      </c>
      <c r="AG52" s="7">
        <f t="shared" ref="AG52" si="605">IF(OR(AG9="",AG51=""),"",ROUND((AG49+AG51+AF54)*AG9/12,2))</f>
        <v>-28.14</v>
      </c>
      <c r="AH52" s="7">
        <f t="shared" ref="AH52" si="606">IF(OR(AH9="",AH51=""),"",ROUND((AH49+AH51+AG54)*AH9/12,2))</f>
        <v>14.62</v>
      </c>
      <c r="AI52" s="7">
        <f t="shared" ref="AI52" si="607">IF(OR(AI9="",AI51=""),"",ROUND((AI49+AI51+AH54)*AI9/12,2))</f>
        <v>70.209999999999994</v>
      </c>
      <c r="AJ52" s="7">
        <f t="shared" ref="AJ52" si="608">IF(OR(AJ9="",AJ51=""),"",ROUND((AJ49+AJ51+AI54)*AJ9/12,2))</f>
        <v>64.97</v>
      </c>
      <c r="AK52" s="7">
        <f t="shared" ref="AK52" si="609">IF(OR(AK9="",AK51=""),"",ROUND((AK49+AK51+AJ54)*AK9/12,2))</f>
        <v>21.21</v>
      </c>
      <c r="AL52" s="7">
        <f t="shared" ref="AL52" si="610">IF(OR(AL9="",AL51=""),"",ROUND((AL49+AL51+AK54)*AL9/12,2))</f>
        <v>-0.83</v>
      </c>
      <c r="AM52" s="7">
        <f t="shared" ref="AM52" si="611">IF(OR(AM9="",AM51=""),"",ROUND((AM49+AM51+AL54)*AM9/12,2))</f>
        <v>-33.700000000000003</v>
      </c>
      <c r="AN52" s="7">
        <f t="shared" ref="AN52" si="612">IF(OR(AN9="",AN51=""),"",ROUND((AN49+AN51+AM54)*AN9/12,2))</f>
        <v>-26.21</v>
      </c>
      <c r="AO52" s="7">
        <f t="shared" ref="AO52" si="613">IF(OR(AO9="",AO51=""),"",ROUND((AO49+AO51+AN54)*AO9/12,2))</f>
        <v>-37.049999999999997</v>
      </c>
      <c r="AP52" s="7">
        <f t="shared" ref="AP52" si="614">IF(OR(AP9="",AP51=""),"",ROUND((AP49+AP51+AO54)*AP9/12,2))</f>
        <v>-90.11</v>
      </c>
      <c r="AQ52" s="7">
        <f t="shared" ref="AQ52" si="615">IF(OR(AQ9="",AQ51=""),"",ROUND((AQ49+AQ51+AP54)*AQ9/12,2))</f>
        <v>-89.72</v>
      </c>
      <c r="AR52" s="7">
        <f t="shared" ref="AR52" si="616">IF(OR(AR9="",AR51=""),"",ROUND((AR49+AR51+AQ54)*AR9/12,2))</f>
        <v>-100.68</v>
      </c>
      <c r="AS52" s="7">
        <f t="shared" ref="AS52" si="617">IF(OR(AS9="",AS51=""),"",ROUND((AS49+AS51+AR54)*AS9/12,2))</f>
        <v>581.30999999999995</v>
      </c>
      <c r="AT52" s="7">
        <f t="shared" ref="AT52" si="618">IF(OR(AT9="",AT51=""),"",ROUND((AT49+AT51+AS54)*AT9/12,2))</f>
        <v>2153.6999999999998</v>
      </c>
      <c r="AU52" s="7">
        <f t="shared" ref="AU52" si="619">IF(OR(AU9="",AU51=""),"",ROUND((AU49+AU51+AT54)*AU9/12,2))</f>
        <v>4041.01</v>
      </c>
      <c r="AV52" s="7">
        <f t="shared" ref="AV52" si="620">IF(OR(AV9="",AV51=""),"",ROUND((AV49+AV51+AU54)*AV9/12,2))</f>
        <v>5272.93</v>
      </c>
      <c r="AW52" s="7">
        <f t="shared" ref="AW52:AY52" si="621">IF(OR(AW9="",AW51=""),"",ROUND((AW49+AW51+AV54)*AW9/12,2))</f>
        <v>6762.31</v>
      </c>
      <c r="AX52" s="7">
        <f t="shared" si="621"/>
        <v>8673.01</v>
      </c>
      <c r="AY52" s="7">
        <f t="shared" si="621"/>
        <v>9966.94</v>
      </c>
      <c r="AZ52" s="7">
        <f>IF(OR(AZ9="",AZ51=""),"",ROUND((AZ49+AZ51+AY54+AZ46)*AZ9/12,2))+AZ46</f>
        <v>11506.830000000002</v>
      </c>
      <c r="BA52" s="7">
        <f t="shared" ref="BA52:BL52" si="622">IF(OR(BA9="",BA51=""),"",ROUND((BA49+BA51+AZ54)*BA9/12,2))</f>
        <v>11668.27</v>
      </c>
      <c r="BB52" s="7">
        <f t="shared" si="622"/>
        <v>10823.42</v>
      </c>
      <c r="BC52" s="7">
        <f t="shared" si="622"/>
        <v>10091.92</v>
      </c>
      <c r="BD52" s="7">
        <f t="shared" si="622"/>
        <v>9654.5</v>
      </c>
      <c r="BE52" s="7">
        <f t="shared" si="622"/>
        <v>13079.24</v>
      </c>
      <c r="BF52" s="7">
        <f t="shared" si="622"/>
        <v>10994.84</v>
      </c>
      <c r="BG52" s="7">
        <f t="shared" si="622"/>
        <v>8770.99</v>
      </c>
      <c r="BH52" s="7">
        <f t="shared" si="622"/>
        <v>5950.34</v>
      </c>
      <c r="BI52" s="7">
        <f t="shared" si="622"/>
        <v>2937.97</v>
      </c>
      <c r="BJ52" s="7">
        <f t="shared" si="622"/>
        <v>284.26</v>
      </c>
      <c r="BK52" s="7">
        <f t="shared" si="622"/>
        <v>-2441.9899999999998</v>
      </c>
      <c r="BL52" s="7">
        <f t="shared" si="622"/>
        <v>-5021.8500000000004</v>
      </c>
      <c r="BM52" s="108">
        <f>IF(OR(BM9="",BM51=""),"",ROUND((BM49+BM51+BL54+BM46)*BM9/12,2))</f>
        <v>-6935.4</v>
      </c>
      <c r="BN52" s="7">
        <f t="shared" ref="BN52:CJ52" si="623">IF(OR(BN9="",BN51=""),"",ROUND((BN49+BN51+BM54)*BN9/12,2))</f>
        <v>-7735.04</v>
      </c>
      <c r="BO52" s="7">
        <f t="shared" si="623"/>
        <v>-8650.14</v>
      </c>
      <c r="BP52" s="7">
        <f t="shared" si="623"/>
        <v>-9161.93</v>
      </c>
      <c r="BQ52" s="7">
        <f t="shared" si="623"/>
        <v>-8116.7</v>
      </c>
      <c r="BR52" s="7">
        <f t="shared" si="623"/>
        <v>-6543.34</v>
      </c>
      <c r="BS52" s="7">
        <f t="shared" si="623"/>
        <v>-4948.71</v>
      </c>
      <c r="BT52" s="7">
        <f t="shared" si="623"/>
        <v>-4134.03</v>
      </c>
      <c r="BU52" s="7">
        <f t="shared" si="623"/>
        <v>-4359.42</v>
      </c>
      <c r="BV52" s="7">
        <f t="shared" si="623"/>
        <v>-4637.9799999999996</v>
      </c>
      <c r="BW52" s="7">
        <f t="shared" si="623"/>
        <v>-4806.01</v>
      </c>
      <c r="BX52" s="7">
        <f t="shared" si="623"/>
        <v>-4890.17</v>
      </c>
      <c r="BY52" s="7">
        <f t="shared" si="623"/>
        <v>-4734.96</v>
      </c>
      <c r="BZ52" s="7">
        <f t="shared" si="623"/>
        <v>-3588.1</v>
      </c>
      <c r="CA52" s="7">
        <f t="shared" si="623"/>
        <v>-2446.31</v>
      </c>
      <c r="CB52" s="7">
        <f t="shared" si="623"/>
        <v>-993.56</v>
      </c>
      <c r="CC52" s="7">
        <f t="shared" si="623"/>
        <v>-724.17</v>
      </c>
      <c r="CD52" s="7">
        <f t="shared" si="623"/>
        <v>-448.26</v>
      </c>
      <c r="CE52" s="7">
        <f t="shared" si="623"/>
        <v>-203.03</v>
      </c>
      <c r="CF52" s="7">
        <f t="shared" si="623"/>
        <v>-35.99</v>
      </c>
      <c r="CG52" s="7">
        <f t="shared" si="623"/>
        <v>27.6</v>
      </c>
      <c r="CH52" s="98">
        <f t="shared" si="623"/>
        <v>88.76</v>
      </c>
      <c r="CI52" s="98">
        <f t="shared" si="623"/>
        <v>163.1</v>
      </c>
      <c r="CJ52" s="98">
        <f t="shared" si="623"/>
        <v>240.43</v>
      </c>
    </row>
    <row r="53" spans="1:88" s="4" customFormat="1" hidden="1" outlineLevel="1" x14ac:dyDescent="0.25">
      <c r="A53" s="276"/>
      <c r="B53" s="15" t="s">
        <v>13</v>
      </c>
      <c r="C53" s="81"/>
      <c r="D53" s="81"/>
      <c r="E53" s="81"/>
      <c r="F53" s="7">
        <f t="shared" ref="F53:M53" si="624">IF(OR(F51="",F52=""),"",F51+F52)</f>
        <v>0.36790548240712501</v>
      </c>
      <c r="G53" s="7">
        <f t="shared" si="624"/>
        <v>550.60424508821643</v>
      </c>
      <c r="H53" s="7">
        <f t="shared" si="624"/>
        <v>-2936.4426047334168</v>
      </c>
      <c r="I53" s="7">
        <f t="shared" si="624"/>
        <v>-90574.953443998151</v>
      </c>
      <c r="J53" s="7">
        <f t="shared" si="624"/>
        <v>-75921.202484400332</v>
      </c>
      <c r="K53" s="7">
        <f t="shared" si="624"/>
        <v>-64727.495133255725</v>
      </c>
      <c r="L53" s="7">
        <f t="shared" si="624"/>
        <v>-40498.439537141938</v>
      </c>
      <c r="M53" s="7">
        <f t="shared" si="624"/>
        <v>-54113.222368776616</v>
      </c>
      <c r="N53" s="7">
        <f>IF(OR(N51="",N52=""),"",N51+N52)</f>
        <v>-12147.246706934808</v>
      </c>
      <c r="O53" s="7">
        <f>IF(OR(O51="",O52=""),"",O51+O52)</f>
        <v>-3103.9117182829091</v>
      </c>
      <c r="P53" s="7">
        <f t="shared" ref="P53:AE53" si="625">IF(OR(P51="",P52=""),"",P51+P52)</f>
        <v>46130.049590637318</v>
      </c>
      <c r="Q53" s="7">
        <f t="shared" si="625"/>
        <v>-22709.27636041983</v>
      </c>
      <c r="R53" s="7">
        <f t="shared" si="625"/>
        <v>-13821.03052983425</v>
      </c>
      <c r="S53" s="7">
        <f t="shared" si="625"/>
        <v>-70142.333471591133</v>
      </c>
      <c r="T53" s="7">
        <f t="shared" si="625"/>
        <v>-26194.410200838378</v>
      </c>
      <c r="U53" s="7">
        <f t="shared" si="625"/>
        <v>58750.388860579296</v>
      </c>
      <c r="V53" s="7">
        <f t="shared" si="625"/>
        <v>113467.22298932067</v>
      </c>
      <c r="W53" s="7">
        <f t="shared" si="625"/>
        <v>96992.335623500403</v>
      </c>
      <c r="X53" s="7">
        <f t="shared" si="625"/>
        <v>78914.47988672409</v>
      </c>
      <c r="Y53" s="7">
        <f t="shared" si="625"/>
        <v>13795.779884233845</v>
      </c>
      <c r="Z53" s="7">
        <f>IF(OR(Z51="",Z52=""),"",Z51+Z52)</f>
        <v>15659.081802483406</v>
      </c>
      <c r="AA53" s="7">
        <f t="shared" si="625"/>
        <v>37836.086400806096</v>
      </c>
      <c r="AB53" s="7">
        <f t="shared" si="625"/>
        <v>140765.53930596294</v>
      </c>
      <c r="AC53" s="7">
        <f t="shared" si="625"/>
        <v>-79675.930758116316</v>
      </c>
      <c r="AD53" s="7">
        <f t="shared" si="625"/>
        <v>-275578.85432818771</v>
      </c>
      <c r="AE53" s="7">
        <f t="shared" si="625"/>
        <v>-234246.55482360863</v>
      </c>
      <c r="AF53" s="7">
        <f t="shared" ref="AF53:AW53" si="626">IF(OR(AF51="",AF52=""),"",AF51+AF52)</f>
        <v>-150444.78456222045</v>
      </c>
      <c r="AG53" s="7">
        <f t="shared" si="626"/>
        <v>197990.18376938388</v>
      </c>
      <c r="AH53" s="7">
        <f t="shared" si="626"/>
        <v>348377.14700391318</v>
      </c>
      <c r="AI53" s="7">
        <f t="shared" si="626"/>
        <v>339809.05756536935</v>
      </c>
      <c r="AJ53" s="7">
        <f t="shared" si="626"/>
        <v>48462.590055436041</v>
      </c>
      <c r="AK53" s="7">
        <f t="shared" si="626"/>
        <v>-184827.53615168753</v>
      </c>
      <c r="AL53" s="7">
        <f t="shared" si="626"/>
        <v>-132716.67841127815</v>
      </c>
      <c r="AM53" s="7">
        <f t="shared" si="626"/>
        <v>-101217.1673877877</v>
      </c>
      <c r="AN53" s="7">
        <f t="shared" si="626"/>
        <v>71980.142066173445</v>
      </c>
      <c r="AO53" s="7">
        <f t="shared" si="626"/>
        <v>-54670.219777225124</v>
      </c>
      <c r="AP53" s="7">
        <f t="shared" si="626"/>
        <v>-29944.922319360674</v>
      </c>
      <c r="AQ53" s="7">
        <f t="shared" si="626"/>
        <v>-43659.479852407647</v>
      </c>
      <c r="AR53" s="7">
        <f t="shared" si="626"/>
        <v>29909.022663524076</v>
      </c>
      <c r="AS53" s="7">
        <f t="shared" si="626"/>
        <v>572479.92314727861</v>
      </c>
      <c r="AT53" s="7">
        <f t="shared" si="626"/>
        <v>760794.2729832523</v>
      </c>
      <c r="AU53" s="7">
        <f t="shared" si="626"/>
        <v>608801.57297479804</v>
      </c>
      <c r="AV53" s="7">
        <f t="shared" si="626"/>
        <v>310167.52223014308</v>
      </c>
      <c r="AW53" s="7">
        <f t="shared" si="626"/>
        <v>90513.708420539013</v>
      </c>
      <c r="AX53" s="7">
        <f t="shared" ref="AX53:AY53" si="627">IF(OR(AX51="",AX52=""),"",AX51+AX52)</f>
        <v>69520.042209797117</v>
      </c>
      <c r="AY53" s="7">
        <f t="shared" si="627"/>
        <v>138539.19539508247</v>
      </c>
      <c r="AZ53" s="7">
        <f t="shared" ref="AZ53:BA53" si="628">IF(OR(AZ51="",AZ52=""),"",AZ51+AZ52)</f>
        <v>279169.29313714523</v>
      </c>
      <c r="BA53" s="7">
        <f t="shared" si="628"/>
        <v>135278.50808573081</v>
      </c>
      <c r="BB53" s="7">
        <f t="shared" ref="BB53:BC53" si="629">IF(OR(BB51="",BB52=""),"",BB51+BB52)</f>
        <v>-66896.240941539159</v>
      </c>
      <c r="BC53" s="7">
        <f t="shared" si="629"/>
        <v>-86657.21777012285</v>
      </c>
      <c r="BD53" s="7">
        <f t="shared" ref="BD53:BE53" si="630">IF(OR(BD51="",BD52=""),"",BD51+BD52)</f>
        <v>76119.663259917987</v>
      </c>
      <c r="BE53" s="7">
        <f t="shared" si="630"/>
        <v>973480.09477386926</v>
      </c>
      <c r="BF53" s="7">
        <f t="shared" ref="BF53:BG53" si="631">IF(OR(BF51="",BF52=""),"",BF51+BF52)</f>
        <v>-233446.64982288759</v>
      </c>
      <c r="BG53" s="7">
        <f t="shared" si="631"/>
        <v>-256955.89197373221</v>
      </c>
      <c r="BH53" s="7">
        <f t="shared" ref="BH53:BI53" si="632">IF(OR(BH51="",BH52=""),"",BH51+BH52)</f>
        <v>-356192.54494448431</v>
      </c>
      <c r="BI53" s="7">
        <f t="shared" si="632"/>
        <v>-422616.86414299114</v>
      </c>
      <c r="BJ53" s="7">
        <f t="shared" ref="BJ53:BK53" si="633">IF(OR(BJ51="",BJ52=""),"",BJ51+BJ52)</f>
        <v>-366937.66441062128</v>
      </c>
      <c r="BK53" s="7">
        <f t="shared" si="633"/>
        <v>-364843.65564565919</v>
      </c>
      <c r="BL53" s="7">
        <f t="shared" ref="BL53:BM53" si="634">IF(OR(BL51="",BL52=""),"",BL51+BL52)</f>
        <v>-344131.60020368377</v>
      </c>
      <c r="BM53" s="7">
        <f t="shared" si="634"/>
        <v>-600184.48686509405</v>
      </c>
      <c r="BN53" s="7">
        <f t="shared" ref="BN53:BO53" si="635">IF(OR(BN51="",BN52=""),"",BN51+BN52)</f>
        <v>-248273.19704338117</v>
      </c>
      <c r="BO53" s="7">
        <f t="shared" si="635"/>
        <v>-262737.9092776099</v>
      </c>
      <c r="BP53" s="7">
        <f t="shared" ref="BP53:BQ53" si="636">IF(OR(BP51="",BP52=""),"",BP51+BP52)</f>
        <v>-200707.30985289597</v>
      </c>
      <c r="BQ53" s="7">
        <f t="shared" si="636"/>
        <v>153476.96195588465</v>
      </c>
      <c r="BR53" s="7">
        <f t="shared" ref="BR53:BS53" si="637">IF(OR(BR51="",BR52=""),"",BR51+BR52)</f>
        <v>240316.26618455522</v>
      </c>
      <c r="BS53" s="7">
        <f t="shared" si="637"/>
        <v>239264.15869595655</v>
      </c>
      <c r="BT53" s="7">
        <f t="shared" ref="BT53:BU53" si="638">IF(OR(BT51="",BT52=""),"",BT51+BT52)</f>
        <v>31166.728885792225</v>
      </c>
      <c r="BU53" s="7">
        <f t="shared" si="638"/>
        <v>-214852.27546532764</v>
      </c>
      <c r="BV53" s="7">
        <f t="shared" ref="BV53:BW53" si="639">IF(OR(BV51="",BV52=""),"",BV51+BV52)</f>
        <v>-173299.8356506979</v>
      </c>
      <c r="BW53" s="7">
        <f t="shared" si="639"/>
        <v>-171846.97259502765</v>
      </c>
      <c r="BX53" s="7">
        <f t="shared" ref="BX53:BY53" si="640">IF(OR(BX51="",BX52=""),"",BX51+BX52)</f>
        <v>-160077.67087772329</v>
      </c>
      <c r="BY53" s="7">
        <f t="shared" si="640"/>
        <v>-66628.270331492866</v>
      </c>
      <c r="BZ53" s="7">
        <f t="shared" ref="BZ53:CA53" si="641">IF(OR(BZ51="",BZ52=""),"",BZ51+BZ52)</f>
        <v>204078.11924609254</v>
      </c>
      <c r="CA53" s="7">
        <f t="shared" si="641"/>
        <v>186905.85986659734</v>
      </c>
      <c r="CB53" s="7">
        <f t="shared" ref="CB53:CC53" si="642">IF(OR(CB51="",CB52=""),"",CB51+CB52)</f>
        <v>266894.85413117323</v>
      </c>
      <c r="CC53" s="7">
        <f t="shared" si="642"/>
        <v>-39949.905362125151</v>
      </c>
      <c r="CD53" s="7">
        <f t="shared" ref="CD53:CE53" si="643">IF(OR(CD51="",CD52=""),"",CD51+CD52)</f>
        <v>-38311.180378337092</v>
      </c>
      <c r="CE53" s="7">
        <f t="shared" si="643"/>
        <v>-46954.427799860947</v>
      </c>
      <c r="CF53" s="7">
        <f t="shared" ref="CF53:CG53" si="644">IF(OR(CF51="",CF52=""),"",CF51+CF52)</f>
        <v>-67032.674323163941</v>
      </c>
      <c r="CG53" s="7">
        <f t="shared" si="644"/>
        <v>-92873.953201277604</v>
      </c>
      <c r="CH53" s="7">
        <f t="shared" ref="CH53:CI53" si="645">IF(OR(CH51="",CH52=""),"",CH51+CH52)</f>
        <v>-92960.063784032696</v>
      </c>
      <c r="CI53" s="7">
        <f t="shared" si="645"/>
        <v>-89131.45744702607</v>
      </c>
      <c r="CJ53" s="7">
        <f t="shared" ref="CJ53" si="646">IF(OR(CJ51="",CJ52=""),"",CJ51+CJ52)</f>
        <v>-88264.754996072792</v>
      </c>
    </row>
    <row r="54" spans="1:88" s="4" customFormat="1" hidden="1" outlineLevel="1" x14ac:dyDescent="0.25">
      <c r="A54" s="276"/>
      <c r="B54" s="17" t="s">
        <v>16</v>
      </c>
      <c r="C54" s="81"/>
      <c r="D54" s="81"/>
      <c r="E54" s="81"/>
      <c r="F54" s="7">
        <f>IF(OR(F53=""),"",F53)</f>
        <v>0.36790548240712501</v>
      </c>
      <c r="G54" s="7">
        <f t="shared" ref="G54:M54" si="647">IF(OR(G53="",F54=""),"",G53+F54)</f>
        <v>550.97215057062351</v>
      </c>
      <c r="H54" s="7">
        <f t="shared" si="647"/>
        <v>-2385.4704541627934</v>
      </c>
      <c r="I54" s="7">
        <f t="shared" si="647"/>
        <v>-92960.423898160938</v>
      </c>
      <c r="J54" s="7">
        <f t="shared" si="647"/>
        <v>-168881.62638256128</v>
      </c>
      <c r="K54" s="7">
        <f t="shared" si="647"/>
        <v>-233609.12151581701</v>
      </c>
      <c r="L54" s="7">
        <f t="shared" si="647"/>
        <v>-274107.56105295895</v>
      </c>
      <c r="M54" s="7">
        <f t="shared" si="647"/>
        <v>-328220.78342173557</v>
      </c>
      <c r="N54" s="7">
        <f>IF(OR(N53="",M54=""),"",N53+N49+M54)</f>
        <v>-340368.03012867039</v>
      </c>
      <c r="O54" s="7">
        <f>IF(OR(O53="",N54=""),"",O53+O49+N54)</f>
        <v>-343471.9418469533</v>
      </c>
      <c r="P54" s="7">
        <f t="shared" ref="P54:AE54" si="648">IF(OR(P53="",O54=""),"",P53+P49+O54)</f>
        <v>-297341.89225631597</v>
      </c>
      <c r="Q54" s="7">
        <f t="shared" si="648"/>
        <v>-279439.15861673577</v>
      </c>
      <c r="R54" s="7">
        <f t="shared" si="648"/>
        <v>-254909.07914657003</v>
      </c>
      <c r="S54" s="7">
        <f t="shared" si="648"/>
        <v>-292277.03261816117</v>
      </c>
      <c r="T54" s="7">
        <f t="shared" si="648"/>
        <v>-287902.27281899954</v>
      </c>
      <c r="U54" s="7">
        <f t="shared" si="648"/>
        <v>-192926.82395842025</v>
      </c>
      <c r="V54" s="7">
        <f t="shared" si="648"/>
        <v>-37163.690969099582</v>
      </c>
      <c r="W54" s="7">
        <f t="shared" si="648"/>
        <v>101969.97465440084</v>
      </c>
      <c r="X54" s="7">
        <f t="shared" si="648"/>
        <v>222827.19454112492</v>
      </c>
      <c r="Y54" s="7">
        <f t="shared" si="648"/>
        <v>272411.24442535877</v>
      </c>
      <c r="Z54" s="7">
        <f t="shared" si="648"/>
        <v>322933.86622784217</v>
      </c>
      <c r="AA54" s="7">
        <f t="shared" si="648"/>
        <v>398239.85262864828</v>
      </c>
      <c r="AB54" s="7">
        <f t="shared" si="648"/>
        <v>579163.2119346112</v>
      </c>
      <c r="AC54" s="7">
        <f t="shared" si="648"/>
        <v>472682.4011764949</v>
      </c>
      <c r="AD54" s="7">
        <f t="shared" si="648"/>
        <v>150362.03684830718</v>
      </c>
      <c r="AE54" s="7">
        <f t="shared" si="648"/>
        <v>-125509.31797530147</v>
      </c>
      <c r="AF54" s="7">
        <f t="shared" ref="AF54" si="649">IF(OR(AF53="",AE54=""),"",AF53+AF49+AE54)</f>
        <v>-318351.61253752193</v>
      </c>
      <c r="AG54" s="7">
        <f t="shared" ref="AG54" si="650">IF(OR(AG53="",AF54=""),"",AG53+AG49+AF54)</f>
        <v>-167476.35876813804</v>
      </c>
      <c r="AH54" s="7">
        <f t="shared" ref="AH54" si="651">IF(OR(AH53="",AG54=""),"",AH53+AH49+AG54)</f>
        <v>125718.41823577514</v>
      </c>
      <c r="AI54" s="7">
        <f t="shared" ref="AI54" si="652">IF(OR(AI53="",AH54=""),"",AI53+AI49+AH54)</f>
        <v>410838.38580114447</v>
      </c>
      <c r="AJ54" s="7">
        <f t="shared" ref="AJ54" si="653">IF(OR(AJ53="",AI54=""),"",AJ53+AJ49+AI54)</f>
        <v>403561.1258565805</v>
      </c>
      <c r="AK54" s="7">
        <f t="shared" ref="AK54" si="654">IF(OR(AK53="",AJ54=""),"",AK53+AK49+AJ54)</f>
        <v>169737.89970489297</v>
      </c>
      <c r="AL54" s="7">
        <f t="shared" ref="AL54" si="655">IF(OR(AL53="",AK54=""),"",AL53+AL49+AK54)</f>
        <v>-6512.098706385179</v>
      </c>
      <c r="AM54" s="7">
        <f t="shared" ref="AM54" si="656">IF(OR(AM53="",AL54=""),"",AM53+AM49+AL54)</f>
        <v>-155309.4560941729</v>
      </c>
      <c r="AN54" s="7">
        <f t="shared" ref="AN54" si="657">IF(OR(AN53="",AM54=""),"",AN53+AN49+AM54)</f>
        <v>-134194.53402799944</v>
      </c>
      <c r="AO54" s="7">
        <f t="shared" ref="AO54" si="658">IF(OR(AO53="",AN54=""),"",AO53+AO49+AN54)</f>
        <v>-150320.97380522458</v>
      </c>
      <c r="AP54" s="7">
        <f t="shared" ref="AP54" si="659">IF(OR(AP53="",AO54=""),"",AP53+AP49+AO54)</f>
        <v>-157190.04612458526</v>
      </c>
      <c r="AQ54" s="7">
        <f t="shared" ref="AQ54" si="660">IF(OR(AQ53="",AP54=""),"",AQ53+AQ49+AP54)</f>
        <v>-179405.39597699291</v>
      </c>
      <c r="AR54" s="7">
        <f t="shared" ref="AR54" si="661">IF(OR(AR53="",AQ54=""),"",AR53+AR49+AQ54)</f>
        <v>-127316.96331346883</v>
      </c>
      <c r="AS54" s="7">
        <f t="shared" ref="AS54" si="662">IF(OR(AS53="",AR54=""),"",AS53+AS49+AR54)</f>
        <v>470051.97983380978</v>
      </c>
      <c r="AT54" s="7">
        <f t="shared" ref="AT54" si="663">IF(OR(AT53="",AS54=""),"",AT53+AT49+AS54)</f>
        <v>1258756.8528170621</v>
      </c>
      <c r="AU54" s="7">
        <f t="shared" ref="AU54" si="664">IF(OR(AU53="",AT54=""),"",AU53+AU49+AT54)</f>
        <v>1895270.6957918601</v>
      </c>
      <c r="AV54" s="7">
        <f t="shared" ref="AV54" si="665">IF(OR(AV53="",AU54=""),"",AV53+AV49+AU54)</f>
        <v>2231942.2180220033</v>
      </c>
      <c r="AW54" s="7">
        <f t="shared" ref="AW54:BL54" si="666">IF(OR(AW53="",AV54=""),"",AW53+AW49+AV54)</f>
        <v>2345231.2564425422</v>
      </c>
      <c r="AX54" s="7">
        <f t="shared" si="666"/>
        <v>2436898.6486523394</v>
      </c>
      <c r="AY54" s="7">
        <f t="shared" si="666"/>
        <v>2600125.6740474217</v>
      </c>
      <c r="AZ54" s="7">
        <f t="shared" si="666"/>
        <v>2904920.9471845669</v>
      </c>
      <c r="BA54" s="7">
        <f t="shared" si="666"/>
        <v>2899885.4452702976</v>
      </c>
      <c r="BB54" s="7">
        <f t="shared" si="666"/>
        <v>2613955.4343287586</v>
      </c>
      <c r="BC54" s="7">
        <f t="shared" si="666"/>
        <v>2317379.3465586356</v>
      </c>
      <c r="BD54" s="7">
        <f t="shared" si="666"/>
        <v>2184588.3098185537</v>
      </c>
      <c r="BE54" s="7">
        <f t="shared" si="666"/>
        <v>2922366.7445924231</v>
      </c>
      <c r="BF54" s="7">
        <f t="shared" si="666"/>
        <v>2435140.1647695354</v>
      </c>
      <c r="BG54" s="7">
        <f t="shared" si="666"/>
        <v>1915342.2927958032</v>
      </c>
      <c r="BH54" s="7">
        <f t="shared" si="666"/>
        <v>1295968.3778513188</v>
      </c>
      <c r="BI54" s="7">
        <f t="shared" si="666"/>
        <v>641921.90370832768</v>
      </c>
      <c r="BJ54" s="7">
        <f t="shared" si="666"/>
        <v>61657.669297706452</v>
      </c>
      <c r="BK54" s="7">
        <f t="shared" si="666"/>
        <v>-530671.63634795276</v>
      </c>
      <c r="BL54" s="7">
        <f t="shared" si="666"/>
        <v>-1125485.0765516367</v>
      </c>
      <c r="BM54" s="108">
        <f>IF(OR(BM53="",BL54=""),"",BM53+BM49+BL54+BM46)</f>
        <v>-1554677.7166224525</v>
      </c>
      <c r="BN54" s="7">
        <f t="shared" ref="BN54:CJ54" si="667">IF(OR(BN53="",BM54=""),"",BN53+BN49+BM54)</f>
        <v>-1717567.2636658337</v>
      </c>
      <c r="BO54" s="7">
        <f t="shared" si="667"/>
        <v>-1895895.9329434438</v>
      </c>
      <c r="BP54" s="7">
        <f t="shared" si="667"/>
        <v>-2011769.2927963398</v>
      </c>
      <c r="BQ54" s="7">
        <f t="shared" si="667"/>
        <v>-1762194.3808404552</v>
      </c>
      <c r="BR54" s="7">
        <f t="shared" si="667"/>
        <v>-1413358.5546559</v>
      </c>
      <c r="BS54" s="7">
        <f t="shared" si="667"/>
        <v>-1072253.8259599435</v>
      </c>
      <c r="BT54" s="7">
        <f t="shared" si="667"/>
        <v>-939197.08707415126</v>
      </c>
      <c r="BU54" s="7">
        <f t="shared" si="667"/>
        <v>-1063169.2425394789</v>
      </c>
      <c r="BV54" s="7">
        <f t="shared" si="667"/>
        <v>-1153420.6281901768</v>
      </c>
      <c r="BW54" s="7">
        <f t="shared" si="667"/>
        <v>-1234379.6307852045</v>
      </c>
      <c r="BX54" s="7">
        <f t="shared" si="667"/>
        <v>-1294669.3416629278</v>
      </c>
      <c r="BY54" s="7">
        <f t="shared" si="667"/>
        <v>-1250568.9513725874</v>
      </c>
      <c r="BZ54" s="7">
        <f t="shared" si="667"/>
        <v>-935762.17150466144</v>
      </c>
      <c r="CA54" s="7">
        <f t="shared" si="667"/>
        <v>-638127.65101623069</v>
      </c>
      <c r="CB54" s="7">
        <f t="shared" si="667"/>
        <v>-260504.13626322412</v>
      </c>
      <c r="CC54" s="7">
        <f t="shared" si="667"/>
        <v>-189725.38100351594</v>
      </c>
      <c r="CD54" s="7">
        <f t="shared" si="667"/>
        <v>-117307.90076001969</v>
      </c>
      <c r="CE54" s="7">
        <f t="shared" si="667"/>
        <v>-53533.667938047307</v>
      </c>
      <c r="CF54" s="7">
        <f t="shared" si="667"/>
        <v>-9837.6816393779154</v>
      </c>
      <c r="CG54" s="7">
        <f t="shared" si="667"/>
        <v>8017.0257811778138</v>
      </c>
      <c r="CH54" s="7">
        <f t="shared" si="667"/>
        <v>25785.62261897845</v>
      </c>
      <c r="CI54" s="7">
        <f t="shared" si="667"/>
        <v>47382.825793785712</v>
      </c>
      <c r="CJ54" s="7">
        <f t="shared" si="667"/>
        <v>69846.731419546253</v>
      </c>
    </row>
    <row r="55" spans="1:88" s="4" customFormat="1" ht="8.25" hidden="1" customHeight="1" outlineLevel="1" x14ac:dyDescent="0.25">
      <c r="A55" s="35"/>
      <c r="B55" s="11"/>
      <c r="C55" s="86"/>
      <c r="D55" s="86"/>
      <c r="E55" s="86"/>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row>
    <row r="56" spans="1:88" s="4" customFormat="1" ht="15" hidden="1" customHeight="1" outlineLevel="1" x14ac:dyDescent="0.25">
      <c r="A56" s="276" t="s">
        <v>22</v>
      </c>
      <c r="B56" s="14"/>
      <c r="C56" s="81"/>
      <c r="D56" s="81"/>
      <c r="E56" s="81"/>
      <c r="F56" s="7"/>
      <c r="G56" s="7"/>
      <c r="H56" s="7"/>
      <c r="I56" s="7"/>
      <c r="J56" s="7"/>
      <c r="K56" s="7"/>
      <c r="L56" s="7"/>
      <c r="M56" s="7"/>
      <c r="N56" s="97">
        <f>'MEEIA 3 adjs'!L42</f>
        <v>46.569999999999936</v>
      </c>
      <c r="O56" s="7"/>
      <c r="P56" s="7"/>
      <c r="Q56" s="7"/>
      <c r="R56" s="7"/>
      <c r="S56" s="7"/>
      <c r="T56" s="7"/>
      <c r="U56" s="7"/>
      <c r="V56" s="7"/>
      <c r="W56" s="7"/>
      <c r="X56" s="7"/>
      <c r="Y56" s="7"/>
      <c r="Z56" s="97">
        <f>'MEEIA 3 adjs'!AA64</f>
        <v>87.969999999999914</v>
      </c>
      <c r="AA56" s="7"/>
      <c r="AB56" s="7"/>
      <c r="AC56" s="7"/>
      <c r="AD56" s="7"/>
      <c r="AE56" s="7"/>
      <c r="AF56" s="7"/>
      <c r="AG56" s="7"/>
      <c r="AH56" s="7"/>
      <c r="AI56" s="7"/>
      <c r="AJ56" s="7"/>
      <c r="AK56" s="7"/>
      <c r="AL56" s="7"/>
      <c r="AM56" s="7"/>
      <c r="AN56" s="7"/>
      <c r="AO56" s="7"/>
      <c r="AP56" s="7"/>
      <c r="AQ56" s="7"/>
      <c r="AR56" s="7"/>
      <c r="AS56" s="7"/>
      <c r="AT56" s="7"/>
      <c r="AU56" s="7"/>
      <c r="AV56" s="7"/>
      <c r="AW56" s="108">
        <v>23064.805500861024</v>
      </c>
      <c r="AX56" s="7"/>
      <c r="AY56" s="7"/>
      <c r="AZ56" s="97">
        <f>'MEEIA 3 adjs'!DZ62</f>
        <v>-4.3600000000001273</v>
      </c>
      <c r="BA56" s="7"/>
      <c r="BB56" s="7"/>
      <c r="BC56" s="7"/>
      <c r="BD56" s="7"/>
      <c r="BE56" s="7"/>
      <c r="BF56" s="7"/>
      <c r="BG56" s="7"/>
      <c r="BH56" s="7"/>
      <c r="BI56" s="7"/>
      <c r="BJ56" s="7"/>
      <c r="BK56" s="7"/>
      <c r="BL56" s="7"/>
      <c r="BM56" s="60">
        <v>7811.0591896921133</v>
      </c>
      <c r="BN56" s="7"/>
      <c r="BO56" s="7"/>
      <c r="BP56" s="7"/>
      <c r="BQ56" s="7"/>
      <c r="BR56" s="7"/>
      <c r="BS56" s="7"/>
      <c r="BT56" s="7"/>
      <c r="BU56" s="7"/>
      <c r="BV56" s="7"/>
      <c r="BW56" s="7"/>
      <c r="BX56" s="7"/>
      <c r="BY56" s="7"/>
      <c r="BZ56" s="7"/>
      <c r="CA56" s="7"/>
      <c r="CB56" s="7"/>
      <c r="CC56" s="7"/>
      <c r="CD56" s="7"/>
      <c r="CE56" s="7"/>
      <c r="CF56" s="7"/>
      <c r="CG56" s="7"/>
      <c r="CH56" s="7"/>
      <c r="CI56" s="7"/>
      <c r="CJ56" s="7"/>
    </row>
    <row r="57" spans="1:88" s="2" customFormat="1" ht="15" hidden="1" customHeight="1" outlineLevel="1" x14ac:dyDescent="0.25">
      <c r="A57" s="276"/>
      <c r="B57" s="14" t="s">
        <v>27</v>
      </c>
      <c r="C57" s="81"/>
      <c r="D57" s="81"/>
      <c r="E57" s="81"/>
      <c r="F57" s="19">
        <f>IF('M3 Allocations - TD'!D8="","",'M3 Allocations - TD'!D34)</f>
        <v>0</v>
      </c>
      <c r="G57" s="19">
        <f>IF('M3 Allocations - TD'!E8="","",'M3 Allocations - TD'!E34)</f>
        <v>9.4764517045030008</v>
      </c>
      <c r="H57" s="19">
        <f>IF('M3 Allocations - TD'!F8="","",'M3 Allocations - TD'!F34)</f>
        <v>992.38480063141662</v>
      </c>
      <c r="I57" s="19">
        <f>IF('M3 Allocations - TD'!G8="","",'M3 Allocations - TD'!G34)</f>
        <v>7292.1248374502911</v>
      </c>
      <c r="J57" s="19">
        <f>IF('M3 Allocations - TD'!H8="","",'M3 Allocations - TD'!H34)</f>
        <v>15994.94501268368</v>
      </c>
      <c r="K57" s="19">
        <f>IF('M3 Allocations - TD'!I8="","",'M3 Allocations - TD'!I34)</f>
        <v>17286.492613957165</v>
      </c>
      <c r="L57" s="19">
        <f>IF('M3 Allocations - TD'!J8="","",'M3 Allocations - TD'!J34)</f>
        <v>20593.63561343183</v>
      </c>
      <c r="M57" s="19">
        <f>IF('M3 Allocations - TD'!K8="","",'M3 Allocations - TD'!K34)</f>
        <v>13281.46306563299</v>
      </c>
      <c r="N57" s="19">
        <f>IF('M3 Allocations - TD'!L8="","",'M3 Allocations - TD'!L34)</f>
        <v>20634.15638219006</v>
      </c>
      <c r="O57" s="19">
        <f>IF('M3 Allocations - TD'!M8="","",'M3 Allocations - TD'!M34)</f>
        <v>18530.128304448888</v>
      </c>
      <c r="P57" s="19">
        <f>IF('M3 Allocations - TD'!N8="","",'M3 Allocations - TD'!N34)</f>
        <v>41320.38859087076</v>
      </c>
      <c r="Q57" s="19">
        <f>IF('M3 Allocations - TD'!O8="","",'M3 Allocations - TD'!O34)</f>
        <v>29425.974245256413</v>
      </c>
      <c r="R57" s="19">
        <f>IF('M3 Allocations - TD'!P8="","",'M3 Allocations - TD'!P34)</f>
        <v>32165.147795809222</v>
      </c>
      <c r="S57" s="19">
        <f>IF('M3 Allocations - TD'!Q8="","",'M3 Allocations - TD'!Q34)</f>
        <v>21213.003373036219</v>
      </c>
      <c r="T57" s="19">
        <f>IF('M3 Allocations - TD'!R8="","",'M3 Allocations - TD'!R34)</f>
        <v>41395.000804902586</v>
      </c>
      <c r="U57" s="19">
        <f>IF('M3 Allocations - TD'!S8="","",'M3 Allocations - TD'!S34)</f>
        <v>92952.761963081415</v>
      </c>
      <c r="V57" s="19">
        <f>IF('M3 Allocations - TD'!T8="","",'M3 Allocations - TD'!T34)</f>
        <v>123951.10916307675</v>
      </c>
      <c r="W57" s="19">
        <f>IF('M3 Allocations - TD'!U8="","",'M3 Allocations - TD'!U34)</f>
        <v>122809.27801030048</v>
      </c>
      <c r="X57" s="19">
        <f>IF('M3 Allocations - TD'!V8="","",'M3 Allocations - TD'!V34)</f>
        <v>96049.861338882605</v>
      </c>
      <c r="Y57" s="19">
        <f>IF('M3 Allocations - TD'!W8="","",'M3 Allocations - TD'!W34)</f>
        <v>51830.00376307463</v>
      </c>
      <c r="Z57" s="19">
        <f>IF('M3 Allocations - TD'!X8="","",'M3 Allocations - TD'!X34)</f>
        <v>49578.466987818043</v>
      </c>
      <c r="AA57" s="19">
        <f>IF('M3 Allocations - TD'!Y8="","",'M3 Allocations - TD'!Y34)</f>
        <v>51735.412802116007</v>
      </c>
      <c r="AB57" s="19">
        <f>IF('M3 Allocations - TD'!Z8="","",'M3 Allocations - TD'!Z34)</f>
        <v>90838.744276912417</v>
      </c>
      <c r="AC57" s="19">
        <f>IF('M3 Allocations - TD'!AA8="","",'M3 Allocations - TD'!AA34)</f>
        <v>65459.948883100595</v>
      </c>
      <c r="AD57" s="19">
        <f>IF('M3 Allocations - TD'!AB8="","",'M3 Allocations - TD'!AB34)</f>
        <v>71534.944524128558</v>
      </c>
      <c r="AE57" s="19">
        <f>IF('M3 Allocations - TD'!AC8="","",'M3 Allocations - TD'!AC34)</f>
        <v>71343.757771636898</v>
      </c>
      <c r="AF57" s="19">
        <f>IF('M3 Allocations - TD'!AD8="","",'M3 Allocations - TD'!AD34)</f>
        <v>103296.3103477702</v>
      </c>
      <c r="AG57" s="19">
        <f>IF('M3 Allocations - TD'!AE8="","",'M3 Allocations - TD'!AE34)</f>
        <v>256562.81120160531</v>
      </c>
      <c r="AH57" s="19">
        <f>IF('M3 Allocations - TD'!AF8="","",'M3 Allocations - TD'!AF34)</f>
        <v>319479.07850425603</v>
      </c>
      <c r="AI57" s="19">
        <f>IF('M3 Allocations - TD'!AG8="","",'M3 Allocations - TD'!AG34)</f>
        <v>309875.12991512951</v>
      </c>
      <c r="AJ57" s="19">
        <f>IF('M3 Allocations - TD'!AH8="","",'M3 Allocations - TD'!AH34)</f>
        <v>200668.49634980995</v>
      </c>
      <c r="AK57" s="19">
        <f>IF('M3 Allocations - TD'!AI8="","",'M3 Allocations - TD'!AI34)</f>
        <v>111417.50190042912</v>
      </c>
      <c r="AL57" s="19">
        <f>IF('M3 Allocations - TD'!AJ8="","",'M3 Allocations - TD'!AJ34)</f>
        <v>93253.892629017733</v>
      </c>
      <c r="AM57" s="19">
        <f>IF('M3 Allocations - TD'!AK8="","",'M3 Allocations - TD'!AK34)</f>
        <v>103488.5984224446</v>
      </c>
      <c r="AN57" s="19">
        <f>IF('M3 Allocations - TD'!AL8="","",'M3 Allocations - TD'!AL34)</f>
        <v>144414.82989089785</v>
      </c>
      <c r="AO57" s="19">
        <f>IF('M3 Allocations - TD'!AM8="","",'M3 Allocations - TD'!AM34)</f>
        <v>110066.63506595949</v>
      </c>
      <c r="AP57" s="19">
        <f>IF('M3 Allocations - TD'!AN8="","",'M3 Allocations - TD'!AN34)</f>
        <v>50328.1679847302</v>
      </c>
      <c r="AQ57" s="19">
        <f>IF('M3 Allocations - TD'!AO8="","",'M3 Allocations - TD'!AO34)</f>
        <v>48818.637830727937</v>
      </c>
      <c r="AR57" s="19">
        <f>IF('M3 Allocations - TD'!AP8="","",'M3 Allocations - TD'!AP34)</f>
        <v>69139.5977047872</v>
      </c>
      <c r="AS57" s="19">
        <f>IF('M3 Allocations - TD'!AQ8="","",'M3 Allocations - TD'!AQ34)</f>
        <v>204404.00741586328</v>
      </c>
      <c r="AT57" s="19">
        <f>IF('M3 Allocations - TD'!AR8="","",'M3 Allocations - TD'!AR34)</f>
        <v>281050.68735267245</v>
      </c>
      <c r="AU57" s="19">
        <f>IF('M3 Allocations - TD'!AS8="","",'M3 Allocations - TD'!AS34)</f>
        <v>243115.17544525067</v>
      </c>
      <c r="AV57" s="19">
        <f>IF('M3 Allocations - TD'!AT8="","",'M3 Allocations - TD'!AT34)</f>
        <v>160177.67633933009</v>
      </c>
      <c r="AW57" s="19">
        <f>IF('M3 Allocations - TD'!AU8="","",'M3 Allocations - TD'!AU34)</f>
        <v>71401.608823197399</v>
      </c>
      <c r="AX57" s="19">
        <f>IF('M3 Allocations - TD'!AV8="","",'M3 Allocations - TD'!AV34)</f>
        <v>68759.703767405808</v>
      </c>
      <c r="AY57" s="19">
        <f>IF('M3 Allocations - TD'!AW8="","",'M3 Allocations - TD'!AW34)</f>
        <v>79423.074388787179</v>
      </c>
      <c r="AZ57" s="19">
        <f>IF('M3 Allocations - TD'!AX8="","",'M3 Allocations - TD'!AX34)</f>
        <v>124152.16010630637</v>
      </c>
      <c r="BA57" s="19">
        <f>IF('M3 Allocations - TD'!AY8="","",'M3 Allocations - TD'!AY34)</f>
        <v>90652.290206343227</v>
      </c>
      <c r="BB57" s="19">
        <f>IF('M3 Allocations - TD'!AZ8="","",'M3 Allocations - TD'!AZ34)</f>
        <v>95391.182401412632</v>
      </c>
      <c r="BC57" s="19">
        <f>IF('M3 Allocations - TD'!BA8="","",'M3 Allocations - TD'!BA34)</f>
        <v>98092.186887780408</v>
      </c>
      <c r="BD57" s="19">
        <f>IF('M3 Allocations - TD'!BB8="","",'M3 Allocations - TD'!BB34)</f>
        <v>146238.88433112807</v>
      </c>
      <c r="BE57" s="19">
        <f>IF('M3 Allocations - TD'!BC8="","",'M3 Allocations - TD'!BC34)</f>
        <v>408596.36444724287</v>
      </c>
      <c r="BF57" s="19">
        <f>IF('M3 Allocations - TD'!BD8="","",'M3 Allocations - TD'!BD34)</f>
        <v>130017.57406535599</v>
      </c>
      <c r="BG57" s="19">
        <f>IF('M3 Allocations - TD'!BE8="","",'M3 Allocations - TD'!BE34)</f>
        <v>135925.39692325707</v>
      </c>
      <c r="BH57" s="19">
        <f>IF('M3 Allocations - TD'!BF8="","",'M3 Allocations - TD'!BF34)</f>
        <v>99875.595046319839</v>
      </c>
      <c r="BI57" s="19">
        <f>IF('M3 Allocations - TD'!BG8="","",'M3 Allocations - TD'!BG34)</f>
        <v>47172.903672076238</v>
      </c>
      <c r="BJ57" s="19">
        <f>IF('M3 Allocations - TD'!BH8="","",'M3 Allocations - TD'!BH34)</f>
        <v>49418.318001211912</v>
      </c>
      <c r="BK57" s="19">
        <f>IF('M3 Allocations - TD'!BI8="","",'M3 Allocations - TD'!BI34)</f>
        <v>61971.31365560359</v>
      </c>
      <c r="BL57" s="19">
        <f>IF('M3 Allocations - TD'!BJ8="","",'M3 Allocations - TD'!BJ34)</f>
        <v>100140.32783463651</v>
      </c>
      <c r="BM57" s="19">
        <f>IF('M3 Allocations - TD'!BK8="","",'M3 Allocations - TD'!BK34)</f>
        <v>68610.098480887449</v>
      </c>
      <c r="BN57" s="19">
        <f>IF('M3 Allocations - TD'!BL8="","",'M3 Allocations - TD'!BL34)</f>
        <v>73112.306140790664</v>
      </c>
      <c r="BO57" s="19">
        <f>IF('M3 Allocations - TD'!BM8="","",'M3 Allocations - TD'!BM34)</f>
        <v>69892.91956161111</v>
      </c>
      <c r="BP57" s="19">
        <f>IF('M3 Allocations - TD'!BN8="","",'M3 Allocations - TD'!BN34)</f>
        <v>99056.640281670465</v>
      </c>
      <c r="BQ57" s="19">
        <f>IF('M3 Allocations - TD'!BO8="","",'M3 Allocations - TD'!BO34)</f>
        <v>258498.69847281641</v>
      </c>
      <c r="BR57" s="19">
        <f>IF('M3 Allocations - TD'!BP8="","",'M3 Allocations - TD'!BP34)</f>
        <v>303959.92143258377</v>
      </c>
      <c r="BS57" s="19">
        <f>IF('M3 Allocations - TD'!BQ8="","",'M3 Allocations - TD'!BQ34)</f>
        <v>294161.07992542034</v>
      </c>
      <c r="BT57" s="19">
        <f>IF('M3 Allocations - TD'!BR8="","",'M3 Allocations - TD'!BR34)</f>
        <v>208587.29192292673</v>
      </c>
      <c r="BU57" s="19">
        <f>IF('M3 Allocations - TD'!BS8="","",'M3 Allocations - TD'!BS34)</f>
        <v>99425.405828224626</v>
      </c>
      <c r="BV57" s="19">
        <f>IF('M3 Allocations - TD'!BT8="","",'M3 Allocations - TD'!BT34)</f>
        <v>98842.803062778577</v>
      </c>
      <c r="BW57" s="19">
        <f>IF('M3 Allocations - TD'!BU8="","",'M3 Allocations - TD'!BU34)</f>
        <v>115464.20492233016</v>
      </c>
      <c r="BX57" s="19">
        <f>IF('M3 Allocations - TD'!BV8="","",'M3 Allocations - TD'!BV34)</f>
        <v>156216.4699515645</v>
      </c>
      <c r="BY57" s="19">
        <f>IF('M3 Allocations - TD'!BW8="","",'M3 Allocations - TD'!BW34)</f>
        <v>122034.6373755614</v>
      </c>
      <c r="BZ57" s="19">
        <f>IF('M3 Allocations - TD'!BX8="","",'M3 Allocations - TD'!BX34)</f>
        <v>129104.64786842567</v>
      </c>
      <c r="CA57" s="19">
        <f>IF('M3 Allocations - TD'!BY8="","",'M3 Allocations - TD'!BY34)</f>
        <v>125454.17992172073</v>
      </c>
      <c r="CB57" s="19">
        <f>IF('M3 Allocations - TD'!BZ8="","",'M3 Allocations - TD'!BZ34)</f>
        <v>165674.46060157855</v>
      </c>
      <c r="CC57" s="19">
        <f>IF('M3 Allocations - TD'!CA8="","",'M3 Allocations - TD'!CA34)</f>
        <v>63855.2695333706</v>
      </c>
      <c r="CD57" s="19">
        <f>IF('M3 Allocations - TD'!CB8="","",'M3 Allocations - TD'!CB34)</f>
        <v>55689.033892793799</v>
      </c>
      <c r="CE57" s="19">
        <f>IF('M3 Allocations - TD'!CC8="","",'M3 Allocations - TD'!CC34)</f>
        <v>54983.000545667877</v>
      </c>
      <c r="CF57" s="19">
        <f>IF('M3 Allocations - TD'!CD8="","",'M3 Allocations - TD'!CD34)</f>
        <v>39487.883144072875</v>
      </c>
      <c r="CG57" s="19">
        <f>IF('M3 Allocations - TD'!CE8="","",'M3 Allocations - TD'!CE34)</f>
        <v>18825.129665686756</v>
      </c>
      <c r="CH57" s="19">
        <f>IF('M3 Allocations - TD'!CF8="","",'M3 Allocations - TD'!CF34)</f>
        <v>18666.317077249507</v>
      </c>
      <c r="CI57" s="19">
        <f>IF('M3 Allocations - TD'!CG8="","",'M3 Allocations - TD'!CG34)</f>
        <v>19499.332821582328</v>
      </c>
      <c r="CJ57" s="19">
        <f>IF('M3 Allocations - TD'!CH8="","",'M3 Allocations - TD'!CH34)</f>
        <v>19823.174292411899</v>
      </c>
    </row>
    <row r="58" spans="1:88" s="4" customFormat="1" ht="15" hidden="1" customHeight="1" outlineLevel="1" x14ac:dyDescent="0.25">
      <c r="A58" s="276"/>
      <c r="B58" s="15" t="s">
        <v>25</v>
      </c>
      <c r="C58" s="81"/>
      <c r="D58" s="81"/>
      <c r="E58" s="81"/>
      <c r="F58" s="19">
        <f>IF('M3 Allocations - TD'!D54="","",'M3 Allocations - TD'!D72)</f>
        <v>0</v>
      </c>
      <c r="G58" s="19">
        <f>IF('M3 Allocations - TD'!E54="","",'M3 Allocations - TD'!E72)</f>
        <v>0</v>
      </c>
      <c r="H58" s="19">
        <f>IF('M3 Allocations - TD'!F54="","",'M3 Allocations - TD'!F72)</f>
        <v>2381.1324731369587</v>
      </c>
      <c r="I58" s="19">
        <f>IF('M3 Allocations - TD'!G54="","",'M3 Allocations - TD'!G72)</f>
        <v>41080.759711289073</v>
      </c>
      <c r="J58" s="19">
        <f>IF('M3 Allocations - TD'!H54="","",'M3 Allocations - TD'!H72)</f>
        <v>46620.227707662583</v>
      </c>
      <c r="K58" s="19">
        <f>IF('M3 Allocations - TD'!I54="","",'M3 Allocations - TD'!I72)</f>
        <v>48915.290383093015</v>
      </c>
      <c r="L58" s="19">
        <f>IF('M3 Allocations - TD'!J54="","",'M3 Allocations - TD'!J72)</f>
        <v>48689.064699160743</v>
      </c>
      <c r="M58" s="19">
        <f>IF('M3 Allocations - TD'!K54="","",'M3 Allocations - TD'!K72)</f>
        <v>45154.720570269681</v>
      </c>
      <c r="N58" s="19">
        <f>IF('M3 Allocations - TD'!L54="","",'M3 Allocations - TD'!L72)</f>
        <v>41515.04923810179</v>
      </c>
      <c r="O58" s="19">
        <f>IF('M3 Allocations - TD'!M54="","",'M3 Allocations - TD'!M72)</f>
        <v>41594.548478057877</v>
      </c>
      <c r="P58" s="19">
        <f>IF('M3 Allocations - TD'!N54="","",'M3 Allocations - TD'!N72)</f>
        <v>42743.649469302021</v>
      </c>
      <c r="Q58" s="19">
        <f>IF('M3 Allocations - TD'!O54="","",'M3 Allocations - TD'!O72)</f>
        <v>43471.756585125317</v>
      </c>
      <c r="R58" s="19">
        <f>IF('M3 Allocations - TD'!P54="","",'M3 Allocations - TD'!P72)</f>
        <v>37573.855689531287</v>
      </c>
      <c r="S58" s="19">
        <f>IF('M3 Allocations - TD'!Q54="","",'M3 Allocations - TD'!Q72)</f>
        <v>36905.295455925545</v>
      </c>
      <c r="T58" s="19">
        <f>IF('M3 Allocations - TD'!R54="","",'M3 Allocations - TD'!R72)</f>
        <v>34871.894488322658</v>
      </c>
      <c r="U58" s="19">
        <f>IF('M3 Allocations - TD'!S54="","",'M3 Allocations - TD'!S72)</f>
        <v>40727.091457001268</v>
      </c>
      <c r="V58" s="19">
        <f>IF('M3 Allocations - TD'!T54="","",'M3 Allocations - TD'!T72)</f>
        <v>42825.077518324979</v>
      </c>
      <c r="W58" s="19">
        <f>IF('M3 Allocations - TD'!U54="","",'M3 Allocations - TD'!U72)</f>
        <v>44954.202556147626</v>
      </c>
      <c r="X58" s="19">
        <f>IF('M3 Allocations - TD'!V54="","",'M3 Allocations - TD'!V72)</f>
        <v>45054.75137109276</v>
      </c>
      <c r="Y58" s="19">
        <f>IF('M3 Allocations - TD'!W54="","",'M3 Allocations - TD'!W72)</f>
        <v>40035.738044047088</v>
      </c>
      <c r="Z58" s="19">
        <f>IF('M3 Allocations - TD'!X54="","",'M3 Allocations - TD'!X72)</f>
        <v>39574.059026383933</v>
      </c>
      <c r="AA58" s="19">
        <f>IF('M3 Allocations - TD'!Y54="","",'M3 Allocations - TD'!Y72)</f>
        <v>41188.257144152223</v>
      </c>
      <c r="AB58" s="19">
        <f>IF('M3 Allocations - TD'!Z54="","",'M3 Allocations - TD'!Z72)</f>
        <v>40226.995717895465</v>
      </c>
      <c r="AC58" s="19">
        <f>IF('M3 Allocations - TD'!AA54="","",'M3 Allocations - TD'!AA72)</f>
        <v>108585.49808616596</v>
      </c>
      <c r="AD58" s="19">
        <f>IF('M3 Allocations - TD'!AB54="","",'M3 Allocations - TD'!AB72)</f>
        <v>181792.64072508441</v>
      </c>
      <c r="AE58" s="19">
        <f>IF('M3 Allocations - TD'!AC54="","",'M3 Allocations - TD'!AC72)</f>
        <v>183572.05910467496</v>
      </c>
      <c r="AF58" s="19">
        <f>IF('M3 Allocations - TD'!AD54="","",'M3 Allocations - TD'!AD72)</f>
        <v>190770.53370651661</v>
      </c>
      <c r="AG58" s="19">
        <f>IF('M3 Allocations - TD'!AE54="","",'M3 Allocations - TD'!AE72)</f>
        <v>183881.99525765545</v>
      </c>
      <c r="AH58" s="19">
        <f>IF('M3 Allocations - TD'!AF54="","",'M3 Allocations - TD'!AF72)</f>
        <v>245635.92921565124</v>
      </c>
      <c r="AI58" s="19">
        <f>IF('M3 Allocations - TD'!AG54="","",'M3 Allocations - TD'!AG72)</f>
        <v>225402.14448890529</v>
      </c>
      <c r="AJ58" s="19">
        <f>IF('M3 Allocations - TD'!AH54="","",'M3 Allocations - TD'!AH72)</f>
        <v>228315.5064563354</v>
      </c>
      <c r="AK58" s="19">
        <f>IF('M3 Allocations - TD'!AI54="","",'M3 Allocations - TD'!AI72)</f>
        <v>197613.76683715408</v>
      </c>
      <c r="AL58" s="19">
        <f>IF('M3 Allocations - TD'!AJ54="","",'M3 Allocations - TD'!AJ72)</f>
        <v>171603.607119394</v>
      </c>
      <c r="AM58" s="19">
        <f>IF('M3 Allocations - TD'!AK54="","",'M3 Allocations - TD'!AK72)</f>
        <v>225113.97993017494</v>
      </c>
      <c r="AN58" s="19">
        <f>IF('M3 Allocations - TD'!AL54="","",'M3 Allocations - TD'!AL72)</f>
        <v>217125.39653110137</v>
      </c>
      <c r="AO58" s="19">
        <f>IF('M3 Allocations - TD'!AM54="","",'M3 Allocations - TD'!AM72)</f>
        <v>162221.33538769459</v>
      </c>
      <c r="AP58" s="19">
        <f>IF('M3 Allocations - TD'!AN54="","",'M3 Allocations - TD'!AN72)</f>
        <v>84753.684454895163</v>
      </c>
      <c r="AQ58" s="19">
        <f>IF('M3 Allocations - TD'!AO54="","",'M3 Allocations - TD'!AO72)</f>
        <v>72198.807943159496</v>
      </c>
      <c r="AR58" s="19">
        <f>IF('M3 Allocations - TD'!AP54="","",'M3 Allocations - TD'!AP72)</f>
        <v>84979.402614517516</v>
      </c>
      <c r="AS58" s="19">
        <f>IF('M3 Allocations - TD'!AQ54="","",'M3 Allocations - TD'!AQ72)</f>
        <v>96900.261492082005</v>
      </c>
      <c r="AT58" s="19">
        <f>IF('M3 Allocations - TD'!AR54="","",'M3 Allocations - TD'!AR72)</f>
        <v>100482.39287136923</v>
      </c>
      <c r="AU58" s="19">
        <f>IF('M3 Allocations - TD'!AS54="","",'M3 Allocations - TD'!AS72)</f>
        <v>99567.440007197365</v>
      </c>
      <c r="AV58" s="19">
        <f>IF('M3 Allocations - TD'!AT54="","",'M3 Allocations - TD'!AT72)</f>
        <v>97105.740111514999</v>
      </c>
      <c r="AW58" s="19">
        <f>IF('M3 Allocations - TD'!AU54="","",'M3 Allocations - TD'!AU72)</f>
        <v>86103.564631792964</v>
      </c>
      <c r="AX58" s="19">
        <f>IF('M3 Allocations - TD'!AV54="","",'M3 Allocations - TD'!AV72)</f>
        <v>86765.912910017505</v>
      </c>
      <c r="AY58" s="19">
        <f>IF('M3 Allocations - TD'!AW54="","",'M3 Allocations - TD'!AW72)</f>
        <v>89195.654381293964</v>
      </c>
      <c r="AZ58" s="19">
        <f>IF('M3 Allocations - TD'!AX54="","",'M3 Allocations - TD'!AX72)</f>
        <v>84853.67359430436</v>
      </c>
      <c r="BA58" s="19">
        <f>IF('M3 Allocations - TD'!AY54="","",'M3 Allocations - TD'!AY72)</f>
        <v>116964.64095577589</v>
      </c>
      <c r="BB58" s="19">
        <f>IF('M3 Allocations - TD'!AZ54="","",'M3 Allocations - TD'!AZ72)</f>
        <v>189332.91154715291</v>
      </c>
      <c r="BC58" s="19">
        <f>IF('M3 Allocations - TD'!BA54="","",'M3 Allocations - TD'!BA72)</f>
        <v>196301.33578545341</v>
      </c>
      <c r="BD58" s="19">
        <f>IF('M3 Allocations - TD'!BB54="","",'M3 Allocations - TD'!BB72)</f>
        <v>196733.17904220874</v>
      </c>
      <c r="BE58" s="19">
        <f>IF('M3 Allocations - TD'!BC54="","",'M3 Allocations - TD'!BC72)</f>
        <v>205719.5189357409</v>
      </c>
      <c r="BF58" s="19">
        <f>IF('M3 Allocations - TD'!BD54="","",'M3 Allocations - TD'!BD72)</f>
        <v>210715.73838310986</v>
      </c>
      <c r="BG58" s="19">
        <f>IF('M3 Allocations - TD'!BE54="","",'M3 Allocations - TD'!BE72)</f>
        <v>238375.38279456849</v>
      </c>
      <c r="BH58" s="19">
        <f>IF('M3 Allocations - TD'!BF54="","",'M3 Allocations - TD'!BF72)</f>
        <v>227841.78131597498</v>
      </c>
      <c r="BI58" s="19">
        <f>IF('M3 Allocations - TD'!BG54="","",'M3 Allocations - TD'!BG72)</f>
        <v>197896.49528830158</v>
      </c>
      <c r="BJ58" s="19">
        <f>IF('M3 Allocations - TD'!BH54="","",'M3 Allocations - TD'!BH72)</f>
        <v>199204.41428746725</v>
      </c>
      <c r="BK58" s="19">
        <f>IF('M3 Allocations - TD'!BI54="","",'M3 Allocations - TD'!BI72)</f>
        <v>195080.60409575581</v>
      </c>
      <c r="BL58" s="19">
        <f>IF('M3 Allocations - TD'!BJ54="","",'M3 Allocations - TD'!BJ72)</f>
        <v>205676.46607758498</v>
      </c>
      <c r="BM58" s="19">
        <f>IF('M3 Allocations - TD'!BK54="","",'M3 Allocations - TD'!BK72)</f>
        <v>164528.34319845738</v>
      </c>
      <c r="BN58" s="19">
        <f>IF('M3 Allocations - TD'!BL54="","",'M3 Allocations - TD'!BL72)</f>
        <v>82355.750369557412</v>
      </c>
      <c r="BO58" s="19">
        <f>IF('M3 Allocations - TD'!BM54="","",'M3 Allocations - TD'!BM72)</f>
        <v>75136.769948506291</v>
      </c>
      <c r="BP58" s="19">
        <f>IF('M3 Allocations - TD'!BN54="","",'M3 Allocations - TD'!BN72)</f>
        <v>79020.330975310935</v>
      </c>
      <c r="BQ58" s="19">
        <f>IF('M3 Allocations - TD'!BO54="","",'M3 Allocations - TD'!BO72)</f>
        <v>86151.63231358421</v>
      </c>
      <c r="BR58" s="19">
        <f>IF('M3 Allocations - TD'!BP54="","",'M3 Allocations - TD'!BP72)</f>
        <v>92390.851174746815</v>
      </c>
      <c r="BS58" s="19">
        <f>IF('M3 Allocations - TD'!BQ54="","",'M3 Allocations - TD'!BQ72)</f>
        <v>87335.237425234605</v>
      </c>
      <c r="BT58" s="19">
        <f>IF('M3 Allocations - TD'!BR54="","",'M3 Allocations - TD'!BR72)</f>
        <v>85732.605078085864</v>
      </c>
      <c r="BU58" s="19">
        <f>IF('M3 Allocations - TD'!BS54="","",'M3 Allocations - TD'!BS72)</f>
        <v>84245.2067722707</v>
      </c>
      <c r="BV58" s="19">
        <f>IF('M3 Allocations - TD'!BT54="","",'M3 Allocations - TD'!BT72)</f>
        <v>74528.867074334572</v>
      </c>
      <c r="BW58" s="19">
        <f>IF('M3 Allocations - TD'!BU54="","",'M3 Allocations - TD'!BU72)</f>
        <v>78369.714671017398</v>
      </c>
      <c r="BX58" s="19">
        <f>IF('M3 Allocations - TD'!BV54="","",'M3 Allocations - TD'!BV72)</f>
        <v>81167.809811166342</v>
      </c>
      <c r="BY58" s="19">
        <f>IF('M3 Allocations - TD'!BW54="","",'M3 Allocations - TD'!BW72)</f>
        <v>63141.200238202946</v>
      </c>
      <c r="BZ58" s="19">
        <f>IF('M3 Allocations - TD'!BX54="","",'M3 Allocations - TD'!BX72)</f>
        <v>18231.246321511364</v>
      </c>
      <c r="CA58" s="19">
        <f>IF('M3 Allocations - TD'!BY54="","",'M3 Allocations - TD'!BY72)</f>
        <v>16261.061194550975</v>
      </c>
      <c r="CB58" s="19">
        <f>IF('M3 Allocations - TD'!BZ54="","",'M3 Allocations - TD'!BZ72)</f>
        <v>16916.909283687295</v>
      </c>
      <c r="CC58" s="19">
        <f>IF('M3 Allocations - TD'!CA54="","",'M3 Allocations - TD'!CA72)</f>
        <v>16940.577827038582</v>
      </c>
      <c r="CD58" s="19">
        <f>IF('M3 Allocations - TD'!CB54="","",'M3 Allocations - TD'!CB72)</f>
        <v>20672.713494590887</v>
      </c>
      <c r="CE58" s="19">
        <f>IF('M3 Allocations - TD'!CC54="","",'M3 Allocations - TD'!CC72)</f>
        <v>18446.306212020601</v>
      </c>
      <c r="CF58" s="19">
        <f>IF('M3 Allocations - TD'!CD54="","",'M3 Allocations - TD'!CD72)</f>
        <v>18376.868343093447</v>
      </c>
      <c r="CG58" s="19">
        <f>IF('M3 Allocations - TD'!CE54="","",'M3 Allocations - TD'!CE72)</f>
        <v>18470.932348151913</v>
      </c>
      <c r="CH58" s="19">
        <f>IF('M3 Allocations - TD'!CF54="","",'M3 Allocations - TD'!CF72)</f>
        <v>16540.507322086807</v>
      </c>
      <c r="CI58" s="19">
        <f>IF('M3 Allocations - TD'!CG54="","",'M3 Allocations - TD'!CG72)</f>
        <v>16770.483038937884</v>
      </c>
      <c r="CJ58" s="19">
        <f>IF('M3 Allocations - TD'!CH54="","",'M3 Allocations - TD'!CH72)</f>
        <v>17773.693442819935</v>
      </c>
    </row>
    <row r="59" spans="1:88" s="4" customFormat="1" ht="15" hidden="1" customHeight="1" outlineLevel="1" x14ac:dyDescent="0.25">
      <c r="A59" s="276"/>
      <c r="B59" s="15" t="s">
        <v>45</v>
      </c>
      <c r="C59" s="81"/>
      <c r="D59" s="81"/>
      <c r="E59" s="81"/>
      <c r="F59" s="19">
        <f>IF(F58="","",0)</f>
        <v>0</v>
      </c>
      <c r="G59" s="19">
        <f t="shared" ref="G59" si="668">IF(G58="","",0)</f>
        <v>0</v>
      </c>
      <c r="H59" s="19">
        <f t="shared" ref="H59" si="669">IF(H58="","",0)</f>
        <v>0</v>
      </c>
      <c r="I59" s="19">
        <f t="shared" ref="I59" si="670">IF(I58="","",0)</f>
        <v>0</v>
      </c>
      <c r="J59" s="19">
        <f t="shared" ref="J59" si="671">IF(J58="","",0)</f>
        <v>0</v>
      </c>
      <c r="K59" s="19">
        <f t="shared" ref="K59" si="672">IF(K58="","",0)</f>
        <v>0</v>
      </c>
      <c r="L59" s="19">
        <f t="shared" ref="L59" si="673">IF(L58="","",0)</f>
        <v>0</v>
      </c>
      <c r="M59" s="19">
        <f t="shared" ref="M59" si="674">IF(M58="","",0)</f>
        <v>0</v>
      </c>
      <c r="N59" s="19">
        <f t="shared" ref="N59" si="675">IF(N58="","",0)</f>
        <v>0</v>
      </c>
      <c r="O59" s="19">
        <f t="shared" ref="O59" si="676">IF(O58="","",0)</f>
        <v>0</v>
      </c>
      <c r="P59" s="19">
        <f t="shared" ref="P59" si="677">IF(P58="","",0)</f>
        <v>0</v>
      </c>
      <c r="Q59" s="19">
        <f>IF(Q58="","",-'M3 TD amort'!C29)</f>
        <v>20708.53</v>
      </c>
      <c r="R59" s="19">
        <f>IF(R58="","",-'M3 TD amort'!D29)</f>
        <v>17927.830000000002</v>
      </c>
      <c r="S59" s="19">
        <f>IF(S58="","",-'M3 TD amort'!E29)</f>
        <v>17511.97</v>
      </c>
      <c r="T59" s="19">
        <f>IF(T58="","",-'M3 TD amort'!F29)</f>
        <v>16485.95</v>
      </c>
      <c r="U59" s="19">
        <f>IF(U58="","",-'M3 TD amort'!G29)</f>
        <v>19200.04</v>
      </c>
      <c r="V59" s="19">
        <f>IF(V58="","",-'M3 TD amort'!H29)</f>
        <v>20208.66</v>
      </c>
      <c r="W59" s="19">
        <f>IF(W58="","",-'M3 TD amort'!I29)</f>
        <v>21182.03</v>
      </c>
      <c r="X59" s="19">
        <f>IF(X58="","",-'M3 TD amort'!J29)</f>
        <v>21187.42</v>
      </c>
      <c r="Y59" s="19">
        <f>IF(Y58="","",-'M3 TD amort'!K29)</f>
        <v>18832.849999999999</v>
      </c>
      <c r="Z59" s="19">
        <f>IF(Z58="","",-'M3 TD amort'!L29)</f>
        <v>18699.46</v>
      </c>
      <c r="AA59" s="19">
        <f>IF(AA58="","",-'M3 TD amort'!M29)</f>
        <v>19565.84</v>
      </c>
      <c r="AB59" s="19">
        <f>IF(AB58="","",-'M3 TD amort'!N29)</f>
        <v>19211.02</v>
      </c>
      <c r="AC59" s="19">
        <f>IF(AC58="","",-'M3 TD amort'!O29)</f>
        <v>-5225.53</v>
      </c>
      <c r="AD59" s="19">
        <f>IF(AD58="","",-'M3 TD amort'!P29)</f>
        <v>-8688.59</v>
      </c>
      <c r="AE59" s="19">
        <f>IF(AE58="","",-'M3 TD amort'!Q29)</f>
        <v>-8718.77</v>
      </c>
      <c r="AF59" s="19">
        <f>IF(AF58="","",-'M3 TD amort'!R29)</f>
        <v>-9032.2099999999991</v>
      </c>
      <c r="AG59" s="19">
        <f>IF(AG58="","",-'M3 TD amort'!S29)</f>
        <v>-8700.5300000000007</v>
      </c>
      <c r="AH59" s="19">
        <f>IF(AH58="","",-'M3 TD amort'!T29)</f>
        <v>-11631.74</v>
      </c>
      <c r="AI59" s="19">
        <f>IF(AI58="","",-'M3 TD amort'!U29)</f>
        <v>-10679.45</v>
      </c>
      <c r="AJ59" s="19">
        <f>IF(AJ58="","",-'M3 TD amort'!V29)</f>
        <v>-10815</v>
      </c>
      <c r="AK59" s="19">
        <f>IF(AK58="","",-'M3 TD amort'!W29)</f>
        <v>-9338.6</v>
      </c>
      <c r="AL59" s="19">
        <f>IF(AL58="","",-'M3 TD amort'!X29)</f>
        <v>-8146.01</v>
      </c>
      <c r="AM59" s="19">
        <f>IF(AM58="","",-'M3 TD amort'!Y29)</f>
        <v>-10707.36</v>
      </c>
      <c r="AN59" s="19">
        <f>IF(AN58="","",-'M3 TD amort'!Z29)</f>
        <v>-10340.290000000001</v>
      </c>
      <c r="AO59" s="19">
        <f>IF(AO58="","",-'M3 TD amort'!AA29)</f>
        <v>58728.46</v>
      </c>
      <c r="AP59" s="19">
        <f>IF(AP58="","",-'M3 TD amort'!AB29)</f>
        <v>30610.37</v>
      </c>
      <c r="AQ59" s="19">
        <f>IF(AQ58="","",-'M3 TD amort'!AC29)</f>
        <v>26134.63</v>
      </c>
      <c r="AR59" s="19">
        <f>IF(AR58="","",-'M3 TD amort'!AD29)</f>
        <v>30515.41</v>
      </c>
      <c r="AS59" s="19">
        <f>IF(AS58="","",-'M3 TD amort'!AE29)</f>
        <v>34741.599999999999</v>
      </c>
      <c r="AT59" s="19">
        <f>IF(AT58="","",-'M3 TD amort'!AF29)</f>
        <v>36119.75</v>
      </c>
      <c r="AU59" s="19">
        <f>IF(AU58="","",-'M3 TD amort'!AG29)</f>
        <v>35830</v>
      </c>
      <c r="AV59" s="19">
        <f>IF(AV58="","",-'M3 TD amort'!AH29)</f>
        <v>34903.65</v>
      </c>
      <c r="AW59" s="19">
        <f>IF(AW58="","",-'M3 TD amort'!AI29)</f>
        <v>30944.84</v>
      </c>
      <c r="AX59" s="19">
        <f>IF(AX58="","",-'M3 TD amort'!AJ29)</f>
        <v>31250.06</v>
      </c>
      <c r="AY59" s="19">
        <f>IF(AY58="","",-'M3 TD amort'!AK29)</f>
        <v>32438.34</v>
      </c>
      <c r="AZ59" s="19">
        <f>IF(AZ58="","",-'M3 TD amort'!AL29)</f>
        <v>30881.82</v>
      </c>
      <c r="BA59" s="19">
        <f>IF(BA58="","",-'M3 TD amort'!AM29)</f>
        <v>-314.94</v>
      </c>
      <c r="BB59" s="19">
        <f>IF(BB58="","",-'M3 TD amort'!AN29)</f>
        <v>-504.74</v>
      </c>
      <c r="BC59" s="19">
        <f>IF(BC58="","",-'M3 TD amort'!AO29)</f>
        <v>-522.91</v>
      </c>
      <c r="BD59" s="19">
        <f>IF(BD58="","",-'M3 TD amort'!AP29)</f>
        <v>-522.51</v>
      </c>
      <c r="BE59" s="19">
        <f>IF(BE58="","",-'M3 TD amort'!AQ29)</f>
        <v>-546.36</v>
      </c>
      <c r="BF59" s="19">
        <f>IF(BF58="","",-'M3 TD amort'!AR29)</f>
        <v>-560.33000000000004</v>
      </c>
      <c r="BG59" s="19">
        <f>IF(BG58="","",-'M3 TD amort'!AS29)</f>
        <v>-633.89</v>
      </c>
      <c r="BH59" s="19">
        <f>IF(BH58="","",-'M3 TD amort'!AT29)</f>
        <v>-605.76</v>
      </c>
      <c r="BI59" s="19">
        <f>IF(BI58="","",-'M3 TD amort'!AU29)</f>
        <v>-525.92999999999995</v>
      </c>
      <c r="BJ59" s="19">
        <f>IF(BJ58="","",-'M3 TD amort'!AV29)</f>
        <v>-529.66</v>
      </c>
      <c r="BK59" s="19">
        <f>IF(BK58="","",-'M3 TD amort'!AW29)</f>
        <v>-520.76</v>
      </c>
      <c r="BL59" s="19">
        <f>IF(BL58="","",-'M3 TD amort'!AX29)</f>
        <v>-550.14</v>
      </c>
      <c r="BM59" s="19">
        <f>IF(BM58="","",-'M3 TD amort'!AY29)</f>
        <v>158083.99</v>
      </c>
      <c r="BN59" s="19">
        <f>IF(BN58="","",-'M3 TD amort'!AZ29)</f>
        <v>78785.119999999995</v>
      </c>
      <c r="BO59" s="19">
        <f>IF(BO58="","",-'M3 TD amort'!BA29)</f>
        <v>71808.55</v>
      </c>
      <c r="BP59" s="19">
        <f>IF(BP58="","",-'M3 TD amort'!BB29)</f>
        <v>75310.320000000007</v>
      </c>
      <c r="BQ59" s="19">
        <f>IF(BQ58="","",-'M3 TD amort'!BC29)</f>
        <v>82106.87</v>
      </c>
      <c r="BR59" s="19">
        <f>IF(BR58="","",-'M3 TD amort'!BD29)</f>
        <v>88172.57</v>
      </c>
      <c r="BS59" s="19">
        <f>IF(BS58="","",-'M3 TD amort'!BE29)</f>
        <v>83326.080000000002</v>
      </c>
      <c r="BT59" s="19">
        <f>IF(BT58="","",-'M3 TD amort'!BF29)</f>
        <v>81760.44</v>
      </c>
      <c r="BU59" s="19">
        <f>IF(BU58="","",-'M3 TD amort'!BG29)</f>
        <v>80240.41</v>
      </c>
      <c r="BV59" s="19">
        <f>IF(BV58="","",-'M3 TD amort'!BH29)</f>
        <v>70988.86</v>
      </c>
      <c r="BW59" s="19">
        <f>IF(BW58="","",-'M3 TD amort'!BI29)</f>
        <v>74953.289999999994</v>
      </c>
      <c r="BX59" s="19">
        <f>IF(BX58="","",-'M3 TD amort'!BJ29)</f>
        <v>77799.23</v>
      </c>
      <c r="BY59" s="19">
        <f>IF(BY58="","",-'M3 TD amort'!$BL$29)</f>
        <v>22597.530443682834</v>
      </c>
      <c r="BZ59" s="19">
        <f>IF(BZ58="","",-'M3 TD amort'!$BL$29)</f>
        <v>22597.530443682834</v>
      </c>
      <c r="CA59" s="19">
        <f>IF(CA58="","",-'M3 TD amort'!$BL$29)</f>
        <v>22597.530443682834</v>
      </c>
      <c r="CB59" s="19">
        <f>IF(CB58="","",-'M3 TD amort'!$BL$29)</f>
        <v>22597.530443682834</v>
      </c>
      <c r="CC59" s="19">
        <f>IF(CC58="","",-'M3 TD amort'!$BL$29)</f>
        <v>22597.530443682834</v>
      </c>
      <c r="CD59" s="19">
        <f>IF(CD58="","",-'M3 TD amort'!$BL$29)</f>
        <v>22597.530443682834</v>
      </c>
      <c r="CE59" s="19">
        <f>IF(CE58="","",-'M3 TD amort'!$BL$29)</f>
        <v>22597.530443682834</v>
      </c>
      <c r="CF59" s="19">
        <f>IF(CF58="","",-'M3 TD amort'!$BL$29)</f>
        <v>22597.530443682834</v>
      </c>
      <c r="CG59" s="19">
        <f>IF(CG58="","",-'M3 TD amort'!$BL$29)</f>
        <v>22597.530443682834</v>
      </c>
      <c r="CH59" s="19">
        <f>IF(CH58="","",-'M3 TD amort'!$BL$29)</f>
        <v>22597.530443682834</v>
      </c>
      <c r="CI59" s="19">
        <f>IF(CI58="","",-'M3 TD amort'!$BL$29)</f>
        <v>22597.530443682834</v>
      </c>
      <c r="CJ59" s="19">
        <f>IF(CJ58="","",-'M3 TD amort'!$BL$29)</f>
        <v>22597.530443682834</v>
      </c>
    </row>
    <row r="60" spans="1:88" s="4" customFormat="1" ht="15" hidden="1" customHeight="1" outlineLevel="1" x14ac:dyDescent="0.25">
      <c r="A60" s="276"/>
      <c r="B60" s="15" t="s">
        <v>46</v>
      </c>
      <c r="C60" s="81"/>
      <c r="D60" s="81"/>
      <c r="E60" s="81"/>
      <c r="F60" s="7">
        <f t="shared" ref="F60:M60" si="678">IF(OR(F59="",F58=""),"",F58+F59)</f>
        <v>0</v>
      </c>
      <c r="G60" s="7">
        <f t="shared" si="678"/>
        <v>0</v>
      </c>
      <c r="H60" s="7">
        <f t="shared" si="678"/>
        <v>2381.1324731369587</v>
      </c>
      <c r="I60" s="7">
        <f t="shared" si="678"/>
        <v>41080.759711289073</v>
      </c>
      <c r="J60" s="7">
        <f t="shared" si="678"/>
        <v>46620.227707662583</v>
      </c>
      <c r="K60" s="7">
        <f t="shared" si="678"/>
        <v>48915.290383093015</v>
      </c>
      <c r="L60" s="7">
        <f t="shared" si="678"/>
        <v>48689.064699160743</v>
      </c>
      <c r="M60" s="7">
        <f t="shared" si="678"/>
        <v>45154.720570269681</v>
      </c>
      <c r="N60" s="7">
        <f>IF(OR(N59="",N58=""),"",N58+N59)</f>
        <v>41515.04923810179</v>
      </c>
      <c r="O60" s="7">
        <f t="shared" ref="O60:AE60" si="679">IF(OR(O59="",O58=""),"",O58+O59)</f>
        <v>41594.548478057877</v>
      </c>
      <c r="P60" s="7">
        <f t="shared" si="679"/>
        <v>42743.649469302021</v>
      </c>
      <c r="Q60" s="7">
        <f t="shared" si="679"/>
        <v>64180.286585125315</v>
      </c>
      <c r="R60" s="7">
        <f t="shared" si="679"/>
        <v>55501.685689531289</v>
      </c>
      <c r="S60" s="7">
        <f t="shared" si="679"/>
        <v>54417.265455925546</v>
      </c>
      <c r="T60" s="7">
        <f t="shared" si="679"/>
        <v>51357.844488322662</v>
      </c>
      <c r="U60" s="7">
        <f t="shared" si="679"/>
        <v>59927.131457001269</v>
      </c>
      <c r="V60" s="7">
        <f t="shared" si="679"/>
        <v>63033.737518324982</v>
      </c>
      <c r="W60" s="7">
        <f t="shared" si="679"/>
        <v>66136.232556147617</v>
      </c>
      <c r="X60" s="7">
        <f t="shared" si="679"/>
        <v>66242.171371092758</v>
      </c>
      <c r="Y60" s="7">
        <f t="shared" si="679"/>
        <v>58868.588044047086</v>
      </c>
      <c r="Z60" s="7">
        <f t="shared" si="679"/>
        <v>58273.519026383932</v>
      </c>
      <c r="AA60" s="7">
        <f t="shared" si="679"/>
        <v>60754.097144152227</v>
      </c>
      <c r="AB60" s="7">
        <f t="shared" si="679"/>
        <v>59438.015717895469</v>
      </c>
      <c r="AC60" s="7">
        <f t="shared" si="679"/>
        <v>103359.96808616596</v>
      </c>
      <c r="AD60" s="7">
        <f t="shared" si="679"/>
        <v>173104.05072508441</v>
      </c>
      <c r="AE60" s="7">
        <f t="shared" si="679"/>
        <v>174853.28910467497</v>
      </c>
      <c r="AF60" s="7">
        <f t="shared" ref="AF60:AW60" si="680">IF(OR(AF59="",AF58=""),"",AF58+AF59)</f>
        <v>181738.32370651662</v>
      </c>
      <c r="AG60" s="7">
        <f t="shared" si="680"/>
        <v>175181.46525765545</v>
      </c>
      <c r="AH60" s="7">
        <f t="shared" si="680"/>
        <v>234004.18921565125</v>
      </c>
      <c r="AI60" s="7">
        <f t="shared" si="680"/>
        <v>214722.69448890528</v>
      </c>
      <c r="AJ60" s="7">
        <f t="shared" si="680"/>
        <v>217500.5064563354</v>
      </c>
      <c r="AK60" s="7">
        <f t="shared" si="680"/>
        <v>188275.16683715407</v>
      </c>
      <c r="AL60" s="7">
        <f t="shared" si="680"/>
        <v>163457.59711939399</v>
      </c>
      <c r="AM60" s="7">
        <f t="shared" si="680"/>
        <v>214406.61993017496</v>
      </c>
      <c r="AN60" s="7">
        <f t="shared" si="680"/>
        <v>206785.10653110137</v>
      </c>
      <c r="AO60" s="7">
        <f t="shared" si="680"/>
        <v>220949.79538769458</v>
      </c>
      <c r="AP60" s="7">
        <f t="shared" si="680"/>
        <v>115364.05445489516</v>
      </c>
      <c r="AQ60" s="7">
        <f t="shared" si="680"/>
        <v>98333.437943159501</v>
      </c>
      <c r="AR60" s="7">
        <f t="shared" si="680"/>
        <v>115494.81261451752</v>
      </c>
      <c r="AS60" s="7">
        <f t="shared" si="680"/>
        <v>131641.86149208201</v>
      </c>
      <c r="AT60" s="7">
        <f t="shared" si="680"/>
        <v>136602.14287136923</v>
      </c>
      <c r="AU60" s="7">
        <f t="shared" si="680"/>
        <v>135397.44000719738</v>
      </c>
      <c r="AV60" s="7">
        <f t="shared" si="680"/>
        <v>132009.39011151501</v>
      </c>
      <c r="AW60" s="7">
        <f t="shared" si="680"/>
        <v>117048.40463179296</v>
      </c>
      <c r="AX60" s="7">
        <f t="shared" ref="AX60:AY60" si="681">IF(OR(AX59="",AX58=""),"",AX58+AX59)</f>
        <v>118015.9729100175</v>
      </c>
      <c r="AY60" s="7">
        <f t="shared" si="681"/>
        <v>121633.99438129396</v>
      </c>
      <c r="AZ60" s="7">
        <f t="shared" ref="AZ60:BA60" si="682">IF(OR(AZ59="",AZ58=""),"",AZ58+AZ59)</f>
        <v>115735.49359430437</v>
      </c>
      <c r="BA60" s="7">
        <f t="shared" si="682"/>
        <v>116649.70095577589</v>
      </c>
      <c r="BB60" s="7">
        <f t="shared" ref="BB60:BC60" si="683">IF(OR(BB59="",BB58=""),"",BB58+BB59)</f>
        <v>188828.17154715292</v>
      </c>
      <c r="BC60" s="7">
        <f t="shared" si="683"/>
        <v>195778.42578545341</v>
      </c>
      <c r="BD60" s="7">
        <f t="shared" ref="BD60:BE60" si="684">IF(OR(BD59="",BD58=""),"",BD58+BD59)</f>
        <v>196210.66904220873</v>
      </c>
      <c r="BE60" s="7">
        <f t="shared" si="684"/>
        <v>205173.15893574091</v>
      </c>
      <c r="BF60" s="7">
        <f t="shared" ref="BF60:BG60" si="685">IF(OR(BF59="",BF58=""),"",BF58+BF59)</f>
        <v>210155.40838310987</v>
      </c>
      <c r="BG60" s="7">
        <f t="shared" si="685"/>
        <v>237741.49279456848</v>
      </c>
      <c r="BH60" s="7">
        <f t="shared" ref="BH60:BI60" si="686">IF(OR(BH59="",BH58=""),"",BH58+BH59)</f>
        <v>227236.02131597497</v>
      </c>
      <c r="BI60" s="7">
        <f t="shared" si="686"/>
        <v>197370.56528830159</v>
      </c>
      <c r="BJ60" s="7">
        <f t="shared" ref="BJ60:BK60" si="687">IF(OR(BJ59="",BJ58=""),"",BJ58+BJ59)</f>
        <v>198674.75428746725</v>
      </c>
      <c r="BK60" s="7">
        <f t="shared" si="687"/>
        <v>194559.84409575581</v>
      </c>
      <c r="BL60" s="7">
        <f t="shared" ref="BL60:BM60" si="688">IF(OR(BL59="",BL58=""),"",BL58+BL59)</f>
        <v>205126.32607758496</v>
      </c>
      <c r="BM60" s="7">
        <f t="shared" si="688"/>
        <v>322612.33319845737</v>
      </c>
      <c r="BN60" s="7">
        <f t="shared" ref="BN60:BO60" si="689">IF(OR(BN59="",BN58=""),"",BN58+BN59)</f>
        <v>161140.87036955741</v>
      </c>
      <c r="BO60" s="7">
        <f t="shared" si="689"/>
        <v>146945.31994850631</v>
      </c>
      <c r="BP60" s="7">
        <f t="shared" ref="BP60:BQ60" si="690">IF(OR(BP59="",BP58=""),"",BP58+BP59)</f>
        <v>154330.65097531094</v>
      </c>
      <c r="BQ60" s="7">
        <f t="shared" si="690"/>
        <v>168258.50231358421</v>
      </c>
      <c r="BR60" s="7">
        <f t="shared" ref="BR60:BS60" si="691">IF(OR(BR59="",BR58=""),"",BR58+BR59)</f>
        <v>180563.42117474682</v>
      </c>
      <c r="BS60" s="7">
        <f t="shared" si="691"/>
        <v>170661.31742523459</v>
      </c>
      <c r="BT60" s="7">
        <f t="shared" ref="BT60:BU60" si="692">IF(OR(BT59="",BT58=""),"",BT58+BT59)</f>
        <v>167493.04507808585</v>
      </c>
      <c r="BU60" s="7">
        <f t="shared" si="692"/>
        <v>164485.6167722707</v>
      </c>
      <c r="BV60" s="7">
        <f t="shared" ref="BV60:BW60" si="693">IF(OR(BV59="",BV58=""),"",BV58+BV59)</f>
        <v>145517.72707433457</v>
      </c>
      <c r="BW60" s="7">
        <f t="shared" si="693"/>
        <v>153323.00467101741</v>
      </c>
      <c r="BX60" s="7">
        <f t="shared" ref="BX60:BY60" si="694">IF(OR(BX59="",BX58=""),"",BX58+BX59)</f>
        <v>158967.03981116635</v>
      </c>
      <c r="BY60" s="7">
        <f t="shared" si="694"/>
        <v>85738.730681885776</v>
      </c>
      <c r="BZ60" s="7">
        <f t="shared" ref="BZ60:CA60" si="695">IF(OR(BZ59="",BZ58=""),"",BZ58+BZ59)</f>
        <v>40828.776765194198</v>
      </c>
      <c r="CA60" s="7">
        <f t="shared" si="695"/>
        <v>38858.591638233811</v>
      </c>
      <c r="CB60" s="7">
        <f t="shared" ref="CB60:CC60" si="696">IF(OR(CB59="",CB58=""),"",CB58+CB59)</f>
        <v>39514.439727370132</v>
      </c>
      <c r="CC60" s="7">
        <f t="shared" si="696"/>
        <v>39538.108270721415</v>
      </c>
      <c r="CD60" s="7">
        <f t="shared" ref="CD60:CE60" si="697">IF(OR(CD59="",CD58=""),"",CD58+CD59)</f>
        <v>43270.243938273721</v>
      </c>
      <c r="CE60" s="7">
        <f t="shared" si="697"/>
        <v>41043.836655703431</v>
      </c>
      <c r="CF60" s="7">
        <f t="shared" ref="CF60:CG60" si="698">IF(OR(CF59="",CF58=""),"",CF58+CF59)</f>
        <v>40974.398786776277</v>
      </c>
      <c r="CG60" s="7">
        <f t="shared" si="698"/>
        <v>41068.462791834747</v>
      </c>
      <c r="CH60" s="7">
        <f t="shared" ref="CH60:CI60" si="699">IF(OR(CH59="",CH58=""),"",CH58+CH59)</f>
        <v>39138.037765769637</v>
      </c>
      <c r="CI60" s="7">
        <f t="shared" si="699"/>
        <v>39368.013482620721</v>
      </c>
      <c r="CJ60" s="7">
        <f t="shared" ref="CJ60" si="700">IF(OR(CJ59="",CJ58=""),"",CJ58+CJ59)</f>
        <v>40371.223886502768</v>
      </c>
    </row>
    <row r="61" spans="1:88" s="4" customFormat="1" hidden="1" outlineLevel="1" x14ac:dyDescent="0.25">
      <c r="A61" s="276"/>
      <c r="B61" s="15" t="s">
        <v>12</v>
      </c>
      <c r="C61" s="81"/>
      <c r="D61" s="81"/>
      <c r="E61" s="81"/>
      <c r="F61" s="7">
        <f t="shared" ref="F61:M61" si="701">IF(OR(F58="",F57=""),"",F57-F58)</f>
        <v>0</v>
      </c>
      <c r="G61" s="7">
        <f t="shared" si="701"/>
        <v>9.4764517045030008</v>
      </c>
      <c r="H61" s="7">
        <f t="shared" si="701"/>
        <v>-1388.7476725055421</v>
      </c>
      <c r="I61" s="7">
        <f t="shared" si="701"/>
        <v>-33788.634873838782</v>
      </c>
      <c r="J61" s="7">
        <f t="shared" si="701"/>
        <v>-30625.282694978901</v>
      </c>
      <c r="K61" s="7">
        <f t="shared" si="701"/>
        <v>-31628.79776913585</v>
      </c>
      <c r="L61" s="7">
        <f t="shared" si="701"/>
        <v>-28095.429085728912</v>
      </c>
      <c r="M61" s="7">
        <f t="shared" si="701"/>
        <v>-31873.257504636691</v>
      </c>
      <c r="N61" s="7">
        <f>IF(OR(N60="",N57=""),"",N57-N60)</f>
        <v>-20880.89285591173</v>
      </c>
      <c r="O61" s="7">
        <f t="shared" ref="O61:AE61" si="702">IF(OR(O60="",O57=""),"",O57-O60)</f>
        <v>-23064.420173608989</v>
      </c>
      <c r="P61" s="7">
        <f t="shared" si="702"/>
        <v>-1423.2608784312615</v>
      </c>
      <c r="Q61" s="7">
        <f t="shared" si="702"/>
        <v>-34754.312339868906</v>
      </c>
      <c r="R61" s="7">
        <f t="shared" si="702"/>
        <v>-23336.537893722067</v>
      </c>
      <c r="S61" s="7">
        <f t="shared" si="702"/>
        <v>-33204.262082889327</v>
      </c>
      <c r="T61" s="7">
        <f t="shared" si="702"/>
        <v>-9962.8436834200766</v>
      </c>
      <c r="U61" s="7">
        <f t="shared" si="702"/>
        <v>33025.630506080146</v>
      </c>
      <c r="V61" s="7">
        <f t="shared" si="702"/>
        <v>60917.371644751765</v>
      </c>
      <c r="W61" s="7">
        <f t="shared" si="702"/>
        <v>56673.04545415286</v>
      </c>
      <c r="X61" s="7">
        <f t="shared" si="702"/>
        <v>29807.689967789847</v>
      </c>
      <c r="Y61" s="7">
        <f t="shared" si="702"/>
        <v>-7038.5842809724563</v>
      </c>
      <c r="Z61" s="7">
        <f t="shared" si="702"/>
        <v>-8695.0520385658892</v>
      </c>
      <c r="AA61" s="7">
        <f t="shared" si="702"/>
        <v>-9018.6843420362202</v>
      </c>
      <c r="AB61" s="7">
        <f t="shared" si="702"/>
        <v>31400.728559016949</v>
      </c>
      <c r="AC61" s="7">
        <f t="shared" si="702"/>
        <v>-37900.019203065363</v>
      </c>
      <c r="AD61" s="7">
        <f t="shared" si="702"/>
        <v>-101569.10620095585</v>
      </c>
      <c r="AE61" s="7">
        <f t="shared" si="702"/>
        <v>-103509.53133303807</v>
      </c>
      <c r="AF61" s="7">
        <f t="shared" ref="AF61:AV61" si="703">IF(OR(AF60="",AF57=""),"",AF57-AF60)</f>
        <v>-78442.013358746422</v>
      </c>
      <c r="AG61" s="7">
        <f t="shared" si="703"/>
        <v>81381.345943949855</v>
      </c>
      <c r="AH61" s="7">
        <f t="shared" si="703"/>
        <v>85474.889288604783</v>
      </c>
      <c r="AI61" s="7">
        <f t="shared" si="703"/>
        <v>95152.435426224227</v>
      </c>
      <c r="AJ61" s="7">
        <f t="shared" si="703"/>
        <v>-16832.010106525442</v>
      </c>
      <c r="AK61" s="7">
        <f t="shared" si="703"/>
        <v>-76857.664936724948</v>
      </c>
      <c r="AL61" s="7">
        <f t="shared" si="703"/>
        <v>-70203.704490376258</v>
      </c>
      <c r="AM61" s="7">
        <f t="shared" si="703"/>
        <v>-110918.02150773036</v>
      </c>
      <c r="AN61" s="7">
        <f t="shared" si="703"/>
        <v>-62370.276640203519</v>
      </c>
      <c r="AO61" s="7">
        <f t="shared" si="703"/>
        <v>-110883.16032173509</v>
      </c>
      <c r="AP61" s="7">
        <f t="shared" si="703"/>
        <v>-65035.886470164958</v>
      </c>
      <c r="AQ61" s="7">
        <f t="shared" si="703"/>
        <v>-49514.800112431563</v>
      </c>
      <c r="AR61" s="7">
        <f t="shared" si="703"/>
        <v>-46355.214909730319</v>
      </c>
      <c r="AS61" s="7">
        <f t="shared" si="703"/>
        <v>72762.145923781267</v>
      </c>
      <c r="AT61" s="7">
        <f t="shared" si="703"/>
        <v>144448.54448130322</v>
      </c>
      <c r="AU61" s="7">
        <f t="shared" si="703"/>
        <v>107717.73543805329</v>
      </c>
      <c r="AV61" s="7">
        <f t="shared" si="703"/>
        <v>28168.286227815086</v>
      </c>
      <c r="AW61" s="108">
        <f>IF(OR(AW60="",AW57=""),"",AW57-AW60)+AW56</f>
        <v>-22581.990307734537</v>
      </c>
      <c r="AX61" s="7">
        <f t="shared" ref="AX61:AY61" si="704">IF(OR(AX60="",AX57=""),"",AX57-AX60)</f>
        <v>-49256.269142611694</v>
      </c>
      <c r="AY61" s="7">
        <f t="shared" si="704"/>
        <v>-42210.919992506781</v>
      </c>
      <c r="AZ61" s="7">
        <f t="shared" ref="AZ61:BA61" si="705">IF(OR(AZ60="",AZ57=""),"",AZ57-AZ60)</f>
        <v>8416.6665120020043</v>
      </c>
      <c r="BA61" s="7">
        <f t="shared" si="705"/>
        <v>-25997.41074943266</v>
      </c>
      <c r="BB61" s="7">
        <f t="shared" ref="BB61:BC61" si="706">IF(OR(BB60="",BB57=""),"",BB57-BB60)</f>
        <v>-93436.989145740285</v>
      </c>
      <c r="BC61" s="7">
        <f t="shared" si="706"/>
        <v>-97686.238897673</v>
      </c>
      <c r="BD61" s="7">
        <f t="shared" ref="BD61:BE61" si="707">IF(OR(BD60="",BD57=""),"",BD57-BD60)</f>
        <v>-49971.784711080662</v>
      </c>
      <c r="BE61" s="7">
        <f t="shared" si="707"/>
        <v>203423.20551150196</v>
      </c>
      <c r="BF61" s="7">
        <f t="shared" ref="BF61:BG61" si="708">IF(OR(BF60="",BF57=""),"",BF57-BF60)</f>
        <v>-80137.834317753877</v>
      </c>
      <c r="BG61" s="7">
        <f t="shared" si="708"/>
        <v>-101816.09587131141</v>
      </c>
      <c r="BH61" s="7">
        <f t="shared" ref="BH61:BI61" si="709">IF(OR(BH60="",BH57=""),"",BH57-BH60)</f>
        <v>-127360.42626965513</v>
      </c>
      <c r="BI61" s="7">
        <f t="shared" si="709"/>
        <v>-150197.66161622535</v>
      </c>
      <c r="BJ61" s="7">
        <f t="shared" ref="BJ61:BK61" si="710">IF(OR(BJ60="",BJ57=""),"",BJ57-BJ60)</f>
        <v>-149256.43628625534</v>
      </c>
      <c r="BK61" s="7">
        <f t="shared" si="710"/>
        <v>-132588.53044015222</v>
      </c>
      <c r="BL61" s="7">
        <f t="shared" ref="BL61:BM61" si="711">IF(OR(BL60="",BL57=""),"",BL57-BL60)</f>
        <v>-104985.99824294845</v>
      </c>
      <c r="BM61" s="7">
        <f t="shared" si="711"/>
        <v>-254002.23471756993</v>
      </c>
      <c r="BN61" s="7">
        <f t="shared" ref="BN61:BO61" si="712">IF(OR(BN60="",BN57=""),"",BN57-BN60)</f>
        <v>-88028.564228766743</v>
      </c>
      <c r="BO61" s="7">
        <f t="shared" si="712"/>
        <v>-77052.400386895199</v>
      </c>
      <c r="BP61" s="7">
        <f t="shared" ref="BP61:BQ61" si="713">IF(OR(BP60="",BP57=""),"",BP57-BP60)</f>
        <v>-55274.010693640477</v>
      </c>
      <c r="BQ61" s="7">
        <f t="shared" si="713"/>
        <v>90240.196159232204</v>
      </c>
      <c r="BR61" s="7">
        <f t="shared" ref="BR61:BS61" si="714">IF(OR(BR60="",BR57=""),"",BR57-BR60)</f>
        <v>123396.50025783695</v>
      </c>
      <c r="BS61" s="7">
        <f t="shared" si="714"/>
        <v>123499.76250018575</v>
      </c>
      <c r="BT61" s="7">
        <f t="shared" ref="BT61:BU61" si="715">IF(OR(BT60="",BT57=""),"",BT57-BT60)</f>
        <v>41094.246844840876</v>
      </c>
      <c r="BU61" s="7">
        <f t="shared" si="715"/>
        <v>-65060.210944046077</v>
      </c>
      <c r="BV61" s="7">
        <f t="shared" ref="BV61:BW61" si="716">IF(OR(BV60="",BV57=""),"",BV57-BV60)</f>
        <v>-46674.924011555995</v>
      </c>
      <c r="BW61" s="7">
        <f t="shared" si="716"/>
        <v>-37858.799748687248</v>
      </c>
      <c r="BX61" s="7">
        <f t="shared" ref="BX61:BY61" si="717">IF(OR(BX60="",BX57=""),"",BX57-BX60)</f>
        <v>-2750.5698596018483</v>
      </c>
      <c r="BY61" s="7">
        <f t="shared" si="717"/>
        <v>36295.906693675628</v>
      </c>
      <c r="BZ61" s="7">
        <f t="shared" ref="BZ61:CA61" si="718">IF(OR(BZ60="",BZ57=""),"",BZ57-BZ60)</f>
        <v>88275.871103231475</v>
      </c>
      <c r="CA61" s="7">
        <f t="shared" si="718"/>
        <v>86595.588283486926</v>
      </c>
      <c r="CB61" s="7">
        <f t="shared" ref="CB61:CC61" si="719">IF(OR(CB60="",CB57=""),"",CB57-CB60)</f>
        <v>126160.02087420842</v>
      </c>
      <c r="CC61" s="7">
        <f t="shared" si="719"/>
        <v>24317.161262649184</v>
      </c>
      <c r="CD61" s="7">
        <f t="shared" ref="CD61:CE61" si="720">IF(OR(CD60="",CD57=""),"",CD57-CD60)</f>
        <v>12418.789954520078</v>
      </c>
      <c r="CE61" s="7">
        <f t="shared" si="720"/>
        <v>13939.163889964446</v>
      </c>
      <c r="CF61" s="7">
        <f t="shared" ref="CF61:CG61" si="721">IF(OR(CF60="",CF57=""),"",CF57-CF60)</f>
        <v>-1486.5156427034017</v>
      </c>
      <c r="CG61" s="7">
        <f t="shared" si="721"/>
        <v>-22243.333126147991</v>
      </c>
      <c r="CH61" s="7">
        <f t="shared" ref="CH61:CI61" si="722">IF(OR(CH60="",CH57=""),"",CH57-CH60)</f>
        <v>-20471.72068852013</v>
      </c>
      <c r="CI61" s="7">
        <f t="shared" si="722"/>
        <v>-19868.680661038394</v>
      </c>
      <c r="CJ61" s="7">
        <f t="shared" ref="CJ61" si="723">IF(OR(CJ60="",CJ57=""),"",CJ57-CJ60)</f>
        <v>-20548.04959409087</v>
      </c>
    </row>
    <row r="62" spans="1:88" s="4" customFormat="1" hidden="1" outlineLevel="1" x14ac:dyDescent="0.25">
      <c r="A62" s="276"/>
      <c r="B62" s="16" t="s">
        <v>7</v>
      </c>
      <c r="C62" s="81"/>
      <c r="D62" s="81"/>
      <c r="E62" s="81"/>
      <c r="F62" s="7">
        <f>IF(OR(F9="",F61=""),"",ROUND((F61+E64)*F9/12,2))</f>
        <v>0</v>
      </c>
      <c r="G62" s="7">
        <f t="shared" ref="G62:L62" si="724">IF(OR(G9="",G61=""),"",ROUND((G61+F64)*G9/12,2))</f>
        <v>0.02</v>
      </c>
      <c r="H62" s="7">
        <f t="shared" si="724"/>
        <v>-3.08</v>
      </c>
      <c r="I62" s="7">
        <f t="shared" si="724"/>
        <v>-77.67</v>
      </c>
      <c r="J62" s="7">
        <f t="shared" si="724"/>
        <v>-142.44999999999999</v>
      </c>
      <c r="K62" s="7">
        <f t="shared" si="724"/>
        <v>-191.32</v>
      </c>
      <c r="L62" s="7">
        <f t="shared" si="724"/>
        <v>-232.65</v>
      </c>
      <c r="M62" s="7">
        <f t="shared" ref="M62" si="725">IF(OR(M9="",M61=""),"",ROUND((M61+L64)*M9/12,2))</f>
        <v>-278.39999999999998</v>
      </c>
      <c r="N62" s="98">
        <f>IF(OR(N9="",N61=""),"",ROUND((N61+M64)*N9/12,2))+N56</f>
        <v>-224.61000000000007</v>
      </c>
      <c r="O62" s="7">
        <f t="shared" ref="O62" si="726">IF(OR(O9="",O61=""),"",ROUND((O61+N64)*O9/12,2))</f>
        <v>-323.17</v>
      </c>
      <c r="P62" s="7">
        <f t="shared" ref="P62" si="727">IF(OR(P9="",P61=""),"",ROUND((P61+O64)*P9/12,2))</f>
        <v>-321.51</v>
      </c>
      <c r="Q62" s="7">
        <f t="shared" ref="Q62:R62" si="728">IF(OR(Q9="",Q61=""),"",ROUND((Q61+P64)*Q9/12,2))</f>
        <v>-359.68</v>
      </c>
      <c r="R62" s="7">
        <f t="shared" si="728"/>
        <v>-381.33</v>
      </c>
      <c r="S62" s="7">
        <f t="shared" ref="S62" si="729">IF(OR(S9="",S61=""),"",ROUND((S61+R64)*S9/12,2))</f>
        <v>-201.73</v>
      </c>
      <c r="T62" s="7">
        <f t="shared" ref="T62" si="730">IF(OR(T9="",T61=""),"",ROUND((T61+S64)*T9/12,2))</f>
        <v>-26.95</v>
      </c>
      <c r="U62" s="7">
        <f t="shared" ref="U62" si="731">IF(OR(U9="",U61=""),"",ROUND((U61+T64)*U9/12,2))</f>
        <v>-21.06</v>
      </c>
      <c r="V62" s="7">
        <f t="shared" ref="V62" si="732">IF(OR(V9="",V61=""),"",ROUND((V61+U64)*V9/12,2))</f>
        <v>-19.53</v>
      </c>
      <c r="W62" s="7">
        <f t="shared" ref="W62:X62" si="733">IF(OR(W9="",W61=""),"",ROUND((W61+V64)*W9/12,2))</f>
        <v>-5.03</v>
      </c>
      <c r="X62" s="7">
        <f t="shared" si="733"/>
        <v>0.7</v>
      </c>
      <c r="Y62" s="7">
        <f t="shared" ref="Y62" si="734">IF(OR(Y9="",Y61=""),"",ROUND((Y61+X64)*Y9/12,2))</f>
        <v>3.5</v>
      </c>
      <c r="Z62" s="7">
        <f>IF(OR(Z9="",Z61=""),"",ROUND((Z59+Z61+Y64+Z56)*Z9/12,2))+Z56</f>
        <v>98.469999999999914</v>
      </c>
      <c r="AA62" s="7">
        <f>IF(OR(AA9="",AA61=""),"",ROUND((AA59+AA61+Z64)*AA9/12,2))</f>
        <v>14.34</v>
      </c>
      <c r="AB62" s="7">
        <f>IF(OR(AB9="",AB61=""),"",ROUND((AB59+AB61+AA64)*AB9/12,2))</f>
        <v>19.079999999999998</v>
      </c>
      <c r="AC62" s="7">
        <f t="shared" ref="AC62:AE62" si="735">IF(OR(AC9="",AC61=""),"",ROUND((AC59+AC61+AB64)*AC9/12,2))</f>
        <v>13.15</v>
      </c>
      <c r="AD62" s="7">
        <f t="shared" si="735"/>
        <v>-7.53</v>
      </c>
      <c r="AE62" s="7">
        <f t="shared" si="735"/>
        <v>-28.99</v>
      </c>
      <c r="AF62" s="7">
        <f t="shared" ref="AF62" si="736">IF(OR(AF9="",AF61=""),"",ROUND((AF59+AF61+AE64)*AF9/12,2))</f>
        <v>-45.23</v>
      </c>
      <c r="AG62" s="7">
        <f t="shared" ref="AG62" si="737">IF(OR(AG9="",AG61=""),"",ROUND((AG59+AG61+AF64)*AG9/12,2))</f>
        <v>-28.46</v>
      </c>
      <c r="AH62" s="7">
        <f t="shared" ref="AH62" si="738">IF(OR(AH9="",AH61=""),"",ROUND((AH59+AH61+AG64)*AH9/12,2))</f>
        <v>-11.11</v>
      </c>
      <c r="AI62" s="7">
        <f t="shared" ref="AI62" si="739">IF(OR(AI9="",AI61=""),"",ROUND((AI59+AI61+AH64)*AI9/12,2))</f>
        <v>-1.9</v>
      </c>
      <c r="AJ62" s="7">
        <f t="shared" ref="AJ62" si="740">IF(OR(AJ9="",AJ61=""),"",ROUND((AJ59+AJ61+AI64)*AJ9/12,2))</f>
        <v>-6.24</v>
      </c>
      <c r="AK62" s="7">
        <f t="shared" ref="AK62" si="741">IF(OR(AK9="",AK61=""),"",ROUND((AK59+AK61+AJ64)*AK9/12,2))</f>
        <v>-15.62</v>
      </c>
      <c r="AL62" s="7">
        <f t="shared" ref="AL62" si="742">IF(OR(AL9="",AL61=""),"",ROUND((AL59+AL61+AK64)*AL9/12,2))</f>
        <v>-25.96</v>
      </c>
      <c r="AM62" s="7">
        <f t="shared" ref="AM62" si="743">IF(OR(AM9="",AM61=""),"",ROUND((AM59+AM61+AL64)*AM9/12,2))</f>
        <v>-70.53</v>
      </c>
      <c r="AN62" s="7">
        <f t="shared" ref="AN62" si="744">IF(OR(AN9="",AN61=""),"",ROUND((AN59+AN61+AM64)*AN9/12,2))</f>
        <v>-77.709999999999994</v>
      </c>
      <c r="AO62" s="7">
        <f t="shared" ref="AO62" si="745">IF(OR(AO9="",AO61=""),"",ROUND((AO59+AO61+AN64)*AO9/12,2))</f>
        <v>-110.94</v>
      </c>
      <c r="AP62" s="7">
        <f t="shared" ref="AP62" si="746">IF(OR(AP9="",AP61=""),"",ROUND((AP59+AP61+AO64)*AP9/12,2))</f>
        <v>-277.91000000000003</v>
      </c>
      <c r="AQ62" s="7">
        <f t="shared" ref="AQ62" si="747">IF(OR(AQ9="",AQ61=""),"",ROUND((AQ59+AQ61+AP64)*AQ9/12,2))</f>
        <v>-254.26</v>
      </c>
      <c r="AR62" s="7">
        <f t="shared" ref="AR62" si="748">IF(OR(AR9="",AR61=""),"",ROUND((AR59+AR61+AQ64)*AR9/12,2))</f>
        <v>-414.91</v>
      </c>
      <c r="AS62" s="7">
        <f t="shared" ref="AS62" si="749">IF(OR(AS9="",AS61=""),"",ROUND((AS59+AS61+AR64)*AS9/12,2))</f>
        <v>-516.55999999999995</v>
      </c>
      <c r="AT62" s="7">
        <f t="shared" ref="AT62" si="750">IF(OR(AT9="",AT61=""),"",ROUND((AT59+AT61+AS64)*AT9/12,2))</f>
        <v>-406.41</v>
      </c>
      <c r="AU62" s="7">
        <f t="shared" ref="AU62" si="751">IF(OR(AU9="",AU61=""),"",ROUND((AU59+AU61+AT64)*AU9/12,2))</f>
        <v>-200.81</v>
      </c>
      <c r="AV62" s="7">
        <f t="shared" ref="AV62" si="752">IF(OR(AV9="",AV61=""),"",ROUND((AV59+AV61+AU64)*AV9/12,2))</f>
        <v>-73.67</v>
      </c>
      <c r="AW62" s="7">
        <f t="shared" ref="AW62:AX62" si="753">IF(OR(AW9="",AW61=""),"",ROUND((AW59+AW61+AV64)*AW9/12,2))</f>
        <v>-66</v>
      </c>
      <c r="AX62" s="7">
        <f t="shared" si="753"/>
        <v>-146.07</v>
      </c>
      <c r="AY62" s="7">
        <f>IF(OR(AY9="",AY61=""),"",ROUND((AY59+AY61+AX64)*AY9/12,2))</f>
        <v>-195.53</v>
      </c>
      <c r="AZ62" s="7">
        <f>IF(OR(AZ9="",AZ61=""),"",ROUND((AZ59+AZ61+AY64+AZ56)*AZ9/12,2))+AZ56</f>
        <v>-51.070000000000128</v>
      </c>
      <c r="BA62" s="7">
        <f t="shared" ref="BA62:BL62" si="754">IF(OR(BA9="",BA61=""),"",ROUND((BA59+BA61+AZ64)*BA9/12,2))</f>
        <v>-153.82</v>
      </c>
      <c r="BB62" s="7">
        <f t="shared" si="754"/>
        <v>-549.54</v>
      </c>
      <c r="BC62" s="7">
        <f t="shared" si="754"/>
        <v>-1010.06</v>
      </c>
      <c r="BD62" s="7">
        <f t="shared" si="754"/>
        <v>-1253.71</v>
      </c>
      <c r="BE62" s="7">
        <f t="shared" si="754"/>
        <v>-363.29</v>
      </c>
      <c r="BF62" s="7">
        <f t="shared" si="754"/>
        <v>-734.17</v>
      </c>
      <c r="BG62" s="7">
        <f t="shared" si="754"/>
        <v>-1219.3599999999999</v>
      </c>
      <c r="BH62" s="7">
        <f t="shared" si="754"/>
        <v>-1818.48</v>
      </c>
      <c r="BI62" s="7">
        <f t="shared" si="754"/>
        <v>-2514.04</v>
      </c>
      <c r="BJ62" s="7">
        <f t="shared" si="754"/>
        <v>-3237.95</v>
      </c>
      <c r="BK62" s="7">
        <f t="shared" si="754"/>
        <v>-3862.17</v>
      </c>
      <c r="BL62" s="7">
        <f t="shared" si="754"/>
        <v>-4234.66</v>
      </c>
      <c r="BM62" s="108">
        <f>IF(OR(BM9="",BM61=""),"",ROUND((BM59+BM61+BL64+BM56)*BM9/12,2))</f>
        <v>-4647.53</v>
      </c>
      <c r="BN62" s="7">
        <f t="shared" ref="BN62:CJ62" si="755">IF(OR(BN9="",BN61=""),"",ROUND((BN59+BN61+BM64)*BN9/12,2))</f>
        <v>-4754.8500000000004</v>
      </c>
      <c r="BO62" s="7">
        <f t="shared" si="755"/>
        <v>-4863.34</v>
      </c>
      <c r="BP62" s="7">
        <f t="shared" si="755"/>
        <v>-4784.93</v>
      </c>
      <c r="BQ62" s="7">
        <f t="shared" si="755"/>
        <v>-4064.3</v>
      </c>
      <c r="BR62" s="7">
        <f t="shared" si="755"/>
        <v>-3120.1</v>
      </c>
      <c r="BS62" s="7">
        <f t="shared" si="755"/>
        <v>-2165.84</v>
      </c>
      <c r="BT62" s="7">
        <f t="shared" si="755"/>
        <v>-1531.59</v>
      </c>
      <c r="BU62" s="7">
        <f t="shared" si="755"/>
        <v>-1370.14</v>
      </c>
      <c r="BV62" s="7">
        <f t="shared" si="755"/>
        <v>-1250.8900000000001</v>
      </c>
      <c r="BW62" s="7">
        <f t="shared" si="755"/>
        <v>-1070.94</v>
      </c>
      <c r="BX62" s="7">
        <f t="shared" si="755"/>
        <v>-758.34</v>
      </c>
      <c r="BY62" s="7">
        <f t="shared" si="755"/>
        <v>-539.22</v>
      </c>
      <c r="BZ62" s="7">
        <f t="shared" si="755"/>
        <v>-121.41</v>
      </c>
      <c r="CA62" s="7">
        <f t="shared" si="755"/>
        <v>298.36</v>
      </c>
      <c r="CB62" s="7">
        <f t="shared" si="755"/>
        <v>867.51</v>
      </c>
      <c r="CC62" s="7">
        <f t="shared" si="755"/>
        <v>1051.26</v>
      </c>
      <c r="CD62" s="7">
        <f t="shared" si="755"/>
        <v>1190.79</v>
      </c>
      <c r="CE62" s="7">
        <f t="shared" si="755"/>
        <v>1325.45</v>
      </c>
      <c r="CF62" s="7">
        <f t="shared" si="755"/>
        <v>1360.96</v>
      </c>
      <c r="CG62" s="7">
        <f t="shared" si="755"/>
        <v>1286.03</v>
      </c>
      <c r="CH62" s="98">
        <f t="shared" si="755"/>
        <v>1297.82</v>
      </c>
      <c r="CI62" s="98">
        <f t="shared" si="755"/>
        <v>1311.73</v>
      </c>
      <c r="CJ62" s="98">
        <f t="shared" si="755"/>
        <v>1323.34</v>
      </c>
    </row>
    <row r="63" spans="1:88" s="4" customFormat="1" hidden="1" outlineLevel="1" x14ac:dyDescent="0.25">
      <c r="A63" s="276"/>
      <c r="B63" s="15" t="s">
        <v>13</v>
      </c>
      <c r="C63" s="81"/>
      <c r="D63" s="81"/>
      <c r="E63" s="81"/>
      <c r="F63" s="7">
        <f t="shared" ref="F63:M63" si="756">IF(OR(F61="",F62=""),"",F61+F62)</f>
        <v>0</v>
      </c>
      <c r="G63" s="7">
        <f t="shared" si="756"/>
        <v>9.4964517045030004</v>
      </c>
      <c r="H63" s="7">
        <f t="shared" si="756"/>
        <v>-1391.8276725055421</v>
      </c>
      <c r="I63" s="7">
        <f t="shared" si="756"/>
        <v>-33866.304873838781</v>
      </c>
      <c r="J63" s="7">
        <f t="shared" si="756"/>
        <v>-30767.732694978902</v>
      </c>
      <c r="K63" s="7">
        <f t="shared" si="756"/>
        <v>-31820.11776913585</v>
      </c>
      <c r="L63" s="7">
        <f t="shared" si="756"/>
        <v>-28328.079085728914</v>
      </c>
      <c r="M63" s="7">
        <f t="shared" si="756"/>
        <v>-32151.657504636692</v>
      </c>
      <c r="N63" s="7">
        <f>IF(OR(N61="",N62=""),"",N61+N62)</f>
        <v>-21105.502855911731</v>
      </c>
      <c r="O63" s="7">
        <f t="shared" ref="O63:AE63" si="757">IF(OR(O61="",O62=""),"",O61+O62)</f>
        <v>-23387.590173608987</v>
      </c>
      <c r="P63" s="7">
        <f t="shared" si="757"/>
        <v>-1744.7708784312615</v>
      </c>
      <c r="Q63" s="7">
        <f t="shared" si="757"/>
        <v>-35113.992339868906</v>
      </c>
      <c r="R63" s="7">
        <f t="shared" si="757"/>
        <v>-23717.867893722068</v>
      </c>
      <c r="S63" s="7">
        <f t="shared" si="757"/>
        <v>-33405.99208288933</v>
      </c>
      <c r="T63" s="7">
        <f t="shared" si="757"/>
        <v>-9989.7936834200773</v>
      </c>
      <c r="U63" s="7">
        <f t="shared" si="757"/>
        <v>33004.570506080148</v>
      </c>
      <c r="V63" s="7">
        <f t="shared" si="757"/>
        <v>60897.841644751767</v>
      </c>
      <c r="W63" s="7">
        <f t="shared" si="757"/>
        <v>56668.015454152861</v>
      </c>
      <c r="X63" s="7">
        <f t="shared" si="757"/>
        <v>29808.389967789848</v>
      </c>
      <c r="Y63" s="7">
        <f t="shared" si="757"/>
        <v>-7035.0842809724563</v>
      </c>
      <c r="Z63" s="7">
        <f>IF(OR(Z61="",Z62=""),"",Z61+Z62)</f>
        <v>-8596.5820385658899</v>
      </c>
      <c r="AA63" s="7">
        <f t="shared" si="757"/>
        <v>-9004.34434203622</v>
      </c>
      <c r="AB63" s="7">
        <f t="shared" si="757"/>
        <v>31419.80855901695</v>
      </c>
      <c r="AC63" s="7">
        <f t="shared" si="757"/>
        <v>-37886.869203065362</v>
      </c>
      <c r="AD63" s="7">
        <f t="shared" si="757"/>
        <v>-101576.63620095585</v>
      </c>
      <c r="AE63" s="7">
        <f t="shared" si="757"/>
        <v>-103538.52133303808</v>
      </c>
      <c r="AF63" s="7">
        <f t="shared" ref="AF63:AW63" si="758">IF(OR(AF61="",AF62=""),"",AF61+AF62)</f>
        <v>-78487.243358746418</v>
      </c>
      <c r="AG63" s="7">
        <f t="shared" si="758"/>
        <v>81352.885943949848</v>
      </c>
      <c r="AH63" s="7">
        <f t="shared" si="758"/>
        <v>85463.779288604783</v>
      </c>
      <c r="AI63" s="7">
        <f t="shared" si="758"/>
        <v>95150.535426224233</v>
      </c>
      <c r="AJ63" s="7">
        <f t="shared" si="758"/>
        <v>-16838.250106525444</v>
      </c>
      <c r="AK63" s="7">
        <f t="shared" si="758"/>
        <v>-76873.284936724944</v>
      </c>
      <c r="AL63" s="7">
        <f t="shared" si="758"/>
        <v>-70229.664490376264</v>
      </c>
      <c r="AM63" s="7">
        <f t="shared" si="758"/>
        <v>-110988.55150773036</v>
      </c>
      <c r="AN63" s="7">
        <f t="shared" si="758"/>
        <v>-62447.986640203519</v>
      </c>
      <c r="AO63" s="7">
        <f t="shared" si="758"/>
        <v>-110994.1003217351</v>
      </c>
      <c r="AP63" s="7">
        <f t="shared" si="758"/>
        <v>-65313.796470164962</v>
      </c>
      <c r="AQ63" s="7">
        <f t="shared" si="758"/>
        <v>-49769.060112431565</v>
      </c>
      <c r="AR63" s="7">
        <f t="shared" si="758"/>
        <v>-46770.124909730323</v>
      </c>
      <c r="AS63" s="7">
        <f t="shared" si="758"/>
        <v>72245.585923781269</v>
      </c>
      <c r="AT63" s="7">
        <f t="shared" si="758"/>
        <v>144042.13448130322</v>
      </c>
      <c r="AU63" s="7">
        <f t="shared" si="758"/>
        <v>107516.92543805329</v>
      </c>
      <c r="AV63" s="7">
        <f t="shared" si="758"/>
        <v>28094.616227815088</v>
      </c>
      <c r="AW63" s="7">
        <f t="shared" si="758"/>
        <v>-22647.990307734537</v>
      </c>
      <c r="AX63" s="7">
        <f t="shared" ref="AX63:AY63" si="759">IF(OR(AX61="",AX62=""),"",AX61+AX62)</f>
        <v>-49402.339142611694</v>
      </c>
      <c r="AY63" s="7">
        <f t="shared" si="759"/>
        <v>-42406.449992506779</v>
      </c>
      <c r="AZ63" s="7">
        <f t="shared" ref="AZ63:BA63" si="760">IF(OR(AZ61="",AZ62=""),"",AZ61+AZ62)</f>
        <v>8365.5965120020046</v>
      </c>
      <c r="BA63" s="7">
        <f t="shared" si="760"/>
        <v>-26151.23074943266</v>
      </c>
      <c r="BB63" s="7">
        <f t="shared" ref="BB63:BC63" si="761">IF(OR(BB61="",BB62=""),"",BB61+BB62)</f>
        <v>-93986.529145740278</v>
      </c>
      <c r="BC63" s="7">
        <f t="shared" si="761"/>
        <v>-98696.298897672998</v>
      </c>
      <c r="BD63" s="7">
        <f t="shared" ref="BD63:BE63" si="762">IF(OR(BD61="",BD62=""),"",BD61+BD62)</f>
        <v>-51225.494711080661</v>
      </c>
      <c r="BE63" s="7">
        <f t="shared" si="762"/>
        <v>203059.91551150195</v>
      </c>
      <c r="BF63" s="7">
        <f t="shared" ref="BF63:BG63" si="763">IF(OR(BF61="",BF62=""),"",BF61+BF62)</f>
        <v>-80872.004317753876</v>
      </c>
      <c r="BG63" s="7">
        <f t="shared" si="763"/>
        <v>-103035.45587131141</v>
      </c>
      <c r="BH63" s="7">
        <f t="shared" ref="BH63:BI63" si="764">IF(OR(BH61="",BH62=""),"",BH61+BH62)</f>
        <v>-129178.90626965513</v>
      </c>
      <c r="BI63" s="7">
        <f t="shared" si="764"/>
        <v>-152711.70161622536</v>
      </c>
      <c r="BJ63" s="7">
        <f t="shared" ref="BJ63:BK63" si="765">IF(OR(BJ61="",BJ62=""),"",BJ61+BJ62)</f>
        <v>-152494.38628625535</v>
      </c>
      <c r="BK63" s="7">
        <f t="shared" si="765"/>
        <v>-136450.70044015223</v>
      </c>
      <c r="BL63" s="7">
        <f t="shared" ref="BL63:BM63" si="766">IF(OR(BL61="",BL62=""),"",BL61+BL62)</f>
        <v>-109220.65824294846</v>
      </c>
      <c r="BM63" s="7">
        <f t="shared" si="766"/>
        <v>-258649.76471756992</v>
      </c>
      <c r="BN63" s="7">
        <f t="shared" ref="BN63:BO63" si="767">IF(OR(BN61="",BN62=""),"",BN61+BN62)</f>
        <v>-92783.414228766749</v>
      </c>
      <c r="BO63" s="7">
        <f t="shared" si="767"/>
        <v>-81915.740386895195</v>
      </c>
      <c r="BP63" s="7">
        <f t="shared" ref="BP63:BQ63" si="768">IF(OR(BP61="",BP62=""),"",BP61+BP62)</f>
        <v>-60058.940693640478</v>
      </c>
      <c r="BQ63" s="7">
        <f t="shared" si="768"/>
        <v>86175.896159232201</v>
      </c>
      <c r="BR63" s="7">
        <f t="shared" ref="BR63:BS63" si="769">IF(OR(BR61="",BR62=""),"",BR61+BR62)</f>
        <v>120276.40025783694</v>
      </c>
      <c r="BS63" s="7">
        <f t="shared" si="769"/>
        <v>121333.92250018576</v>
      </c>
      <c r="BT63" s="7">
        <f t="shared" ref="BT63:BU63" si="770">IF(OR(BT61="",BT62=""),"",BT61+BT62)</f>
        <v>39562.65684484088</v>
      </c>
      <c r="BU63" s="7">
        <f t="shared" si="770"/>
        <v>-66430.350944046077</v>
      </c>
      <c r="BV63" s="7">
        <f t="shared" ref="BV63:BW63" si="771">IF(OR(BV61="",BV62=""),"",BV61+BV62)</f>
        <v>-47925.814011555995</v>
      </c>
      <c r="BW63" s="7">
        <f t="shared" si="771"/>
        <v>-38929.739748687251</v>
      </c>
      <c r="BX63" s="7">
        <f t="shared" ref="BX63:BY63" si="772">IF(OR(BX61="",BX62=""),"",BX61+BX62)</f>
        <v>-3508.9098596018484</v>
      </c>
      <c r="BY63" s="7">
        <f t="shared" si="772"/>
        <v>35756.686693675627</v>
      </c>
      <c r="BZ63" s="7">
        <f t="shared" ref="BZ63:CA63" si="773">IF(OR(BZ61="",BZ62=""),"",BZ61+BZ62)</f>
        <v>88154.461103231471</v>
      </c>
      <c r="CA63" s="7">
        <f t="shared" si="773"/>
        <v>86893.948283486927</v>
      </c>
      <c r="CB63" s="7">
        <f t="shared" ref="CB63:CC63" si="774">IF(OR(CB61="",CB62=""),"",CB61+CB62)</f>
        <v>127027.53087420842</v>
      </c>
      <c r="CC63" s="7">
        <f t="shared" si="774"/>
        <v>25368.421262649183</v>
      </c>
      <c r="CD63" s="7">
        <f t="shared" ref="CD63:CE63" si="775">IF(OR(CD61="",CD62=""),"",CD61+CD62)</f>
        <v>13609.579954520079</v>
      </c>
      <c r="CE63" s="7">
        <f t="shared" si="775"/>
        <v>15264.613889964447</v>
      </c>
      <c r="CF63" s="7">
        <f t="shared" ref="CF63:CG63" si="776">IF(OR(CF61="",CF62=""),"",CF61+CF62)</f>
        <v>-125.55564270340165</v>
      </c>
      <c r="CG63" s="7">
        <f t="shared" si="776"/>
        <v>-20957.303126147992</v>
      </c>
      <c r="CH63" s="7">
        <f t="shared" ref="CH63:CI63" si="777">IF(OR(CH61="",CH62=""),"",CH61+CH62)</f>
        <v>-19173.900688520131</v>
      </c>
      <c r="CI63" s="7">
        <f t="shared" si="777"/>
        <v>-18556.950661038394</v>
      </c>
      <c r="CJ63" s="7">
        <f t="shared" ref="CJ63" si="778">IF(OR(CJ61="",CJ62=""),"",CJ61+CJ62)</f>
        <v>-19224.709594090869</v>
      </c>
    </row>
    <row r="64" spans="1:88" s="4" customFormat="1" hidden="1" outlineLevel="1" x14ac:dyDescent="0.25">
      <c r="A64" s="276"/>
      <c r="B64" s="17" t="s">
        <v>17</v>
      </c>
      <c r="C64" s="81"/>
      <c r="D64" s="81"/>
      <c r="E64" s="81"/>
      <c r="F64" s="7">
        <f>IF(OR(F63=""),"",F63)</f>
        <v>0</v>
      </c>
      <c r="G64" s="7">
        <f t="shared" ref="G64:M64" si="779">IF(OR(G63="",F64=""),"",G63+F64)</f>
        <v>9.4964517045030004</v>
      </c>
      <c r="H64" s="7">
        <f t="shared" si="779"/>
        <v>-1382.3312208010391</v>
      </c>
      <c r="I64" s="7">
        <f t="shared" si="779"/>
        <v>-35248.63609463982</v>
      </c>
      <c r="J64" s="7">
        <f t="shared" si="779"/>
        <v>-66016.368789618718</v>
      </c>
      <c r="K64" s="7">
        <f t="shared" si="779"/>
        <v>-97836.486558754565</v>
      </c>
      <c r="L64" s="7">
        <f t="shared" si="779"/>
        <v>-126164.56564448347</v>
      </c>
      <c r="M64" s="7">
        <f t="shared" si="779"/>
        <v>-158316.22314912017</v>
      </c>
      <c r="N64" s="7">
        <f>IF(OR(N63="",M64=""),"",N63+N59+M64)</f>
        <v>-179421.7260050319</v>
      </c>
      <c r="O64" s="7">
        <f>IF(OR(O63="",N64=""),"",O63+O59+N64)</f>
        <v>-202809.31617864087</v>
      </c>
      <c r="P64" s="7">
        <f t="shared" ref="P64:AE64" si="780">IF(OR(P63="",O64=""),"",P63+P59+O64)</f>
        <v>-204554.08705707215</v>
      </c>
      <c r="Q64" s="7">
        <f t="shared" si="780"/>
        <v>-218959.54939694106</v>
      </c>
      <c r="R64" s="7">
        <f t="shared" si="780"/>
        <v>-224749.58729066313</v>
      </c>
      <c r="S64" s="7">
        <f t="shared" si="780"/>
        <v>-240643.60937355246</v>
      </c>
      <c r="T64" s="7">
        <f t="shared" si="780"/>
        <v>-234147.45305697253</v>
      </c>
      <c r="U64" s="7">
        <f t="shared" si="780"/>
        <v>-181942.84255089238</v>
      </c>
      <c r="V64" s="7">
        <f t="shared" si="780"/>
        <v>-100836.34090614061</v>
      </c>
      <c r="W64" s="7">
        <f t="shared" si="780"/>
        <v>-22986.295451987753</v>
      </c>
      <c r="X64" s="7">
        <f t="shared" si="780"/>
        <v>28009.51451580209</v>
      </c>
      <c r="Y64" s="7">
        <f t="shared" si="780"/>
        <v>39807.280234829632</v>
      </c>
      <c r="Z64" s="7">
        <f t="shared" si="780"/>
        <v>49910.158196263743</v>
      </c>
      <c r="AA64" s="7">
        <f t="shared" si="780"/>
        <v>60471.653854227523</v>
      </c>
      <c r="AB64" s="7">
        <f t="shared" si="780"/>
        <v>111102.48241324448</v>
      </c>
      <c r="AC64" s="7">
        <f t="shared" si="780"/>
        <v>67990.083210179117</v>
      </c>
      <c r="AD64" s="7">
        <f t="shared" si="780"/>
        <v>-42275.142990776731</v>
      </c>
      <c r="AE64" s="7">
        <f t="shared" si="780"/>
        <v>-154532.43432381481</v>
      </c>
      <c r="AF64" s="7">
        <f t="shared" ref="AF64" si="781">IF(OR(AF63="",AE64=""),"",AF63+AF59+AE64)</f>
        <v>-242051.88768256124</v>
      </c>
      <c r="AG64" s="7">
        <f t="shared" ref="AG64" si="782">IF(OR(AG63="",AF64=""),"",AG63+AG59+AF64)</f>
        <v>-169399.5317386114</v>
      </c>
      <c r="AH64" s="7">
        <f t="shared" ref="AH64" si="783">IF(OR(AH63="",AG64=""),"",AH63+AH59+AG64)</f>
        <v>-95567.492450006626</v>
      </c>
      <c r="AI64" s="7">
        <f t="shared" ref="AI64" si="784">IF(OR(AI63="",AH64=""),"",AI63+AI59+AH64)</f>
        <v>-11096.407023782391</v>
      </c>
      <c r="AJ64" s="7">
        <f t="shared" ref="AJ64" si="785">IF(OR(AJ63="",AI64=""),"",AJ63+AJ59+AI64)</f>
        <v>-38749.657130307838</v>
      </c>
      <c r="AK64" s="7">
        <f t="shared" ref="AK64" si="786">IF(OR(AK63="",AJ64=""),"",AK63+AK59+AJ64)</f>
        <v>-124961.54206703279</v>
      </c>
      <c r="AL64" s="7">
        <f t="shared" ref="AL64" si="787">IF(OR(AL63="",AK64=""),"",AL63+AL59+AK64)</f>
        <v>-203337.21655740903</v>
      </c>
      <c r="AM64" s="7">
        <f t="shared" ref="AM64" si="788">IF(OR(AM63="",AL64=""),"",AM63+AM59+AL64)</f>
        <v>-325033.1280651394</v>
      </c>
      <c r="AN64" s="7">
        <f t="shared" ref="AN64" si="789">IF(OR(AN63="",AM64=""),"",AN63+AN59+AM64)</f>
        <v>-397821.40470534295</v>
      </c>
      <c r="AO64" s="7">
        <f t="shared" ref="AO64" si="790">IF(OR(AO63="",AN64=""),"",AO63+AO59+AN64)</f>
        <v>-450087.04502707807</v>
      </c>
      <c r="AP64" s="7">
        <f t="shared" ref="AP64" si="791">IF(OR(AP63="",AO64=""),"",AP63+AP59+AO64)</f>
        <v>-484790.47149724304</v>
      </c>
      <c r="AQ64" s="7">
        <f t="shared" ref="AQ64" si="792">IF(OR(AQ63="",AP64=""),"",AQ63+AQ59+AP64)</f>
        <v>-508424.90160967462</v>
      </c>
      <c r="AR64" s="7">
        <f t="shared" ref="AR64" si="793">IF(OR(AR63="",AQ64=""),"",AR63+AR59+AQ64)</f>
        <v>-524679.61651940492</v>
      </c>
      <c r="AS64" s="7">
        <f t="shared" ref="AS64" si="794">IF(OR(AS63="",AR64=""),"",AS63+AS59+AR64)</f>
        <v>-417692.43059562368</v>
      </c>
      <c r="AT64" s="7">
        <f t="shared" ref="AT64" si="795">IF(OR(AT63="",AS64=""),"",AT63+AT59+AS64)</f>
        <v>-237530.54611432046</v>
      </c>
      <c r="AU64" s="7">
        <f t="shared" ref="AU64" si="796">IF(OR(AU63="",AT64=""),"",AU63+AU59+AT64)</f>
        <v>-94183.620676267165</v>
      </c>
      <c r="AV64" s="7">
        <f t="shared" ref="AV64" si="797">IF(OR(AV63="",AU64=""),"",AV63+AV59+AU64)</f>
        <v>-31185.354448452075</v>
      </c>
      <c r="AW64" s="7">
        <f t="shared" ref="AW64:BL64" si="798">IF(OR(AW63="",AV64=""),"",AW63+AW59+AV64)</f>
        <v>-22888.504756186612</v>
      </c>
      <c r="AX64" s="7">
        <f t="shared" si="798"/>
        <v>-41040.783898798305</v>
      </c>
      <c r="AY64" s="7">
        <f t="shared" si="798"/>
        <v>-51008.893891305081</v>
      </c>
      <c r="AZ64" s="7">
        <f t="shared" si="798"/>
        <v>-11761.477379303076</v>
      </c>
      <c r="BA64" s="7">
        <f t="shared" si="798"/>
        <v>-38227.648128735731</v>
      </c>
      <c r="BB64" s="7">
        <f t="shared" si="798"/>
        <v>-132718.91727447603</v>
      </c>
      <c r="BC64" s="7">
        <f t="shared" si="798"/>
        <v>-231938.12617214903</v>
      </c>
      <c r="BD64" s="7">
        <f t="shared" si="798"/>
        <v>-283686.13088322966</v>
      </c>
      <c r="BE64" s="7">
        <f t="shared" si="798"/>
        <v>-81172.575371727697</v>
      </c>
      <c r="BF64" s="7">
        <f t="shared" si="798"/>
        <v>-162604.90968948157</v>
      </c>
      <c r="BG64" s="7">
        <f t="shared" si="798"/>
        <v>-266274.25556079298</v>
      </c>
      <c r="BH64" s="7">
        <f t="shared" si="798"/>
        <v>-396058.92183044809</v>
      </c>
      <c r="BI64" s="7">
        <f t="shared" si="798"/>
        <v>-549296.55344667344</v>
      </c>
      <c r="BJ64" s="7">
        <f t="shared" si="798"/>
        <v>-702320.59973292879</v>
      </c>
      <c r="BK64" s="7">
        <f t="shared" si="798"/>
        <v>-839292.060173081</v>
      </c>
      <c r="BL64" s="7">
        <f t="shared" si="798"/>
        <v>-949062.85841602948</v>
      </c>
      <c r="BM64" s="108">
        <f>IF(OR(BM63="",BL64=""),"",BM63+BM59+BL64+BM56)</f>
        <v>-1041817.5739439074</v>
      </c>
      <c r="BN64" s="7">
        <f t="shared" ref="BN64:CJ64" si="799">IF(OR(BN63="",BM64=""),"",BN63+BN59+BM64)</f>
        <v>-1055815.8681726742</v>
      </c>
      <c r="BO64" s="7">
        <f t="shared" si="799"/>
        <v>-1065923.0585595693</v>
      </c>
      <c r="BP64" s="7">
        <f t="shared" si="799"/>
        <v>-1050671.6792532098</v>
      </c>
      <c r="BQ64" s="7">
        <f t="shared" si="799"/>
        <v>-882388.91309397761</v>
      </c>
      <c r="BR64" s="7">
        <f t="shared" si="799"/>
        <v>-673939.94283614063</v>
      </c>
      <c r="BS64" s="7">
        <f t="shared" si="799"/>
        <v>-469279.94033595489</v>
      </c>
      <c r="BT64" s="7">
        <f t="shared" si="799"/>
        <v>-347956.84349111398</v>
      </c>
      <c r="BU64" s="7">
        <f t="shared" si="799"/>
        <v>-334146.78443516005</v>
      </c>
      <c r="BV64" s="7">
        <f t="shared" si="799"/>
        <v>-311083.73844671604</v>
      </c>
      <c r="BW64" s="7">
        <f t="shared" si="799"/>
        <v>-275060.18819540332</v>
      </c>
      <c r="BX64" s="7">
        <f t="shared" si="799"/>
        <v>-200769.86805500515</v>
      </c>
      <c r="BY64" s="7">
        <f t="shared" si="799"/>
        <v>-142415.65091764671</v>
      </c>
      <c r="BZ64" s="7">
        <f t="shared" si="799"/>
        <v>-31663.659370732406</v>
      </c>
      <c r="CA64" s="7">
        <f t="shared" si="799"/>
        <v>77827.819356437351</v>
      </c>
      <c r="CB64" s="7">
        <f t="shared" si="799"/>
        <v>227452.8806743286</v>
      </c>
      <c r="CC64" s="7">
        <f t="shared" si="799"/>
        <v>275418.83238066063</v>
      </c>
      <c r="CD64" s="7">
        <f t="shared" si="799"/>
        <v>311625.94277886354</v>
      </c>
      <c r="CE64" s="7">
        <f t="shared" si="799"/>
        <v>349488.08711251081</v>
      </c>
      <c r="CF64" s="7">
        <f t="shared" si="799"/>
        <v>371960.06191349024</v>
      </c>
      <c r="CG64" s="7">
        <f t="shared" si="799"/>
        <v>373600.28923102509</v>
      </c>
      <c r="CH64" s="7">
        <f t="shared" si="799"/>
        <v>377023.91898618778</v>
      </c>
      <c r="CI64" s="7">
        <f t="shared" si="799"/>
        <v>381064.49876883224</v>
      </c>
      <c r="CJ64" s="7">
        <f t="shared" si="799"/>
        <v>384437.31961842423</v>
      </c>
    </row>
    <row r="65" spans="1:88" s="4" customFormat="1" ht="8.25" hidden="1" customHeight="1" outlineLevel="1" x14ac:dyDescent="0.25">
      <c r="A65" s="35"/>
      <c r="B65" s="11"/>
      <c r="C65" s="86"/>
      <c r="D65" s="86"/>
      <c r="E65" s="86"/>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row>
    <row r="66" spans="1:88" s="4" customFormat="1" ht="15" hidden="1" customHeight="1" outlineLevel="1" x14ac:dyDescent="0.25">
      <c r="A66" s="276" t="s">
        <v>23</v>
      </c>
      <c r="B66" s="14"/>
      <c r="C66" s="81"/>
      <c r="D66" s="81"/>
      <c r="E66" s="81"/>
      <c r="F66" s="7"/>
      <c r="G66" s="7"/>
      <c r="H66" s="7"/>
      <c r="I66" s="7"/>
      <c r="J66" s="7"/>
      <c r="K66" s="7"/>
      <c r="L66" s="7"/>
      <c r="M66" s="7"/>
      <c r="N66" s="97">
        <f>'MEEIA 3 adjs'!L52</f>
        <v>15.680000000000007</v>
      </c>
      <c r="O66" s="7"/>
      <c r="P66" s="7"/>
      <c r="Q66" s="7"/>
      <c r="R66" s="7"/>
      <c r="S66" s="7"/>
      <c r="T66" s="7"/>
      <c r="U66" s="7"/>
      <c r="V66" s="7"/>
      <c r="W66" s="7"/>
      <c r="X66" s="7"/>
      <c r="Y66" s="7"/>
      <c r="Z66" s="97">
        <f>'MEEIA 3 adjs'!AA74</f>
        <v>10.880000000000024</v>
      </c>
      <c r="AA66" s="7"/>
      <c r="AB66" s="7"/>
      <c r="AC66" s="7"/>
      <c r="AD66" s="7"/>
      <c r="AE66" s="7"/>
      <c r="AF66" s="7"/>
      <c r="AG66" s="7"/>
      <c r="AH66" s="7"/>
      <c r="AI66" s="7"/>
      <c r="AJ66" s="7"/>
      <c r="AK66" s="7"/>
      <c r="AL66" s="7"/>
      <c r="AM66" s="7"/>
      <c r="AN66" s="7"/>
      <c r="AO66" s="7"/>
      <c r="AP66" s="7"/>
      <c r="AQ66" s="7"/>
      <c r="AR66" s="7"/>
      <c r="AS66" s="7"/>
      <c r="AT66" s="7"/>
      <c r="AU66" s="7"/>
      <c r="AV66" s="7"/>
      <c r="AW66" s="108">
        <v>7972.2647956794972</v>
      </c>
      <c r="AX66" s="7"/>
      <c r="AY66" s="7"/>
      <c r="AZ66" s="97">
        <f>'MEEIA 3 adjs'!DZ72</f>
        <v>4.4000000000000909</v>
      </c>
      <c r="BA66" s="7"/>
      <c r="BB66" s="7"/>
      <c r="BC66" s="7"/>
      <c r="BD66" s="7"/>
      <c r="BE66" s="7"/>
      <c r="BF66" s="7"/>
      <c r="BG66" s="7"/>
      <c r="BH66" s="7"/>
      <c r="BI66" s="7"/>
      <c r="BJ66" s="7"/>
      <c r="BK66" s="7"/>
      <c r="BL66" s="7"/>
      <c r="BM66" s="60">
        <v>1452.2520984706211</v>
      </c>
      <c r="BN66" s="7"/>
      <c r="BO66" s="7"/>
      <c r="BP66" s="7"/>
      <c r="BQ66" s="7"/>
      <c r="BR66" s="7"/>
      <c r="BS66" s="7"/>
      <c r="BT66" s="7"/>
      <c r="BU66" s="7"/>
      <c r="BV66" s="7"/>
      <c r="BW66" s="7"/>
      <c r="BX66" s="7"/>
      <c r="BY66" s="7"/>
      <c r="BZ66" s="7"/>
      <c r="CA66" s="7"/>
      <c r="CB66" s="7"/>
      <c r="CC66" s="7"/>
      <c r="CD66" s="7"/>
      <c r="CE66" s="7"/>
      <c r="CF66" s="7"/>
      <c r="CG66" s="7"/>
      <c r="CH66" s="7"/>
      <c r="CI66" s="7"/>
      <c r="CJ66" s="7"/>
    </row>
    <row r="67" spans="1:88" s="2" customFormat="1" ht="15" hidden="1" customHeight="1" outlineLevel="1" x14ac:dyDescent="0.25">
      <c r="A67" s="276"/>
      <c r="B67" s="14" t="s">
        <v>27</v>
      </c>
      <c r="C67" s="81"/>
      <c r="D67" s="81"/>
      <c r="E67" s="81"/>
      <c r="F67" s="19">
        <f>IF('M3 Allocations - TD'!D9="","",'M3 Allocations - TD'!D35)</f>
        <v>0</v>
      </c>
      <c r="G67" s="19">
        <f>IF('M3 Allocations - TD'!E9="","",'M3 Allocations - TD'!E35)</f>
        <v>0</v>
      </c>
      <c r="H67" s="19">
        <f>IF('M3 Allocations - TD'!F9="","",'M3 Allocations - TD'!F35)</f>
        <v>158.37627524588399</v>
      </c>
      <c r="I67" s="19">
        <f>IF('M3 Allocations - TD'!G9="","",'M3 Allocations - TD'!G35)</f>
        <v>597.17310476301054</v>
      </c>
      <c r="J67" s="19">
        <f>IF('M3 Allocations - TD'!H9="","",'M3 Allocations - TD'!H35)</f>
        <v>0</v>
      </c>
      <c r="K67" s="19">
        <f>IF('M3 Allocations - TD'!I9="","",'M3 Allocations - TD'!I35)</f>
        <v>224.30843760020062</v>
      </c>
      <c r="L67" s="19">
        <f>IF('M3 Allocations - TD'!J9="","",'M3 Allocations - TD'!J35)</f>
        <v>578.11242788452876</v>
      </c>
      <c r="M67" s="19">
        <f>IF('M3 Allocations - TD'!K9="","",'M3 Allocations - TD'!K35)</f>
        <v>553.72176658848127</v>
      </c>
      <c r="N67" s="19">
        <f>IF('M3 Allocations - TD'!L9="","",'M3 Allocations - TD'!L35)</f>
        <v>4498.45610981133</v>
      </c>
      <c r="O67" s="19">
        <f>IF('M3 Allocations - TD'!M9="","",'M3 Allocations - TD'!M35)</f>
        <v>2468.5744882877784</v>
      </c>
      <c r="P67" s="19">
        <f>IF('M3 Allocations - TD'!N9="","",'M3 Allocations - TD'!N35)</f>
        <v>6482.3323978120161</v>
      </c>
      <c r="Q67" s="19">
        <f>IF('M3 Allocations - TD'!O9="","",'M3 Allocations - TD'!O35)</f>
        <v>4714.4220035550234</v>
      </c>
      <c r="R67" s="19">
        <f>IF('M3 Allocations - TD'!P9="","",'M3 Allocations - TD'!P35)</f>
        <v>4933.2233077077817</v>
      </c>
      <c r="S67" s="19">
        <f>IF('M3 Allocations - TD'!Q9="","",'M3 Allocations - TD'!Q35)</f>
        <v>4340.5509347173938</v>
      </c>
      <c r="T67" s="19">
        <f>IF('M3 Allocations - TD'!R9="","",'M3 Allocations - TD'!R35)</f>
        <v>11799.946486826884</v>
      </c>
      <c r="U67" s="19">
        <f>IF('M3 Allocations - TD'!S9="","",'M3 Allocations - TD'!S35)</f>
        <v>38257.943252341713</v>
      </c>
      <c r="V67" s="19">
        <f>IF('M3 Allocations - TD'!T9="","",'M3 Allocations - TD'!T35)</f>
        <v>40690.592006909494</v>
      </c>
      <c r="W67" s="19">
        <f>IF('M3 Allocations - TD'!U9="","",'M3 Allocations - TD'!U35)</f>
        <v>41885.585703975645</v>
      </c>
      <c r="X67" s="19">
        <f>IF('M3 Allocations - TD'!V9="","",'M3 Allocations - TD'!V35)</f>
        <v>26780.761635291285</v>
      </c>
      <c r="Y67" s="19">
        <f>IF('M3 Allocations - TD'!W9="","",'M3 Allocations - TD'!W35)</f>
        <v>10597.262650374174</v>
      </c>
      <c r="Z67" s="19">
        <f>IF('M3 Allocations - TD'!X9="","",'M3 Allocations - TD'!X35)</f>
        <v>10543.327297722915</v>
      </c>
      <c r="AA67" s="19">
        <f>IF('M3 Allocations - TD'!Y9="","",'M3 Allocations - TD'!Y35)</f>
        <v>12471.245557264963</v>
      </c>
      <c r="AB67" s="19">
        <f>IF('M3 Allocations - TD'!Z9="","",'M3 Allocations - TD'!Z35)</f>
        <v>12960.956487818141</v>
      </c>
      <c r="AC67" s="19">
        <f>IF('M3 Allocations - TD'!AA9="","",'M3 Allocations - TD'!AA35)</f>
        <v>11180.008563256184</v>
      </c>
      <c r="AD67" s="19">
        <f>IF('M3 Allocations - TD'!AB9="","",'M3 Allocations - TD'!AB35)</f>
        <v>10723.724250200386</v>
      </c>
      <c r="AE67" s="19">
        <f>IF('M3 Allocations - TD'!AC9="","",'M3 Allocations - TD'!AC35)</f>
        <v>12186.584798764601</v>
      </c>
      <c r="AF67" s="19">
        <f>IF('M3 Allocations - TD'!AD9="","",'M3 Allocations - TD'!AD35)</f>
        <v>21281.154475581399</v>
      </c>
      <c r="AG67" s="19">
        <f>IF('M3 Allocations - TD'!AE9="","",'M3 Allocations - TD'!AE35)</f>
        <v>66612.208134140514</v>
      </c>
      <c r="AH67" s="19">
        <f>IF('M3 Allocations - TD'!AF9="","",'M3 Allocations - TD'!AF35)</f>
        <v>73408.187300820806</v>
      </c>
      <c r="AI67" s="19">
        <f>IF('M3 Allocations - TD'!AG9="","",'M3 Allocations - TD'!AG35)</f>
        <v>73181.995355948209</v>
      </c>
      <c r="AJ67" s="19">
        <f>IF('M3 Allocations - TD'!AH9="","",'M3 Allocations - TD'!AH35)</f>
        <v>44682.245754003154</v>
      </c>
      <c r="AK67" s="19">
        <f>IF('M3 Allocations - TD'!AI9="","",'M3 Allocations - TD'!AI35)</f>
        <v>19447.902145822471</v>
      </c>
      <c r="AL67" s="19">
        <f>IF('M3 Allocations - TD'!AJ9="","",'M3 Allocations - TD'!AJ35)</f>
        <v>16125.741463642871</v>
      </c>
      <c r="AM67" s="19">
        <f>IF('M3 Allocations - TD'!AK9="","",'M3 Allocations - TD'!AK35)</f>
        <v>19063.36096942682</v>
      </c>
      <c r="AN67" s="19">
        <f>IF('M3 Allocations - TD'!AL9="","",'M3 Allocations - TD'!AL35)</f>
        <v>18825.407725594807</v>
      </c>
      <c r="AO67" s="19">
        <f>IF('M3 Allocations - TD'!AM9="","",'M3 Allocations - TD'!AM35)</f>
        <v>15042.280346882986</v>
      </c>
      <c r="AP67" s="19">
        <f>IF('M3 Allocations - TD'!AN9="","",'M3 Allocations - TD'!AN35)</f>
        <v>5372.5491881501548</v>
      </c>
      <c r="AQ67" s="19">
        <f>IF('M3 Allocations - TD'!AO9="","",'M3 Allocations - TD'!AO35)</f>
        <v>5761.1753207721658</v>
      </c>
      <c r="AR67" s="19">
        <f>IF('M3 Allocations - TD'!AP9="","",'M3 Allocations - TD'!AP35)</f>
        <v>7701.1665386990999</v>
      </c>
      <c r="AS67" s="19">
        <f>IF('M3 Allocations - TD'!AQ9="","",'M3 Allocations - TD'!AQ35)</f>
        <v>20816.695916117322</v>
      </c>
      <c r="AT67" s="19">
        <f>IF('M3 Allocations - TD'!AR9="","",'M3 Allocations - TD'!AR35)</f>
        <v>29321.450972661642</v>
      </c>
      <c r="AU67" s="19">
        <f>IF('M3 Allocations - TD'!AS9="","",'M3 Allocations - TD'!AS35)</f>
        <v>29057.042020850196</v>
      </c>
      <c r="AV67" s="19">
        <f>IF('M3 Allocations - TD'!AT9="","",'M3 Allocations - TD'!AT35)</f>
        <v>22639.119300577775</v>
      </c>
      <c r="AW67" s="19">
        <f>IF('M3 Allocations - TD'!AU9="","",'M3 Allocations - TD'!AU35)</f>
        <v>10522.674846079888</v>
      </c>
      <c r="AX67" s="19">
        <f>IF('M3 Allocations - TD'!AV9="","",'M3 Allocations - TD'!AV35)</f>
        <v>8402.9395721317924</v>
      </c>
      <c r="AY67" s="19">
        <f>IF('M3 Allocations - TD'!AW9="","",'M3 Allocations - TD'!AW35)</f>
        <v>10147.866510048789</v>
      </c>
      <c r="AZ67" s="19">
        <f>IF('M3 Allocations - TD'!AX9="","",'M3 Allocations - TD'!AX35)</f>
        <v>10184.952993836321</v>
      </c>
      <c r="BA67" s="19">
        <f>IF('M3 Allocations - TD'!AY9="","",'M3 Allocations - TD'!AY35)</f>
        <v>9072.0567893273928</v>
      </c>
      <c r="BB67" s="19">
        <f>IF('M3 Allocations - TD'!AZ9="","",'M3 Allocations - TD'!AZ35)</f>
        <v>9954.6531526973886</v>
      </c>
      <c r="BC67" s="19">
        <f>IF('M3 Allocations - TD'!BA9="","",'M3 Allocations - TD'!BA35)</f>
        <v>10973.088832331672</v>
      </c>
      <c r="BD67" s="19">
        <f>IF('M3 Allocations - TD'!BB9="","",'M3 Allocations - TD'!BB35)</f>
        <v>20516.921574305627</v>
      </c>
      <c r="BE67" s="19">
        <f>IF('M3 Allocations - TD'!BC9="","",'M3 Allocations - TD'!BC35)</f>
        <v>80173.370498125121</v>
      </c>
      <c r="BF67" s="19">
        <f>IF('M3 Allocations - TD'!BD9="","",'M3 Allocations - TD'!BD35)</f>
        <v>41066.173957788429</v>
      </c>
      <c r="BG67" s="19">
        <f>IF('M3 Allocations - TD'!BE9="","",'M3 Allocations - TD'!BE35)</f>
        <v>43464.865379167015</v>
      </c>
      <c r="BH67" s="19">
        <f>IF('M3 Allocations - TD'!BF9="","",'M3 Allocations - TD'!BF35)</f>
        <v>24572.609553779672</v>
      </c>
      <c r="BI67" s="19">
        <f>IF('M3 Allocations - TD'!BG9="","",'M3 Allocations - TD'!BG35)</f>
        <v>6397.8158425259671</v>
      </c>
      <c r="BJ67" s="19">
        <f>IF('M3 Allocations - TD'!BH9="","",'M3 Allocations - TD'!BH35)</f>
        <v>5740.4513919906103</v>
      </c>
      <c r="BK67" s="19">
        <f>IF('M3 Allocations - TD'!BI9="","",'M3 Allocations - TD'!BI35)</f>
        <v>7252.8607050266928</v>
      </c>
      <c r="BL67" s="19">
        <f>IF('M3 Allocations - TD'!BJ9="","",'M3 Allocations - TD'!BJ35)</f>
        <v>15609.264533708742</v>
      </c>
      <c r="BM67" s="19">
        <f>IF('M3 Allocations - TD'!BK9="","",'M3 Allocations - TD'!BK35)</f>
        <v>9931.0061988053349</v>
      </c>
      <c r="BN67" s="19">
        <f>IF('M3 Allocations - TD'!BL9="","",'M3 Allocations - TD'!BL35)</f>
        <v>10734.517311806689</v>
      </c>
      <c r="BO67" s="19">
        <f>IF('M3 Allocations - TD'!BM9="","",'M3 Allocations - TD'!BM35)</f>
        <v>12461.71833996677</v>
      </c>
      <c r="BP67" s="19">
        <f>IF('M3 Allocations - TD'!BN9="","",'M3 Allocations - TD'!BN35)</f>
        <v>22695.241702912812</v>
      </c>
      <c r="BQ67" s="19">
        <f>IF('M3 Allocations - TD'!BO9="","",'M3 Allocations - TD'!BO35)</f>
        <v>65408.507485155234</v>
      </c>
      <c r="BR67" s="19">
        <f>IF('M3 Allocations - TD'!BP9="","",'M3 Allocations - TD'!BP35)</f>
        <v>72715.89068358489</v>
      </c>
      <c r="BS67" s="19">
        <f>IF('M3 Allocations - TD'!BQ9="","",'M3 Allocations - TD'!BQ35)</f>
        <v>72974.667994930234</v>
      </c>
      <c r="BT67" s="19">
        <f>IF('M3 Allocations - TD'!BR9="","",'M3 Allocations - TD'!BR35)</f>
        <v>48263.382838753387</v>
      </c>
      <c r="BU67" s="19">
        <f>IF('M3 Allocations - TD'!BS9="","",'M3 Allocations - TD'!BS35)</f>
        <v>20055.85905487034</v>
      </c>
      <c r="BV67" s="19">
        <f>IF('M3 Allocations - TD'!BT9="","",'M3 Allocations - TD'!BT35)</f>
        <v>15103.496837869801</v>
      </c>
      <c r="BW67" s="19">
        <f>IF('M3 Allocations - TD'!BU9="","",'M3 Allocations - TD'!BU35)</f>
        <v>13409.709179893904</v>
      </c>
      <c r="BX67" s="19">
        <f>IF('M3 Allocations - TD'!BV9="","",'M3 Allocations - TD'!BV35)</f>
        <v>16053.337049673319</v>
      </c>
      <c r="BY67" s="19">
        <f>IF('M3 Allocations - TD'!BW9="","",'M3 Allocations - TD'!BW35)</f>
        <v>12058.942733292135</v>
      </c>
      <c r="BZ67" s="19">
        <f>IF('M3 Allocations - TD'!BX9="","",'M3 Allocations - TD'!BX35)</f>
        <v>13671.895489961209</v>
      </c>
      <c r="CA67" s="19">
        <f>IF('M3 Allocations - TD'!BY9="","",'M3 Allocations - TD'!BY35)</f>
        <v>17287.347359416068</v>
      </c>
      <c r="CB67" s="19">
        <f>IF('M3 Allocations - TD'!BZ9="","",'M3 Allocations - TD'!BZ35)</f>
        <v>28613.629133228646</v>
      </c>
      <c r="CC67" s="19">
        <f>IF('M3 Allocations - TD'!CA9="","",'M3 Allocations - TD'!CA35)</f>
        <v>3054.4152490765855</v>
      </c>
      <c r="CD67" s="19">
        <f>IF('M3 Allocations - TD'!CB9="","",'M3 Allocations - TD'!CB35)</f>
        <v>1404.0805071519901</v>
      </c>
      <c r="CE67" s="19">
        <f>IF('M3 Allocations - TD'!CC9="","",'M3 Allocations - TD'!CC35)</f>
        <v>863.32081730207688</v>
      </c>
      <c r="CF67" s="19">
        <f>IF('M3 Allocations - TD'!CD9="","",'M3 Allocations - TD'!CD35)</f>
        <v>1749.5709190658795</v>
      </c>
      <c r="CG67" s="19">
        <f>IF('M3 Allocations - TD'!CE9="","",'M3 Allocations - TD'!CE35)</f>
        <v>2007.9612851787406</v>
      </c>
      <c r="CH67" s="19">
        <f>IF('M3 Allocations - TD'!CF9="","",'M3 Allocations - TD'!CF35)</f>
        <v>1685.8594063360258</v>
      </c>
      <c r="CI67" s="19">
        <f>IF('M3 Allocations - TD'!CG9="","",'M3 Allocations - TD'!CG35)</f>
        <v>1825.7457361413103</v>
      </c>
      <c r="CJ67" s="19">
        <f>IF('M3 Allocations - TD'!CH9="","",'M3 Allocations - TD'!CH35)</f>
        <v>1892.4408284036879</v>
      </c>
    </row>
    <row r="68" spans="1:88" s="4" customFormat="1" ht="15" hidden="1" customHeight="1" outlineLevel="1" x14ac:dyDescent="0.25">
      <c r="A68" s="276"/>
      <c r="B68" s="15" t="s">
        <v>25</v>
      </c>
      <c r="C68" s="81"/>
      <c r="D68" s="81"/>
      <c r="E68" s="81"/>
      <c r="F68" s="19">
        <f>IF('M3 Allocations - TD'!D55="","",'M3 Allocations - TD'!D73)</f>
        <v>0</v>
      </c>
      <c r="G68" s="19">
        <f>IF('M3 Allocations - TD'!E55="","",'M3 Allocations - TD'!E73)</f>
        <v>0</v>
      </c>
      <c r="H68" s="19">
        <f>IF('M3 Allocations - TD'!F55="","",'M3 Allocations - TD'!F73)</f>
        <v>-48.583419353926594</v>
      </c>
      <c r="I68" s="19">
        <f>IF('M3 Allocations - TD'!G55="","",'M3 Allocations - TD'!G73)</f>
        <v>4125.9071778961579</v>
      </c>
      <c r="J68" s="19">
        <f>IF('M3 Allocations - TD'!H55="","",'M3 Allocations - TD'!H73)</f>
        <v>6806.3797850987785</v>
      </c>
      <c r="K68" s="19">
        <f>IF('M3 Allocations - TD'!I55="","",'M3 Allocations - TD'!I73)</f>
        <v>7524.9044581782691</v>
      </c>
      <c r="L68" s="19">
        <f>IF('M3 Allocations - TD'!J55="","",'M3 Allocations - TD'!J73)</f>
        <v>7658.4495072300715</v>
      </c>
      <c r="M68" s="19">
        <f>IF('M3 Allocations - TD'!K55="","",'M3 Allocations - TD'!K73)</f>
        <v>7241.6490844376849</v>
      </c>
      <c r="N68" s="19">
        <f>IF('M3 Allocations - TD'!L55="","",'M3 Allocations - TD'!L73)</f>
        <v>6323.5939077382554</v>
      </c>
      <c r="O68" s="19">
        <f>IF('M3 Allocations - TD'!M55="","",'M3 Allocations - TD'!M73)</f>
        <v>5864.7707264215042</v>
      </c>
      <c r="P68" s="19">
        <f>IF('M3 Allocations - TD'!N55="","",'M3 Allocations - TD'!N73)</f>
        <v>6186.9939477675571</v>
      </c>
      <c r="Q68" s="19">
        <f>IF('M3 Allocations - TD'!O55="","",'M3 Allocations - TD'!O73)</f>
        <v>10792.766596240668</v>
      </c>
      <c r="R68" s="19">
        <f>IF('M3 Allocations - TD'!P55="","",'M3 Allocations - TD'!P73)</f>
        <v>19312.38401960209</v>
      </c>
      <c r="S68" s="19">
        <f>IF('M3 Allocations - TD'!Q55="","",'M3 Allocations - TD'!Q73)</f>
        <v>21254.31297935671</v>
      </c>
      <c r="T68" s="19">
        <f>IF('M3 Allocations - TD'!R55="","",'M3 Allocations - TD'!R73)</f>
        <v>21637.663415217026</v>
      </c>
      <c r="U68" s="19">
        <f>IF('M3 Allocations - TD'!S55="","",'M3 Allocations - TD'!S73)</f>
        <v>16834.533975023267</v>
      </c>
      <c r="V68" s="19">
        <f>IF('M3 Allocations - TD'!T55="","",'M3 Allocations - TD'!T73)</f>
        <v>24355.538593432568</v>
      </c>
      <c r="W68" s="19">
        <f>IF('M3 Allocations - TD'!U55="","",'M3 Allocations - TD'!U73)</f>
        <v>25113.656296491379</v>
      </c>
      <c r="X68" s="19">
        <f>IF('M3 Allocations - TD'!V55="","",'M3 Allocations - TD'!V73)</f>
        <v>25507.793919774442</v>
      </c>
      <c r="Y68" s="19">
        <f>IF('M3 Allocations - TD'!W55="","",'M3 Allocations - TD'!W73)</f>
        <v>22463.576853042847</v>
      </c>
      <c r="Z68" s="19">
        <f>IF('M3 Allocations - TD'!X55="","",'M3 Allocations - TD'!X73)</f>
        <v>21960.458267222853</v>
      </c>
      <c r="AA68" s="19">
        <f>IF('M3 Allocations - TD'!Y55="","",'M3 Allocations - TD'!Y73)</f>
        <v>22338.840952659717</v>
      </c>
      <c r="AB68" s="19">
        <f>IF('M3 Allocations - TD'!Z55="","",'M3 Allocations - TD'!Z73)</f>
        <v>20382.980401475455</v>
      </c>
      <c r="AC68" s="19">
        <f>IF('M3 Allocations - TD'!AA55="","",'M3 Allocations - TD'!AA73)</f>
        <v>32953.904164207008</v>
      </c>
      <c r="AD68" s="19">
        <f>IF('M3 Allocations - TD'!AB55="","",'M3 Allocations - TD'!AB73)</f>
        <v>23500.247497740351</v>
      </c>
      <c r="AE68" s="19">
        <f>IF('M3 Allocations - TD'!AC55="","",'M3 Allocations - TD'!AC73)</f>
        <v>40293.609086971141</v>
      </c>
      <c r="AF68" s="19">
        <f>IF('M3 Allocations - TD'!AD55="","",'M3 Allocations - TD'!AD73)</f>
        <v>41000.534789952151</v>
      </c>
      <c r="AG68" s="19">
        <f>IF('M3 Allocations - TD'!AE55="","",'M3 Allocations - TD'!AE73)</f>
        <v>39665.300517775315</v>
      </c>
      <c r="AH68" s="19">
        <f>IF('M3 Allocations - TD'!AF55="","",'M3 Allocations - TD'!AF73)</f>
        <v>50592.172457307752</v>
      </c>
      <c r="AI68" s="19">
        <f>IF('M3 Allocations - TD'!AG55="","",'M3 Allocations - TD'!AG73)</f>
        <v>48111.888839753803</v>
      </c>
      <c r="AJ68" s="19">
        <f>IF('M3 Allocations - TD'!AH55="","",'M3 Allocations - TD'!AH73)</f>
        <v>52046.073170238742</v>
      </c>
      <c r="AK68" s="19">
        <f>IF('M3 Allocations - TD'!AI55="","",'M3 Allocations - TD'!AI73)</f>
        <v>47917.124744080225</v>
      </c>
      <c r="AL68" s="19">
        <f>IF('M3 Allocations - TD'!AJ55="","",'M3 Allocations - TD'!AJ73)</f>
        <v>31542.387518483061</v>
      </c>
      <c r="AM68" s="19">
        <f>IF('M3 Allocations - TD'!AK55="","",'M3 Allocations - TD'!AK73)</f>
        <v>43557.154949803051</v>
      </c>
      <c r="AN68" s="19">
        <f>IF('M3 Allocations - TD'!AL55="","",'M3 Allocations - TD'!AL73)</f>
        <v>40956.195027623748</v>
      </c>
      <c r="AO68" s="19">
        <f>IF('M3 Allocations - TD'!AM55="","",'M3 Allocations - TD'!AM73)</f>
        <v>34081.150442443461</v>
      </c>
      <c r="AP68" s="19">
        <f>IF('M3 Allocations - TD'!AN55="","",'M3 Allocations - TD'!AN73)</f>
        <v>5569.4805559214219</v>
      </c>
      <c r="AQ68" s="19">
        <f>IF('M3 Allocations - TD'!AO55="","",'M3 Allocations - TD'!AO73)</f>
        <v>-23801.130148762259</v>
      </c>
      <c r="AR68" s="19">
        <f>IF('M3 Allocations - TD'!AP55="","",'M3 Allocations - TD'!AP73)</f>
        <v>4425.0020023903071</v>
      </c>
      <c r="AS68" s="19">
        <f>IF('M3 Allocations - TD'!AQ55="","",'M3 Allocations - TD'!AQ73)</f>
        <v>5427.3573983012948</v>
      </c>
      <c r="AT68" s="19">
        <f>IF('M3 Allocations - TD'!AR55="","",'M3 Allocations - TD'!AR73)</f>
        <v>6149.5954103370386</v>
      </c>
      <c r="AU68" s="19">
        <f>IF('M3 Allocations - TD'!AS55="","",'M3 Allocations - TD'!AS73)</f>
        <v>6063.694935624073</v>
      </c>
      <c r="AV68" s="19">
        <f>IF('M3 Allocations - TD'!AT55="","",'M3 Allocations - TD'!AT73)</f>
        <v>6340.9099918320171</v>
      </c>
      <c r="AW68" s="19">
        <f>IF('M3 Allocations - TD'!AU55="","",'M3 Allocations - TD'!AU73)</f>
        <v>5452.5804092461303</v>
      </c>
      <c r="AX68" s="19">
        <f>IF('M3 Allocations - TD'!AV55="","",'M3 Allocations - TD'!AV73)</f>
        <v>5374.9963437301585</v>
      </c>
      <c r="AY68" s="19">
        <f>IF('M3 Allocations - TD'!AW55="","",'M3 Allocations - TD'!AW73)</f>
        <v>4968.6713975309985</v>
      </c>
      <c r="AZ68" s="19">
        <f>IF('M3 Allocations - TD'!AX55="","",'M3 Allocations - TD'!AX73)</f>
        <v>4126.6501596050875</v>
      </c>
      <c r="BA68" s="19">
        <f>IF('M3 Allocations - TD'!AY55="","",'M3 Allocations - TD'!AY73)</f>
        <v>6475.6438068202078</v>
      </c>
      <c r="BB68" s="19">
        <f>IF('M3 Allocations - TD'!AZ55="","",'M3 Allocations - TD'!AZ73)</f>
        <v>20514.021968021043</v>
      </c>
      <c r="BC68" s="19">
        <f>IF('M3 Allocations - TD'!BA55="","",'M3 Allocations - TD'!BA73)</f>
        <v>20728.070271802189</v>
      </c>
      <c r="BD68" s="19">
        <f>IF('M3 Allocations - TD'!BB55="","",'M3 Allocations - TD'!BB73)</f>
        <v>21860.388330864007</v>
      </c>
      <c r="BE68" s="19">
        <f>IF('M3 Allocations - TD'!BC55="","",'M3 Allocations - TD'!BC73)</f>
        <v>26312.731447989569</v>
      </c>
      <c r="BF68" s="19">
        <f>IF('M3 Allocations - TD'!BD55="","",'M3 Allocations - TD'!BD73)</f>
        <v>24544.16997714834</v>
      </c>
      <c r="BG68" s="19">
        <f>IF('M3 Allocations - TD'!BE55="","",'M3 Allocations - TD'!BE73)</f>
        <v>28119.347477767511</v>
      </c>
      <c r="BH68" s="19">
        <f>IF('M3 Allocations - TD'!BF55="","",'M3 Allocations - TD'!BF73)</f>
        <v>30706.5519192147</v>
      </c>
      <c r="BI68" s="19">
        <f>IF('M3 Allocations - TD'!BG55="","",'M3 Allocations - TD'!BG73)</f>
        <v>31001.069342748062</v>
      </c>
      <c r="BJ68" s="19">
        <f>IF('M3 Allocations - TD'!BH55="","",'M3 Allocations - TD'!BH73)</f>
        <v>27583.506583145492</v>
      </c>
      <c r="BK68" s="19">
        <f>IF('M3 Allocations - TD'!BI55="","",'M3 Allocations - TD'!BI73)</f>
        <v>30733.762218733362</v>
      </c>
      <c r="BL68" s="19">
        <f>IF('M3 Allocations - TD'!BJ55="","",'M3 Allocations - TD'!BJ73)</f>
        <v>26744.720437547392</v>
      </c>
      <c r="BM68" s="19">
        <f>IF('M3 Allocations - TD'!BK55="","",'M3 Allocations - TD'!BK73)</f>
        <v>19021.059992246788</v>
      </c>
      <c r="BN68" s="19">
        <f>IF('M3 Allocations - TD'!BL55="","",'M3 Allocations - TD'!BL73)</f>
        <v>14202.426517858028</v>
      </c>
      <c r="BO68" s="19">
        <f>IF('M3 Allocations - TD'!BM55="","",'M3 Allocations - TD'!BM73)</f>
        <v>13786.223846277728</v>
      </c>
      <c r="BP68" s="19">
        <f>IF('M3 Allocations - TD'!BN55="","",'M3 Allocations - TD'!BN73)</f>
        <v>16844.22889870466</v>
      </c>
      <c r="BQ68" s="19">
        <f>IF('M3 Allocations - TD'!BO55="","",'M3 Allocations - TD'!BO73)</f>
        <v>17079.191078118842</v>
      </c>
      <c r="BR68" s="19">
        <f>IF('M3 Allocations - TD'!BP55="","",'M3 Allocations - TD'!BP73)</f>
        <v>19670.958513884038</v>
      </c>
      <c r="BS68" s="19">
        <f>IF('M3 Allocations - TD'!BQ55="","",'M3 Allocations - TD'!BQ73)</f>
        <v>19390.309859036686</v>
      </c>
      <c r="BT68" s="19">
        <f>IF('M3 Allocations - TD'!BR55="","",'M3 Allocations - TD'!BR73)</f>
        <v>16952.878205571345</v>
      </c>
      <c r="BU68" s="19">
        <f>IF('M3 Allocations - TD'!BS55="","",'M3 Allocations - TD'!BS73)</f>
        <v>16965.176121407778</v>
      </c>
      <c r="BV68" s="19">
        <f>IF('M3 Allocations - TD'!BT55="","",'M3 Allocations - TD'!BT73)</f>
        <v>16298.471649682147</v>
      </c>
      <c r="BW68" s="19">
        <f>IF('M3 Allocations - TD'!BU55="","",'M3 Allocations - TD'!BU73)</f>
        <v>13452.500847568028</v>
      </c>
      <c r="BX68" s="19">
        <f>IF('M3 Allocations - TD'!BV55="","",'M3 Allocations - TD'!BV73)</f>
        <v>16637.317175086515</v>
      </c>
      <c r="BY68" s="19">
        <f>IF('M3 Allocations - TD'!BW55="","",'M3 Allocations - TD'!BW73)</f>
        <v>14505.871552421653</v>
      </c>
      <c r="BZ68" s="19">
        <f>IF('M3 Allocations - TD'!BX55="","",'M3 Allocations - TD'!BX73)</f>
        <v>12806.207657792118</v>
      </c>
      <c r="CA68" s="19">
        <f>IF('M3 Allocations - TD'!BY55="","",'M3 Allocations - TD'!BY73)</f>
        <v>14529.049574723682</v>
      </c>
      <c r="CB68" s="19">
        <f>IF('M3 Allocations - TD'!BZ55="","",'M3 Allocations - TD'!BZ73)</f>
        <v>13932.998891217698</v>
      </c>
      <c r="CC68" s="19">
        <f>IF('M3 Allocations - TD'!CA55="","",'M3 Allocations - TD'!CA73)</f>
        <v>17325.977652356847</v>
      </c>
      <c r="CD68" s="19">
        <f>IF('M3 Allocations - TD'!CB55="","",'M3 Allocations - TD'!CB73)</f>
        <v>20507.168829300546</v>
      </c>
      <c r="CE68" s="19">
        <f>IF('M3 Allocations - TD'!CC55="","",'M3 Allocations - TD'!CC73)</f>
        <v>19769.245690004409</v>
      </c>
      <c r="CF68" s="19">
        <f>IF('M3 Allocations - TD'!CD55="","",'M3 Allocations - TD'!CD73)</f>
        <v>18455.323666292352</v>
      </c>
      <c r="CG68" s="19">
        <f>IF('M3 Allocations - TD'!CE55="","",'M3 Allocations - TD'!CE73)</f>
        <v>18125.284965275383</v>
      </c>
      <c r="CH68" s="19">
        <f>IF('M3 Allocations - TD'!CF55="","",'M3 Allocations - TD'!CF73)</f>
        <v>14718.135288542564</v>
      </c>
      <c r="CI68" s="19">
        <f>IF('M3 Allocations - TD'!CG55="","",'M3 Allocations - TD'!CG73)</f>
        <v>14260.036064412152</v>
      </c>
      <c r="CJ68" s="19">
        <f>IF('M3 Allocations - TD'!CH55="","",'M3 Allocations - TD'!CH73)</f>
        <v>13850.821694871418</v>
      </c>
    </row>
    <row r="69" spans="1:88" s="4" customFormat="1" ht="15" hidden="1" customHeight="1" outlineLevel="1" x14ac:dyDescent="0.25">
      <c r="A69" s="276"/>
      <c r="B69" s="15" t="s">
        <v>45</v>
      </c>
      <c r="C69" s="81"/>
      <c r="D69" s="81"/>
      <c r="E69" s="81"/>
      <c r="F69" s="19">
        <f>IF(F68="","",0)</f>
        <v>0</v>
      </c>
      <c r="G69" s="19">
        <f t="shared" ref="G69" si="800">IF(G68="","",0)</f>
        <v>0</v>
      </c>
      <c r="H69" s="19">
        <f t="shared" ref="H69" si="801">IF(H68="","",0)</f>
        <v>0</v>
      </c>
      <c r="I69" s="19">
        <f t="shared" ref="I69" si="802">IF(I68="","",0)</f>
        <v>0</v>
      </c>
      <c r="J69" s="19">
        <f t="shared" ref="J69" si="803">IF(J68="","",0)</f>
        <v>0</v>
      </c>
      <c r="K69" s="19">
        <f t="shared" ref="K69" si="804">IF(K68="","",0)</f>
        <v>0</v>
      </c>
      <c r="L69" s="19">
        <f t="shared" ref="L69" si="805">IF(L68="","",0)</f>
        <v>0</v>
      </c>
      <c r="M69" s="19">
        <f t="shared" ref="M69" si="806">IF(M68="","",0)</f>
        <v>0</v>
      </c>
      <c r="N69" s="19">
        <f t="shared" ref="N69" si="807">IF(N68="","",0)</f>
        <v>0</v>
      </c>
      <c r="O69" s="19">
        <f t="shared" ref="O69" si="808">IF(O68="","",0)</f>
        <v>0</v>
      </c>
      <c r="P69" s="19">
        <f t="shared" ref="P69" si="809">IF(P68="","",0)</f>
        <v>0</v>
      </c>
      <c r="Q69" s="19">
        <f>IF(Q68="","",-'M3 TD amort'!C36)</f>
        <v>1504.68</v>
      </c>
      <c r="R69" s="19">
        <f>IF(R68="","",-'M3 TD amort'!D36)</f>
        <v>2591.88</v>
      </c>
      <c r="S69" s="19">
        <f>IF(S68="","",-'M3 TD amort'!E36)</f>
        <v>2838.35</v>
      </c>
      <c r="T69" s="19">
        <f>IF(T68="","",-'M3 TD amort'!F36)</f>
        <v>2881.77</v>
      </c>
      <c r="U69" s="19">
        <f>IF(U68="","",-'M3 TD amort'!G36)</f>
        <v>2250.5100000000002</v>
      </c>
      <c r="V69" s="19">
        <f>IF(V68="","",-'M3 TD amort'!H36)</f>
        <v>3239.4</v>
      </c>
      <c r="W69" s="19">
        <f>IF(W68="","",-'M3 TD amort'!I36)</f>
        <v>3336.64</v>
      </c>
      <c r="X69" s="19">
        <f>IF(X68="","",-'M3 TD amort'!J36)</f>
        <v>3384.12</v>
      </c>
      <c r="Y69" s="19">
        <f>IF(Y68="","",-'M3 TD amort'!K36)</f>
        <v>2980.87</v>
      </c>
      <c r="Z69" s="19">
        <f>IF(Z68="","",-'M3 TD amort'!L36)</f>
        <v>2923.68</v>
      </c>
      <c r="AA69" s="19">
        <f>IF(AA68="","",-'M3 TD amort'!M36)</f>
        <v>2985.57</v>
      </c>
      <c r="AB69" s="19">
        <f>IF(AB68="","",-'M3 TD amort'!N36)</f>
        <v>2730.44</v>
      </c>
      <c r="AC69" s="19">
        <f>IF(AC68="","",-'M3 TD amort'!O36)</f>
        <v>3897.15</v>
      </c>
      <c r="AD69" s="19">
        <f>IF(AD68="","",-'M3 TD amort'!P36)</f>
        <v>2784.02</v>
      </c>
      <c r="AE69" s="19">
        <f>IF(AE68="","",-'M3 TD amort'!Q36)</f>
        <v>4719.3</v>
      </c>
      <c r="AF69" s="19">
        <f>IF(AF68="","",-'M3 TD amort'!R36)</f>
        <v>4794.6000000000004</v>
      </c>
      <c r="AG69" s="19">
        <f>IF(AG68="","",-'M3 TD amort'!S36)</f>
        <v>4627.3500000000004</v>
      </c>
      <c r="AH69" s="19">
        <f>IF(AH68="","",-'M3 TD amort'!T36)</f>
        <v>5905.37</v>
      </c>
      <c r="AI69" s="19">
        <f>IF(AI68="","",-'M3 TD amort'!U36)</f>
        <v>5621.67</v>
      </c>
      <c r="AJ69" s="19">
        <f>IF(AJ68="","",-'M3 TD amort'!V36)</f>
        <v>6078.73</v>
      </c>
      <c r="AK69" s="19">
        <f>IF(AK68="","",-'M3 TD amort'!W36)</f>
        <v>5571.58</v>
      </c>
      <c r="AL69" s="19">
        <f>IF(AL68="","",-'M3 TD amort'!X36)</f>
        <v>3698.89</v>
      </c>
      <c r="AM69" s="19">
        <f>IF(AM68="","",-'M3 TD amort'!Y36)</f>
        <v>5186.1400000000003</v>
      </c>
      <c r="AN69" s="19">
        <f>IF(AN68="","",-'M3 TD amort'!Z36)</f>
        <v>4832.3100000000004</v>
      </c>
      <c r="AO69" s="19">
        <f>IF(AO68="","",-'M3 TD amort'!AA36)</f>
        <v>75442.73</v>
      </c>
      <c r="AP69" s="19">
        <f>IF(AP68="","",-'M3 TD amort'!AB36)</f>
        <v>13631.28</v>
      </c>
      <c r="AQ69" s="19">
        <f>IF(AQ68="","",-'M3 TD amort'!AC36)</f>
        <v>-48097.27</v>
      </c>
      <c r="AR69" s="19">
        <f>IF(AR68="","",-'M3 TD amort'!AD36)</f>
        <v>10628.22</v>
      </c>
      <c r="AS69" s="19">
        <f>IF(AS68="","",-'M3 TD amort'!AE36)</f>
        <v>12955.95</v>
      </c>
      <c r="AT69" s="19">
        <f>IF(AT68="","",-'M3 TD amort'!AF36)</f>
        <v>14863.58</v>
      </c>
      <c r="AU69" s="19">
        <f>IF(AU68="","",-'M3 TD amort'!AG36)</f>
        <v>14696.75</v>
      </c>
      <c r="AV69" s="19">
        <f>IF(AV68="","",-'M3 TD amort'!AH36)</f>
        <v>15321.62</v>
      </c>
      <c r="AW69" s="19">
        <f>IF(AW68="","",-'M3 TD amort'!AI36)</f>
        <v>13162.71</v>
      </c>
      <c r="AX69" s="19">
        <f>IF(AX68="","",-'M3 TD amort'!AJ36)</f>
        <v>13147.52</v>
      </c>
      <c r="AY69" s="19">
        <f>IF(AY68="","",-'M3 TD amort'!AK36)</f>
        <v>12907.03</v>
      </c>
      <c r="AZ69" s="19">
        <f>IF(AZ68="","",-'M3 TD amort'!AL36)</f>
        <v>10895.84</v>
      </c>
      <c r="BA69" s="19">
        <f>IF(BA68="","",-'M3 TD amort'!AM36)</f>
        <v>1066.49</v>
      </c>
      <c r="BB69" s="19">
        <f>IF(BB68="","",-'M3 TD amort'!AN36)</f>
        <v>3016.99</v>
      </c>
      <c r="BC69" s="19">
        <f>IF(BC68="","",-'M3 TD amort'!AO36)</f>
        <v>3035.29</v>
      </c>
      <c r="BD69" s="19">
        <f>IF(BD68="","",-'M3 TD amort'!AP36)</f>
        <v>3174.93</v>
      </c>
      <c r="BE69" s="19">
        <f>IF(BE68="","",-'M3 TD amort'!AQ36)</f>
        <v>3818.81</v>
      </c>
      <c r="BF69" s="19">
        <f>IF(BF68="","",-'M3 TD amort'!AR36)</f>
        <v>3576.74</v>
      </c>
      <c r="BG69" s="19">
        <f>IF(BG68="","",-'M3 TD amort'!AS36)</f>
        <v>4100.8</v>
      </c>
      <c r="BH69" s="19">
        <f>IF(BH68="","",-'M3 TD amort'!AT36)</f>
        <v>4472.42</v>
      </c>
      <c r="BI69" s="19">
        <f>IF(BI68="","",-'M3 TD amort'!AU36)</f>
        <v>4510.16</v>
      </c>
      <c r="BJ69" s="19">
        <f>IF(BJ68="","",-'M3 TD amort'!AV36)</f>
        <v>4020.98</v>
      </c>
      <c r="BK69" s="19">
        <f>IF(BK68="","",-'M3 TD amort'!AW36)</f>
        <v>4527.2</v>
      </c>
      <c r="BL69" s="19">
        <f>IF(BL68="","",-'M3 TD amort'!AX36)</f>
        <v>3966.86</v>
      </c>
      <c r="BM69" s="19">
        <f>IF(BM68="","",-'M3 TD amort'!AY36)</f>
        <v>7292.82</v>
      </c>
      <c r="BN69" s="19">
        <f>IF(BN68="","",-'M3 TD amort'!AZ36)</f>
        <v>5229.72</v>
      </c>
      <c r="BO69" s="19">
        <f>IF(BO68="","",-'M3 TD amort'!BA36)</f>
        <v>5061.08</v>
      </c>
      <c r="BP69" s="19">
        <f>IF(BP68="","",-'M3 TD amort'!BB36)</f>
        <v>6157.98</v>
      </c>
      <c r="BQ69" s="19">
        <f>IF(BQ68="","",-'M3 TD amort'!BC36)</f>
        <v>6243.89</v>
      </c>
      <c r="BR69" s="19">
        <f>IF(BR68="","",-'M3 TD amort'!BD36)</f>
        <v>7206.04</v>
      </c>
      <c r="BS69" s="19">
        <f>IF(BS68="","",-'M3 TD amort'!BE36)</f>
        <v>7100.45</v>
      </c>
      <c r="BT69" s="19">
        <f>IF(BT68="","",-'M3 TD amort'!BF36)</f>
        <v>6203.73</v>
      </c>
      <c r="BU69" s="19">
        <f>IF(BU68="","",-'M3 TD amort'!BG36)</f>
        <v>6196.47</v>
      </c>
      <c r="BV69" s="19">
        <f>IF(BV68="","",-'M3 TD amort'!BH36)</f>
        <v>5953.32</v>
      </c>
      <c r="BW69" s="19">
        <f>IF(BW68="","",-'M3 TD amort'!BI36)</f>
        <v>4944.1499999999996</v>
      </c>
      <c r="BX69" s="19">
        <f>IF(BX68="","",-'M3 TD amort'!BJ36)</f>
        <v>6134.65</v>
      </c>
      <c r="BY69" s="19">
        <f>IF(BY68="","",-'M3 TD amort'!$BL$36)</f>
        <v>-8110.1290487307169</v>
      </c>
      <c r="BZ69" s="19">
        <f>IF(BZ68="","",-'M3 TD amort'!$BL$36)</f>
        <v>-8110.1290487307169</v>
      </c>
      <c r="CA69" s="19">
        <f>IF(CA68="","",-'M3 TD amort'!$BL$36)</f>
        <v>-8110.1290487307169</v>
      </c>
      <c r="CB69" s="19">
        <f>IF(CB68="","",-'M3 TD amort'!$BL$36)</f>
        <v>-8110.1290487307169</v>
      </c>
      <c r="CC69" s="19">
        <f>IF(CC68="","",-'M3 TD amort'!$BL$36)</f>
        <v>-8110.1290487307169</v>
      </c>
      <c r="CD69" s="19">
        <f>IF(CD68="","",-'M3 TD amort'!$BL$36)</f>
        <v>-8110.1290487307169</v>
      </c>
      <c r="CE69" s="19">
        <f>IF(CE68="","",-'M3 TD amort'!$BL$36)</f>
        <v>-8110.1290487307169</v>
      </c>
      <c r="CF69" s="19">
        <f>IF(CF68="","",-'M3 TD amort'!$BL$36)</f>
        <v>-8110.1290487307169</v>
      </c>
      <c r="CG69" s="19">
        <f>IF(CG68="","",-'M3 TD amort'!$BL$36)</f>
        <v>-8110.1290487307169</v>
      </c>
      <c r="CH69" s="19">
        <f>IF(CH68="","",-'M3 TD amort'!$BL$36)</f>
        <v>-8110.1290487307169</v>
      </c>
      <c r="CI69" s="19">
        <f>IF(CI68="","",-'M3 TD amort'!$BL$36)</f>
        <v>-8110.1290487307169</v>
      </c>
      <c r="CJ69" s="19">
        <f>IF(CJ68="","",-'M3 TD amort'!$BL$36)</f>
        <v>-8110.1290487307169</v>
      </c>
    </row>
    <row r="70" spans="1:88" s="4" customFormat="1" ht="15" hidden="1" customHeight="1" outlineLevel="1" x14ac:dyDescent="0.25">
      <c r="A70" s="276"/>
      <c r="B70" s="15" t="s">
        <v>46</v>
      </c>
      <c r="C70" s="81"/>
      <c r="D70" s="81"/>
      <c r="E70" s="81"/>
      <c r="F70" s="7">
        <f t="shared" ref="F70:M70" si="810">IF(OR(F69="",F68=""),"",F68+F69)</f>
        <v>0</v>
      </c>
      <c r="G70" s="7">
        <f t="shared" si="810"/>
        <v>0</v>
      </c>
      <c r="H70" s="7">
        <f t="shared" si="810"/>
        <v>-48.583419353926594</v>
      </c>
      <c r="I70" s="7">
        <f t="shared" si="810"/>
        <v>4125.9071778961579</v>
      </c>
      <c r="J70" s="7">
        <f t="shared" si="810"/>
        <v>6806.3797850987785</v>
      </c>
      <c r="K70" s="7">
        <f t="shared" si="810"/>
        <v>7524.9044581782691</v>
      </c>
      <c r="L70" s="7">
        <f t="shared" si="810"/>
        <v>7658.4495072300715</v>
      </c>
      <c r="M70" s="7">
        <f t="shared" si="810"/>
        <v>7241.6490844376849</v>
      </c>
      <c r="N70" s="7">
        <f>IF(OR(N69="",N68=""),"",N68+N69)</f>
        <v>6323.5939077382554</v>
      </c>
      <c r="O70" s="7">
        <f t="shared" ref="O70:Z70" si="811">IF(OR(O69="",O68=""),"",O68+O69)</f>
        <v>5864.7707264215042</v>
      </c>
      <c r="P70" s="7">
        <f t="shared" si="811"/>
        <v>6186.9939477675571</v>
      </c>
      <c r="Q70" s="7">
        <f t="shared" si="811"/>
        <v>12297.446596240668</v>
      </c>
      <c r="R70" s="7">
        <f t="shared" si="811"/>
        <v>21904.264019602091</v>
      </c>
      <c r="S70" s="7">
        <f t="shared" si="811"/>
        <v>24092.662979356708</v>
      </c>
      <c r="T70" s="7">
        <f t="shared" si="811"/>
        <v>24519.433415217027</v>
      </c>
      <c r="U70" s="7">
        <f t="shared" si="811"/>
        <v>19085.043975023269</v>
      </c>
      <c r="V70" s="7">
        <f t="shared" si="811"/>
        <v>27594.938593432569</v>
      </c>
      <c r="W70" s="7">
        <f t="shared" si="811"/>
        <v>28450.296296491379</v>
      </c>
      <c r="X70" s="7">
        <f t="shared" si="811"/>
        <v>28891.913919774441</v>
      </c>
      <c r="Y70" s="7">
        <f t="shared" si="811"/>
        <v>25444.446853042846</v>
      </c>
      <c r="Z70" s="7">
        <f t="shared" si="811"/>
        <v>24884.138267222854</v>
      </c>
      <c r="AA70" s="7">
        <f>IF(OR(AA69="",AA68=""),"",AA68+AA69)</f>
        <v>25324.410952659717</v>
      </c>
      <c r="AB70" s="7">
        <f t="shared" ref="AB70:AE70" si="812">IF(OR(AB69="",AB68=""),"",AB68+AB69)</f>
        <v>23113.420401475454</v>
      </c>
      <c r="AC70" s="7">
        <f t="shared" si="812"/>
        <v>36851.054164207009</v>
      </c>
      <c r="AD70" s="7">
        <f t="shared" si="812"/>
        <v>26284.267497740351</v>
      </c>
      <c r="AE70" s="7">
        <f t="shared" si="812"/>
        <v>45012.909086971144</v>
      </c>
      <c r="AF70" s="7">
        <f t="shared" ref="AF70:AW70" si="813">IF(OR(AF69="",AF68=""),"",AF68+AF69)</f>
        <v>45795.13478995215</v>
      </c>
      <c r="AG70" s="7">
        <f t="shared" si="813"/>
        <v>44292.650517775313</v>
      </c>
      <c r="AH70" s="7">
        <f t="shared" si="813"/>
        <v>56497.542457307754</v>
      </c>
      <c r="AI70" s="7">
        <f t="shared" si="813"/>
        <v>53733.558839753801</v>
      </c>
      <c r="AJ70" s="7">
        <f t="shared" si="813"/>
        <v>58124.803170238738</v>
      </c>
      <c r="AK70" s="7">
        <f t="shared" si="813"/>
        <v>53488.704744080227</v>
      </c>
      <c r="AL70" s="7">
        <f t="shared" si="813"/>
        <v>35241.277518483061</v>
      </c>
      <c r="AM70" s="7">
        <f t="shared" si="813"/>
        <v>48743.29494980305</v>
      </c>
      <c r="AN70" s="7">
        <f t="shared" si="813"/>
        <v>45788.505027623745</v>
      </c>
      <c r="AO70" s="7">
        <f t="shared" si="813"/>
        <v>109523.88044244345</v>
      </c>
      <c r="AP70" s="7">
        <f t="shared" si="813"/>
        <v>19200.760555921421</v>
      </c>
      <c r="AQ70" s="7">
        <f t="shared" si="813"/>
        <v>-71898.400148762259</v>
      </c>
      <c r="AR70" s="7">
        <f t="shared" si="813"/>
        <v>15053.222002390306</v>
      </c>
      <c r="AS70" s="7">
        <f t="shared" si="813"/>
        <v>18383.307398301295</v>
      </c>
      <c r="AT70" s="7">
        <f t="shared" si="813"/>
        <v>21013.17541033704</v>
      </c>
      <c r="AU70" s="7">
        <f t="shared" si="813"/>
        <v>20760.444935624073</v>
      </c>
      <c r="AV70" s="7">
        <f t="shared" si="813"/>
        <v>21662.529991832016</v>
      </c>
      <c r="AW70" s="7">
        <f t="shared" si="813"/>
        <v>18615.290409246129</v>
      </c>
      <c r="AX70" s="7">
        <f t="shared" ref="AX70:AY70" si="814">IF(OR(AX69="",AX68=""),"",AX68+AX69)</f>
        <v>18522.51634373016</v>
      </c>
      <c r="AY70" s="7">
        <f t="shared" si="814"/>
        <v>17875.701397531</v>
      </c>
      <c r="AZ70" s="7">
        <f t="shared" ref="AZ70:BA70" si="815">IF(OR(AZ69="",AZ68=""),"",AZ68+AZ69)</f>
        <v>15022.490159605088</v>
      </c>
      <c r="BA70" s="7">
        <f t="shared" si="815"/>
        <v>7542.1338068202076</v>
      </c>
      <c r="BB70" s="7">
        <f t="shared" ref="BB70:BC70" si="816">IF(OR(BB69="",BB68=""),"",BB68+BB69)</f>
        <v>23531.011968021041</v>
      </c>
      <c r="BC70" s="7">
        <f t="shared" si="816"/>
        <v>23763.36027180219</v>
      </c>
      <c r="BD70" s="7">
        <f t="shared" ref="BD70:BE70" si="817">IF(OR(BD69="",BD68=""),"",BD68+BD69)</f>
        <v>25035.318330864007</v>
      </c>
      <c r="BE70" s="7">
        <f t="shared" si="817"/>
        <v>30131.54144798957</v>
      </c>
      <c r="BF70" s="7">
        <f t="shared" ref="BF70:BG70" si="818">IF(OR(BF69="",BF68=""),"",BF68+BF69)</f>
        <v>28120.909977148338</v>
      </c>
      <c r="BG70" s="7">
        <f t="shared" si="818"/>
        <v>32220.14747776751</v>
      </c>
      <c r="BH70" s="7">
        <f t="shared" ref="BH70:BI70" si="819">IF(OR(BH69="",BH68=""),"",BH68+BH69)</f>
        <v>35178.971919214702</v>
      </c>
      <c r="BI70" s="7">
        <f t="shared" si="819"/>
        <v>35511.229342748062</v>
      </c>
      <c r="BJ70" s="7">
        <f t="shared" ref="BJ70:BK70" si="820">IF(OR(BJ69="",BJ68=""),"",BJ68+BJ69)</f>
        <v>31604.486583145492</v>
      </c>
      <c r="BK70" s="7">
        <f t="shared" si="820"/>
        <v>35260.962218733359</v>
      </c>
      <c r="BL70" s="7">
        <f t="shared" ref="BL70:BM70" si="821">IF(OR(BL69="",BL68=""),"",BL68+BL69)</f>
        <v>30711.580437547393</v>
      </c>
      <c r="BM70" s="7">
        <f t="shared" si="821"/>
        <v>26313.879992246788</v>
      </c>
      <c r="BN70" s="7">
        <f t="shared" ref="BN70:BO70" si="822">IF(OR(BN69="",BN68=""),"",BN68+BN69)</f>
        <v>19432.146517858029</v>
      </c>
      <c r="BO70" s="7">
        <f t="shared" si="822"/>
        <v>18847.303846277726</v>
      </c>
      <c r="BP70" s="7">
        <f t="shared" ref="BP70:BQ70" si="823">IF(OR(BP69="",BP68=""),"",BP68+BP69)</f>
        <v>23002.208898704659</v>
      </c>
      <c r="BQ70" s="7">
        <f t="shared" si="823"/>
        <v>23323.081078118841</v>
      </c>
      <c r="BR70" s="7">
        <f t="shared" ref="BR70:BS70" si="824">IF(OR(BR69="",BR68=""),"",BR68+BR69)</f>
        <v>26876.998513884038</v>
      </c>
      <c r="BS70" s="7">
        <f t="shared" si="824"/>
        <v>26490.759859036687</v>
      </c>
      <c r="BT70" s="7">
        <f t="shared" ref="BT70:BU70" si="825">IF(OR(BT69="",BT68=""),"",BT68+BT69)</f>
        <v>23156.608205571345</v>
      </c>
      <c r="BU70" s="7">
        <f t="shared" si="825"/>
        <v>23161.646121407779</v>
      </c>
      <c r="BV70" s="7">
        <f t="shared" ref="BV70:BW70" si="826">IF(OR(BV69="",BV68=""),"",BV68+BV69)</f>
        <v>22251.791649682149</v>
      </c>
      <c r="BW70" s="7">
        <f t="shared" si="826"/>
        <v>18396.650847568028</v>
      </c>
      <c r="BX70" s="7">
        <f t="shared" ref="BX70:BY70" si="827">IF(OR(BX69="",BX68=""),"",BX68+BX69)</f>
        <v>22771.967175086516</v>
      </c>
      <c r="BY70" s="7">
        <f t="shared" si="827"/>
        <v>6395.7425036909362</v>
      </c>
      <c r="BZ70" s="7">
        <f t="shared" ref="BZ70:CA70" si="828">IF(OR(BZ69="",BZ68=""),"",BZ68+BZ69)</f>
        <v>4696.078609061401</v>
      </c>
      <c r="CA70" s="7">
        <f t="shared" si="828"/>
        <v>6418.9205259929649</v>
      </c>
      <c r="CB70" s="7">
        <f t="shared" ref="CB70:CC70" si="829">IF(OR(CB69="",CB68=""),"",CB68+CB69)</f>
        <v>5822.8698424869808</v>
      </c>
      <c r="CC70" s="7">
        <f t="shared" si="829"/>
        <v>9215.8486036261311</v>
      </c>
      <c r="CD70" s="7">
        <f t="shared" ref="CD70:CE70" si="830">IF(OR(CD69="",CD68=""),"",CD68+CD69)</f>
        <v>12397.03978056983</v>
      </c>
      <c r="CE70" s="7">
        <f t="shared" si="830"/>
        <v>11659.116641273693</v>
      </c>
      <c r="CF70" s="7">
        <f t="shared" ref="CF70:CG70" si="831">IF(OR(CF69="",CF68=""),"",CF68+CF69)</f>
        <v>10345.194617561636</v>
      </c>
      <c r="CG70" s="7">
        <f t="shared" si="831"/>
        <v>10015.155916544667</v>
      </c>
      <c r="CH70" s="7">
        <f t="shared" ref="CH70:CI70" si="832">IF(OR(CH69="",CH68=""),"",CH68+CH69)</f>
        <v>6608.0062398118471</v>
      </c>
      <c r="CI70" s="7">
        <f t="shared" si="832"/>
        <v>6149.907015681435</v>
      </c>
      <c r="CJ70" s="7">
        <f t="shared" ref="CJ70" si="833">IF(OR(CJ69="",CJ68=""),"",CJ68+CJ69)</f>
        <v>5740.6926461407011</v>
      </c>
    </row>
    <row r="71" spans="1:88" s="4" customFormat="1" hidden="1" outlineLevel="1" x14ac:dyDescent="0.25">
      <c r="A71" s="276"/>
      <c r="B71" s="15" t="s">
        <v>12</v>
      </c>
      <c r="C71" s="81"/>
      <c r="D71" s="81"/>
      <c r="E71" s="81"/>
      <c r="F71" s="7">
        <f t="shared" ref="F71:L71" si="834">IF(OR(F68="",F67=""),"",F67-F68)</f>
        <v>0</v>
      </c>
      <c r="G71" s="7">
        <f t="shared" si="834"/>
        <v>0</v>
      </c>
      <c r="H71" s="7">
        <f t="shared" si="834"/>
        <v>206.95969459981058</v>
      </c>
      <c r="I71" s="7">
        <f t="shared" si="834"/>
        <v>-3528.7340731331474</v>
      </c>
      <c r="J71" s="7">
        <f t="shared" si="834"/>
        <v>-6806.3797850987785</v>
      </c>
      <c r="K71" s="7">
        <f t="shared" si="834"/>
        <v>-7300.5960205780684</v>
      </c>
      <c r="L71" s="7">
        <f t="shared" si="834"/>
        <v>-7080.3370793455424</v>
      </c>
      <c r="M71" s="7">
        <f>IF(OR(M68="",M67=""),"",M67-M68)</f>
        <v>-6687.927317849204</v>
      </c>
      <c r="N71" s="7">
        <f>IF(OR(N70="",N67=""),"",N67-N70)</f>
        <v>-1825.1377979269255</v>
      </c>
      <c r="O71" s="7">
        <f t="shared" ref="O71:AE71" si="835">IF(OR(O70="",O67=""),"",O67-O70)</f>
        <v>-3396.1962381337257</v>
      </c>
      <c r="P71" s="7">
        <f t="shared" si="835"/>
        <v>295.33845004445902</v>
      </c>
      <c r="Q71" s="7">
        <f t="shared" si="835"/>
        <v>-7583.0245926856451</v>
      </c>
      <c r="R71" s="7">
        <f t="shared" si="835"/>
        <v>-16971.040711894311</v>
      </c>
      <c r="S71" s="7">
        <f t="shared" si="835"/>
        <v>-19752.112044639314</v>
      </c>
      <c r="T71" s="7">
        <f t="shared" si="835"/>
        <v>-12719.486928390143</v>
      </c>
      <c r="U71" s="7">
        <f t="shared" si="835"/>
        <v>19172.899277318444</v>
      </c>
      <c r="V71" s="7">
        <f t="shared" si="835"/>
        <v>13095.653413476924</v>
      </c>
      <c r="W71" s="7">
        <f t="shared" si="835"/>
        <v>13435.289407484266</v>
      </c>
      <c r="X71" s="7">
        <f t="shared" si="835"/>
        <v>-2111.1522844831561</v>
      </c>
      <c r="Y71" s="7">
        <f>IF(OR(Y70="",Y67=""),"",Y67-Y70)</f>
        <v>-14847.184202668672</v>
      </c>
      <c r="Z71" s="7">
        <f t="shared" si="835"/>
        <v>-14340.810969499938</v>
      </c>
      <c r="AA71" s="7">
        <f t="shared" si="835"/>
        <v>-12853.165395394753</v>
      </c>
      <c r="AB71" s="7">
        <f t="shared" si="835"/>
        <v>-10152.463913657313</v>
      </c>
      <c r="AC71" s="7">
        <f t="shared" si="835"/>
        <v>-25671.045600950827</v>
      </c>
      <c r="AD71" s="7">
        <f t="shared" si="835"/>
        <v>-15560.543247539965</v>
      </c>
      <c r="AE71" s="7">
        <f t="shared" si="835"/>
        <v>-32826.324288206539</v>
      </c>
      <c r="AF71" s="7">
        <f t="shared" ref="AF71:AV71" si="836">IF(OR(AF70="",AF67=""),"",AF67-AF70)</f>
        <v>-24513.98031437075</v>
      </c>
      <c r="AG71" s="7">
        <f t="shared" si="836"/>
        <v>22319.5576163652</v>
      </c>
      <c r="AH71" s="7">
        <f t="shared" si="836"/>
        <v>16910.644843513051</v>
      </c>
      <c r="AI71" s="7">
        <f t="shared" si="836"/>
        <v>19448.436516194408</v>
      </c>
      <c r="AJ71" s="7">
        <f t="shared" si="836"/>
        <v>-13442.557416235584</v>
      </c>
      <c r="AK71" s="7">
        <f t="shared" si="836"/>
        <v>-34040.802598257753</v>
      </c>
      <c r="AL71" s="7">
        <f t="shared" si="836"/>
        <v>-19115.536054840188</v>
      </c>
      <c r="AM71" s="7">
        <f t="shared" si="836"/>
        <v>-29679.93398037623</v>
      </c>
      <c r="AN71" s="7">
        <f t="shared" si="836"/>
        <v>-26963.097302028938</v>
      </c>
      <c r="AO71" s="7">
        <f t="shared" si="836"/>
        <v>-94481.600095560469</v>
      </c>
      <c r="AP71" s="7">
        <f t="shared" si="836"/>
        <v>-13828.211367771266</v>
      </c>
      <c r="AQ71" s="7">
        <f t="shared" si="836"/>
        <v>77659.575469534422</v>
      </c>
      <c r="AR71" s="7">
        <f t="shared" si="836"/>
        <v>-7352.0554636912066</v>
      </c>
      <c r="AS71" s="7">
        <f t="shared" si="836"/>
        <v>2433.3885178160272</v>
      </c>
      <c r="AT71" s="7">
        <f t="shared" si="836"/>
        <v>8308.2755623246012</v>
      </c>
      <c r="AU71" s="7">
        <f t="shared" si="836"/>
        <v>8296.5970852261235</v>
      </c>
      <c r="AV71" s="7">
        <f t="shared" si="836"/>
        <v>976.5893087457589</v>
      </c>
      <c r="AW71" s="108">
        <f>IF(OR(AW70="",AW67=""),"",AW67-AW70)+AW66</f>
        <v>-120.35076748674328</v>
      </c>
      <c r="AX71" s="7">
        <f t="shared" ref="AX71:AY71" si="837">IF(OR(AX70="",AX67=""),"",AX67-AX70)</f>
        <v>-10119.576771598367</v>
      </c>
      <c r="AY71" s="7">
        <f t="shared" si="837"/>
        <v>-7727.8348874822113</v>
      </c>
      <c r="AZ71" s="7">
        <f t="shared" ref="AZ71:BA71" si="838">IF(OR(AZ70="",AZ67=""),"",AZ67-AZ70)</f>
        <v>-4837.5371657687665</v>
      </c>
      <c r="BA71" s="7">
        <f t="shared" si="838"/>
        <v>1529.9229825071852</v>
      </c>
      <c r="BB71" s="7">
        <f t="shared" ref="BB71:BC71" si="839">IF(OR(BB70="",BB67=""),"",BB67-BB70)</f>
        <v>-13576.358815323652</v>
      </c>
      <c r="BC71" s="7">
        <f t="shared" si="839"/>
        <v>-12790.271439470518</v>
      </c>
      <c r="BD71" s="7">
        <f t="shared" ref="BD71:BE71" si="840">IF(OR(BD70="",BD67=""),"",BD67-BD70)</f>
        <v>-4518.3967565583807</v>
      </c>
      <c r="BE71" s="7">
        <f t="shared" si="840"/>
        <v>50041.829050135551</v>
      </c>
      <c r="BF71" s="7">
        <f t="shared" ref="BF71:BG71" si="841">IF(OR(BF70="",BF67=""),"",BF67-BF70)</f>
        <v>12945.263980640091</v>
      </c>
      <c r="BG71" s="7">
        <f t="shared" si="841"/>
        <v>11244.717901399505</v>
      </c>
      <c r="BH71" s="7">
        <f t="shared" ref="BH71:BI71" si="842">IF(OR(BH70="",BH67=""),"",BH67-BH70)</f>
        <v>-10606.36236543503</v>
      </c>
      <c r="BI71" s="7">
        <f t="shared" si="842"/>
        <v>-29113.413500222094</v>
      </c>
      <c r="BJ71" s="7">
        <f t="shared" ref="BJ71:BK71" si="843">IF(OR(BJ70="",BJ67=""),"",BJ67-BJ70)</f>
        <v>-25864.035191154882</v>
      </c>
      <c r="BK71" s="7">
        <f t="shared" si="843"/>
        <v>-28008.101513706664</v>
      </c>
      <c r="BL71" s="7">
        <f t="shared" ref="BL71:BM71" si="844">IF(OR(BL70="",BL67=""),"",BL67-BL70)</f>
        <v>-15102.315903838651</v>
      </c>
      <c r="BM71" s="7">
        <f t="shared" si="844"/>
        <v>-16382.873793441453</v>
      </c>
      <c r="BN71" s="7">
        <f t="shared" ref="BN71:BO71" si="845">IF(OR(BN70="",BN67=""),"",BN67-BN70)</f>
        <v>-8697.6292060513406</v>
      </c>
      <c r="BO71" s="7">
        <f t="shared" si="845"/>
        <v>-6385.5855063109557</v>
      </c>
      <c r="BP71" s="7">
        <f t="shared" ref="BP71:BQ71" si="846">IF(OR(BP70="",BP67=""),"",BP67-BP70)</f>
        <v>-306.96719579184719</v>
      </c>
      <c r="BQ71" s="7">
        <f t="shared" si="846"/>
        <v>42085.426407036393</v>
      </c>
      <c r="BR71" s="7">
        <f t="shared" ref="BR71:BS71" si="847">IF(OR(BR70="",BR67=""),"",BR67-BR70)</f>
        <v>45838.892169700848</v>
      </c>
      <c r="BS71" s="7">
        <f t="shared" si="847"/>
        <v>46483.908135893551</v>
      </c>
      <c r="BT71" s="7">
        <f t="shared" ref="BT71:BU71" si="848">IF(OR(BT70="",BT67=""),"",BT67-BT70)</f>
        <v>25106.774633182042</v>
      </c>
      <c r="BU71" s="7">
        <f t="shared" si="848"/>
        <v>-3105.7870665374394</v>
      </c>
      <c r="BV71" s="7">
        <f t="shared" ref="BV71:BW71" si="849">IF(OR(BV70="",BV67=""),"",BV67-BV70)</f>
        <v>-7148.2948118123477</v>
      </c>
      <c r="BW71" s="7">
        <f t="shared" si="849"/>
        <v>-4986.9416676741239</v>
      </c>
      <c r="BX71" s="7">
        <f t="shared" ref="BX71:BY71" si="850">IF(OR(BX70="",BX67=""),"",BX67-BX70)</f>
        <v>-6718.6301254131977</v>
      </c>
      <c r="BY71" s="7">
        <f t="shared" si="850"/>
        <v>5663.2002296011988</v>
      </c>
      <c r="BZ71" s="7">
        <f t="shared" ref="BZ71:CA71" si="851">IF(OR(BZ70="",BZ67=""),"",BZ67-BZ70)</f>
        <v>8975.8168808998089</v>
      </c>
      <c r="CA71" s="7">
        <f t="shared" si="851"/>
        <v>10868.426833423102</v>
      </c>
      <c r="CB71" s="7">
        <f t="shared" ref="CB71:CC71" si="852">IF(OR(CB70="",CB67=""),"",CB67-CB70)</f>
        <v>22790.759290741666</v>
      </c>
      <c r="CC71" s="7">
        <f t="shared" si="852"/>
        <v>-6161.4333545495456</v>
      </c>
      <c r="CD71" s="7">
        <f t="shared" ref="CD71:CE71" si="853">IF(OR(CD70="",CD67=""),"",CD67-CD70)</f>
        <v>-10992.95927341784</v>
      </c>
      <c r="CE71" s="7">
        <f t="shared" si="853"/>
        <v>-10795.795823971615</v>
      </c>
      <c r="CF71" s="7">
        <f t="shared" ref="CF71:CG71" si="854">IF(OR(CF70="",CF67=""),"",CF67-CF70)</f>
        <v>-8595.6236984957559</v>
      </c>
      <c r="CG71" s="7">
        <f t="shared" si="854"/>
        <v>-8007.1946313659264</v>
      </c>
      <c r="CH71" s="7">
        <f t="shared" ref="CH71:CI71" si="855">IF(OR(CH70="",CH67=""),"",CH67-CH70)</f>
        <v>-4922.146833475821</v>
      </c>
      <c r="CI71" s="7">
        <f t="shared" si="855"/>
        <v>-4324.1612795401252</v>
      </c>
      <c r="CJ71" s="7">
        <f t="shared" ref="CJ71" si="856">IF(OR(CJ70="",CJ67=""),"",CJ67-CJ70)</f>
        <v>-3848.251817737013</v>
      </c>
    </row>
    <row r="72" spans="1:88" s="4" customFormat="1" hidden="1" outlineLevel="1" x14ac:dyDescent="0.25">
      <c r="A72" s="276"/>
      <c r="B72" s="16" t="s">
        <v>7</v>
      </c>
      <c r="C72" s="81"/>
      <c r="D72" s="81"/>
      <c r="E72" s="81"/>
      <c r="F72" s="7">
        <f>IF(OR(F9="",F71=""),"",ROUND((F71+E74)*F9/12,2))</f>
        <v>0</v>
      </c>
      <c r="G72" s="7">
        <f t="shared" ref="G72:L72" si="857">IF(OR(G9="",G71=""),"",ROUND((G71+F74)*G9/12,2))</f>
        <v>0</v>
      </c>
      <c r="H72" s="7">
        <f t="shared" si="857"/>
        <v>0.46</v>
      </c>
      <c r="I72" s="7">
        <f>IF(OR(I9="",I71=""),"",ROUND((I71+H74)*I9/12,2))</f>
        <v>-7.33</v>
      </c>
      <c r="J72" s="7">
        <f t="shared" si="857"/>
        <v>-21.92</v>
      </c>
      <c r="K72" s="7">
        <f t="shared" si="857"/>
        <v>-34.200000000000003</v>
      </c>
      <c r="L72" s="7">
        <f t="shared" si="857"/>
        <v>-45.39</v>
      </c>
      <c r="M72" s="7">
        <f t="shared" ref="M72" si="858">IF(OR(M9="",M71=""),"",ROUND((M71+L74)*M9/12,2))</f>
        <v>-55.15</v>
      </c>
      <c r="N72" s="98">
        <f>IF(OR(N9="",N71=""),"",ROUND((N71+M74)*N9/12,2))+N66</f>
        <v>-34.539999999999992</v>
      </c>
      <c r="O72" s="7">
        <f t="shared" ref="O72" si="859">IF(OR(O9="",O71=""),"",ROUND((O71+N74)*O9/12,2))</f>
        <v>-58.44</v>
      </c>
      <c r="P72" s="7">
        <f t="shared" ref="P72" si="860">IF(OR(P9="",P71=""),"",ROUND((P71+O74)*P9/12,2))</f>
        <v>-57.27</v>
      </c>
      <c r="Q72" s="7">
        <f t="shared" ref="Q72:R72" si="861">IF(OR(Q9="",Q71=""),"",ROUND((Q71+P74)*Q9/12,2))</f>
        <v>-66.16</v>
      </c>
      <c r="R72" s="7">
        <f t="shared" si="861"/>
        <v>-93.73</v>
      </c>
      <c r="S72" s="7">
        <f t="shared" ref="S72" si="862">IF(OR(S9="",S71=""),"",ROUND((S71+R74)*S9/12,2))</f>
        <v>-60.07</v>
      </c>
      <c r="T72" s="7">
        <f t="shared" ref="T72" si="863">IF(OR(T9="",T71=""),"",ROUND((T71+S74)*T9/12,2))</f>
        <v>-9.33</v>
      </c>
      <c r="U72" s="7">
        <f t="shared" ref="U72" si="864">IF(OR(U9="",U71=""),"",ROUND((U71+T74)*U9/12,2))</f>
        <v>-6.77</v>
      </c>
      <c r="V72" s="7">
        <f t="shared" ref="V72" si="865">IF(OR(V9="",V71=""),"",ROUND((V71+U74)*V9/12,2))</f>
        <v>-7.97</v>
      </c>
      <c r="W72" s="7">
        <f t="shared" ref="W72:X72" si="866">IF(OR(W9="",W71=""),"",ROUND((W71+V74)*W9/12,2))</f>
        <v>-3.72</v>
      </c>
      <c r="X72" s="7">
        <f t="shared" si="866"/>
        <v>-3.25</v>
      </c>
      <c r="Y72" s="7">
        <f>IF(OR(Y9="",Y71=""),"",ROUND((Y71+X74)*Y9/12,2))</f>
        <v>-7.16</v>
      </c>
      <c r="Z72" s="7">
        <f>IF(OR(Z9="",Z71=""),"",ROUND((Z69+Z71+Y74+Z66)*Z9/12,2))+Z66</f>
        <v>7.0000000000023377E-2</v>
      </c>
      <c r="AA72" s="7">
        <f>IF(OR(AA9="",AA71=""),"",ROUND((AA69+AA71+Z74)*AA9/12,2))</f>
        <v>-14.53</v>
      </c>
      <c r="AB72" s="7">
        <f>IF(OR(AB9="",AB71=""),"",ROUND((AB69+AB71+AA74)*AB9/12,2))</f>
        <v>-11.8</v>
      </c>
      <c r="AC72" s="7">
        <f t="shared" ref="AC72:AE72" si="867">IF(OR(AC9="",AC71=""),"",ROUND((AC69+AC71+AB74)*AC9/12,2))</f>
        <v>-17.510000000000002</v>
      </c>
      <c r="AD72" s="7">
        <f t="shared" si="867"/>
        <v>-18.39</v>
      </c>
      <c r="AE72" s="7">
        <f t="shared" si="867"/>
        <v>-24.65</v>
      </c>
      <c r="AF72" s="7">
        <f t="shared" ref="AF72" si="868">IF(OR(AF9="",AF71=""),"",ROUND((AF69+AF71+AE74)*AF9/12,2))</f>
        <v>-28.25</v>
      </c>
      <c r="AG72" s="7">
        <f t="shared" ref="AG72" si="869">IF(OR(AG9="",AG71=""),"",ROUND((AG69+AG71+AF74)*AG9/12,2))</f>
        <v>-20.87</v>
      </c>
      <c r="AH72" s="7">
        <f t="shared" ref="AH72" si="870">IF(OR(AH9="",AH71=""),"",ROUND((AH69+AH71+AG74)*AH9/12,2))</f>
        <v>-11.79</v>
      </c>
      <c r="AI72" s="7">
        <f t="shared" ref="AI72" si="871">IF(OR(AI9="",AI71=""),"",ROUND((AI69+AI71+AH74)*AI9/12,2))</f>
        <v>-13.05</v>
      </c>
      <c r="AJ72" s="7">
        <f t="shared" ref="AJ72" si="872">IF(OR(AJ9="",AJ71=""),"",ROUND((AJ69+AJ71+AI74)*AJ9/12,2))</f>
        <v>-13.48</v>
      </c>
      <c r="AK72" s="7">
        <f t="shared" ref="AK72" si="873">IF(OR(AK9="",AK71=""),"",ROUND((AK69+AK71+AJ74)*AK9/12,2))</f>
        <v>-14.03</v>
      </c>
      <c r="AL72" s="7">
        <f t="shared" ref="AL72" si="874">IF(OR(AL9="",AL71=""),"",ROUND((AL69+AL71+AK74)*AL9/12,2))</f>
        <v>-16.3</v>
      </c>
      <c r="AM72" s="7">
        <f t="shared" ref="AM72" si="875">IF(OR(AM9="",AM71=""),"",ROUND((AM69+AM71+AL74)*AM9/12,2))</f>
        <v>-33.03</v>
      </c>
      <c r="AN72" s="7">
        <f t="shared" ref="AN72" si="876">IF(OR(AN9="",AN71=""),"",ROUND((AN69+AN71+AM74)*AN9/12,2))</f>
        <v>-34.06</v>
      </c>
      <c r="AO72" s="7">
        <f t="shared" ref="AO72" si="877">IF(OR(AO9="",AO71=""),"",ROUND((AO69+AO71+AN74)*AO9/12,2))</f>
        <v>-47.68</v>
      </c>
      <c r="AP72" s="7">
        <f t="shared" ref="AP72" si="878">IF(OR(AP9="",AP71=""),"",ROUND((AP69+AP71+AO74)*AP9/12,2))</f>
        <v>-111.07</v>
      </c>
      <c r="AQ72" s="7">
        <f t="shared" ref="AQ72" si="879">IF(OR(AQ9="",AQ71=""),"",ROUND((AQ69+AQ71+AP74)*AQ9/12,2))</f>
        <v>-82.15</v>
      </c>
      <c r="AR72" s="7">
        <f t="shared" ref="AR72" si="880">IF(OR(AR9="",AR71=""),"",ROUND((AR69+AR71+AQ74)*AR9/12,2))</f>
        <v>-127.42</v>
      </c>
      <c r="AS72" s="7">
        <f t="shared" ref="AS72" si="881">IF(OR(AS9="",AS71=""),"",ROUND((AS69+AS71+AR74)*AS9/12,2))</f>
        <v>-180.46</v>
      </c>
      <c r="AT72" s="7">
        <f t="shared" ref="AT72" si="882">IF(OR(AT9="",AT71=""),"",ROUND((AT69+AT71+AS74)*AT9/12,2))</f>
        <v>-210.38</v>
      </c>
      <c r="AU72" s="7">
        <f t="shared" ref="AU72" si="883">IF(OR(AU9="",AU71=""),"",ROUND((AU69+AU71+AT74)*AU9/12,2))</f>
        <v>-213.6</v>
      </c>
      <c r="AV72" s="7">
        <f t="shared" ref="AV72" si="884">IF(OR(AV9="",AV71=""),"",ROUND((AV69+AV71+AU74)*AV9/12,2))</f>
        <v>-198.64</v>
      </c>
      <c r="AW72" s="7">
        <f t="shared" ref="AW72:AY72" si="885">IF(OR(AW9="",AW71=""),"",ROUND((AW69+AW71+AV74)*AW9/12,2))</f>
        <v>-205.42</v>
      </c>
      <c r="AX72" s="7">
        <f t="shared" si="885"/>
        <v>-243.64</v>
      </c>
      <c r="AY72" s="7">
        <f t="shared" si="885"/>
        <v>-243.5</v>
      </c>
      <c r="AZ72" s="7">
        <f>IF(OR(AZ9="",AZ71=""),"",ROUND((AZ69+AZ71+AY74+AZ66)*AZ9/12,2))+AZ66</f>
        <v>-224.67999999999992</v>
      </c>
      <c r="BA72" s="7">
        <f t="shared" ref="BA72:BL72" si="886">IF(OR(BA9="",BA71=""),"",ROUND((BA69+BA71+AZ74)*BA9/12,2))</f>
        <v>-222.57</v>
      </c>
      <c r="BB72" s="7">
        <f t="shared" si="886"/>
        <v>-273.89999999999998</v>
      </c>
      <c r="BC72" s="7">
        <f t="shared" si="886"/>
        <v>-332</v>
      </c>
      <c r="BD72" s="7">
        <f t="shared" si="886"/>
        <v>-344.37</v>
      </c>
      <c r="BE72" s="7">
        <f t="shared" si="886"/>
        <v>-108.18</v>
      </c>
      <c r="BF72" s="7">
        <f t="shared" si="886"/>
        <v>-34.69</v>
      </c>
      <c r="BG72" s="7">
        <f t="shared" si="886"/>
        <v>35.25</v>
      </c>
      <c r="BH72" s="7">
        <f t="shared" si="886"/>
        <v>7.21</v>
      </c>
      <c r="BI72" s="7">
        <f t="shared" si="886"/>
        <v>-105.9</v>
      </c>
      <c r="BJ72" s="7">
        <f t="shared" si="886"/>
        <v>-208.34</v>
      </c>
      <c r="BK72" s="7">
        <f t="shared" si="886"/>
        <v>-317.45999999999998</v>
      </c>
      <c r="BL72" s="7">
        <f t="shared" si="886"/>
        <v>-359.11</v>
      </c>
      <c r="BM72" s="108">
        <f>IF(OR(BM9="",BM71=""),"",ROUND((BM69+BM71+BL74+BM66)*BM9/12,2))</f>
        <v>-394.87</v>
      </c>
      <c r="BN72" s="7">
        <f t="shared" ref="BN72:CJ72" si="887">IF(OR(BN9="",BN71=""),"",ROUND((BN69+BN71+BM74)*BN9/12,2))</f>
        <v>-416.12</v>
      </c>
      <c r="BO72" s="7">
        <f t="shared" si="887"/>
        <v>-429.58</v>
      </c>
      <c r="BP72" s="7">
        <f t="shared" si="887"/>
        <v>-403.98</v>
      </c>
      <c r="BQ72" s="7">
        <f t="shared" si="887"/>
        <v>-186.84</v>
      </c>
      <c r="BR72" s="7">
        <f t="shared" si="887"/>
        <v>58.05</v>
      </c>
      <c r="BS72" s="7">
        <f t="shared" si="887"/>
        <v>306.58999999999997</v>
      </c>
      <c r="BT72" s="7">
        <f t="shared" si="887"/>
        <v>432.12</v>
      </c>
      <c r="BU72" s="7">
        <f t="shared" si="887"/>
        <v>416.93</v>
      </c>
      <c r="BV72" s="7">
        <f t="shared" si="887"/>
        <v>405.69</v>
      </c>
      <c r="BW72" s="7">
        <f t="shared" si="887"/>
        <v>394.18</v>
      </c>
      <c r="BX72" s="7">
        <f t="shared" si="887"/>
        <v>381.64</v>
      </c>
      <c r="BY72" s="7">
        <f t="shared" si="887"/>
        <v>374.72</v>
      </c>
      <c r="BZ72" s="7">
        <f t="shared" si="887"/>
        <v>384.28</v>
      </c>
      <c r="CA72" s="7">
        <f t="shared" si="887"/>
        <v>396.29</v>
      </c>
      <c r="CB72" s="7">
        <f t="shared" si="887"/>
        <v>451.98</v>
      </c>
      <c r="CC72" s="7">
        <f t="shared" si="887"/>
        <v>399.38</v>
      </c>
      <c r="CD72" s="7">
        <f t="shared" si="887"/>
        <v>328.08</v>
      </c>
      <c r="CE72" s="7">
        <f t="shared" si="887"/>
        <v>254.88</v>
      </c>
      <c r="CF72" s="7">
        <f t="shared" si="887"/>
        <v>185.46</v>
      </c>
      <c r="CG72" s="7">
        <f t="shared" si="887"/>
        <v>119.41</v>
      </c>
      <c r="CH72" s="98">
        <f t="shared" si="887"/>
        <v>74.8</v>
      </c>
      <c r="CI72" s="98">
        <f t="shared" si="887"/>
        <v>32.11</v>
      </c>
      <c r="CJ72" s="98">
        <f t="shared" si="887"/>
        <v>-9.08</v>
      </c>
    </row>
    <row r="73" spans="1:88" s="4" customFormat="1" hidden="1" outlineLevel="1" x14ac:dyDescent="0.25">
      <c r="A73" s="276"/>
      <c r="B73" s="15" t="s">
        <v>13</v>
      </c>
      <c r="C73" s="81"/>
      <c r="D73" s="81"/>
      <c r="E73" s="81"/>
      <c r="F73" s="7">
        <f t="shared" ref="F73:M73" si="888">IF(OR(F71="",F72=""),"",F71+F72)</f>
        <v>0</v>
      </c>
      <c r="G73" s="7">
        <f t="shared" si="888"/>
        <v>0</v>
      </c>
      <c r="H73" s="7">
        <f t="shared" si="888"/>
        <v>207.41969459981058</v>
      </c>
      <c r="I73" s="7">
        <f t="shared" si="888"/>
        <v>-3536.0640731331473</v>
      </c>
      <c r="J73" s="7">
        <f t="shared" si="888"/>
        <v>-6828.2997850987786</v>
      </c>
      <c r="K73" s="7">
        <f t="shared" si="888"/>
        <v>-7334.7960205780682</v>
      </c>
      <c r="L73" s="7">
        <f t="shared" si="888"/>
        <v>-7125.7270793455427</v>
      </c>
      <c r="M73" s="7">
        <f t="shared" si="888"/>
        <v>-6743.0773178492036</v>
      </c>
      <c r="N73" s="7">
        <f>IF(OR(N71="",N72=""),"",N71+N72)</f>
        <v>-1859.6777979269255</v>
      </c>
      <c r="O73" s="7">
        <f t="shared" ref="O73:AE73" si="889">IF(OR(O71="",O72=""),"",O71+O72)</f>
        <v>-3454.6362381337258</v>
      </c>
      <c r="P73" s="7">
        <f t="shared" si="889"/>
        <v>238.06845004445901</v>
      </c>
      <c r="Q73" s="7">
        <f t="shared" si="889"/>
        <v>-7649.1845926856449</v>
      </c>
      <c r="R73" s="7">
        <f t="shared" si="889"/>
        <v>-17064.770711894311</v>
      </c>
      <c r="S73" s="7">
        <f t="shared" si="889"/>
        <v>-19812.182044639314</v>
      </c>
      <c r="T73" s="7">
        <f t="shared" si="889"/>
        <v>-12728.816928390142</v>
      </c>
      <c r="U73" s="7">
        <f t="shared" si="889"/>
        <v>19166.129277318443</v>
      </c>
      <c r="V73" s="7">
        <f t="shared" si="889"/>
        <v>13087.683413476925</v>
      </c>
      <c r="W73" s="7">
        <f t="shared" si="889"/>
        <v>13431.569407484267</v>
      </c>
      <c r="X73" s="7">
        <f t="shared" si="889"/>
        <v>-2114.4022844831561</v>
      </c>
      <c r="Y73" s="7">
        <f t="shared" si="889"/>
        <v>-14854.344202668672</v>
      </c>
      <c r="Z73" s="7">
        <f>IF(OR(Z71="",Z72=""),"",Z71+Z72)</f>
        <v>-14340.740969499939</v>
      </c>
      <c r="AA73" s="7">
        <f t="shared" si="889"/>
        <v>-12867.695395394754</v>
      </c>
      <c r="AB73" s="7">
        <f t="shared" si="889"/>
        <v>-10164.263913657313</v>
      </c>
      <c r="AC73" s="7">
        <f t="shared" si="889"/>
        <v>-25688.555600950825</v>
      </c>
      <c r="AD73" s="7">
        <f t="shared" si="889"/>
        <v>-15578.933247539964</v>
      </c>
      <c r="AE73" s="7">
        <f t="shared" si="889"/>
        <v>-32850.97428820654</v>
      </c>
      <c r="AF73" s="7">
        <f t="shared" ref="AF73:AW73" si="890">IF(OR(AF71="",AF72=""),"",AF71+AF72)</f>
        <v>-24542.23031437075</v>
      </c>
      <c r="AG73" s="7">
        <f t="shared" si="890"/>
        <v>22298.687616365201</v>
      </c>
      <c r="AH73" s="7">
        <f t="shared" si="890"/>
        <v>16898.854843513051</v>
      </c>
      <c r="AI73" s="7">
        <f t="shared" si="890"/>
        <v>19435.386516194409</v>
      </c>
      <c r="AJ73" s="7">
        <f t="shared" si="890"/>
        <v>-13456.037416235584</v>
      </c>
      <c r="AK73" s="7">
        <f t="shared" si="890"/>
        <v>-34054.832598257752</v>
      </c>
      <c r="AL73" s="7">
        <f t="shared" si="890"/>
        <v>-19131.836054840187</v>
      </c>
      <c r="AM73" s="7">
        <f t="shared" si="890"/>
        <v>-29712.963980376229</v>
      </c>
      <c r="AN73" s="7">
        <f t="shared" si="890"/>
        <v>-26997.15730202894</v>
      </c>
      <c r="AO73" s="7">
        <f t="shared" si="890"/>
        <v>-94529.280095560462</v>
      </c>
      <c r="AP73" s="7">
        <f t="shared" si="890"/>
        <v>-13939.281367771266</v>
      </c>
      <c r="AQ73" s="7">
        <f t="shared" si="890"/>
        <v>77577.425469534428</v>
      </c>
      <c r="AR73" s="7">
        <f t="shared" si="890"/>
        <v>-7479.4754636912066</v>
      </c>
      <c r="AS73" s="7">
        <f t="shared" si="890"/>
        <v>2252.9285178160271</v>
      </c>
      <c r="AT73" s="7">
        <f t="shared" si="890"/>
        <v>8097.8955623246011</v>
      </c>
      <c r="AU73" s="7">
        <f t="shared" si="890"/>
        <v>8082.9970852261231</v>
      </c>
      <c r="AV73" s="7">
        <f t="shared" si="890"/>
        <v>777.94930874575891</v>
      </c>
      <c r="AW73" s="7">
        <f t="shared" si="890"/>
        <v>-325.77076748674324</v>
      </c>
      <c r="AX73" s="7">
        <f t="shared" ref="AX73:AY73" si="891">IF(OR(AX71="",AX72=""),"",AX71+AX72)</f>
        <v>-10363.216771598367</v>
      </c>
      <c r="AY73" s="7">
        <f t="shared" si="891"/>
        <v>-7971.3348874822113</v>
      </c>
      <c r="AZ73" s="7">
        <f t="shared" ref="AZ73:BA73" si="892">IF(OR(AZ71="",AZ72=""),"",AZ71+AZ72)</f>
        <v>-5062.2171657687668</v>
      </c>
      <c r="BA73" s="7">
        <f t="shared" si="892"/>
        <v>1307.3529825071853</v>
      </c>
      <c r="BB73" s="7">
        <f t="shared" ref="BB73:BC73" si="893">IF(OR(BB71="",BB72=""),"",BB71+BB72)</f>
        <v>-13850.258815323652</v>
      </c>
      <c r="BC73" s="7">
        <f t="shared" si="893"/>
        <v>-13122.271439470518</v>
      </c>
      <c r="BD73" s="7">
        <f t="shared" ref="BD73:BE73" si="894">IF(OR(BD71="",BD72=""),"",BD71+BD72)</f>
        <v>-4862.7667565583806</v>
      </c>
      <c r="BE73" s="7">
        <f t="shared" si="894"/>
        <v>49933.649050135551</v>
      </c>
      <c r="BF73" s="7">
        <f t="shared" ref="BF73:BG73" si="895">IF(OR(BF71="",BF72=""),"",BF71+BF72)</f>
        <v>12910.573980640091</v>
      </c>
      <c r="BG73" s="7">
        <f t="shared" si="895"/>
        <v>11279.967901399505</v>
      </c>
      <c r="BH73" s="7">
        <f t="shared" ref="BH73:BI73" si="896">IF(OR(BH71="",BH72=""),"",BH71+BH72)</f>
        <v>-10599.152365435031</v>
      </c>
      <c r="BI73" s="7">
        <f t="shared" si="896"/>
        <v>-29219.313500222095</v>
      </c>
      <c r="BJ73" s="7">
        <f t="shared" ref="BJ73:BK73" si="897">IF(OR(BJ71="",BJ72=""),"",BJ71+BJ72)</f>
        <v>-26072.375191154882</v>
      </c>
      <c r="BK73" s="7">
        <f t="shared" si="897"/>
        <v>-28325.561513706663</v>
      </c>
      <c r="BL73" s="7">
        <f t="shared" ref="BL73:BM73" si="898">IF(OR(BL71="",BL72=""),"",BL71+BL72)</f>
        <v>-15461.425903838652</v>
      </c>
      <c r="BM73" s="7">
        <f t="shared" si="898"/>
        <v>-16777.743793441452</v>
      </c>
      <c r="BN73" s="7">
        <f t="shared" ref="BN73:BO73" si="899">IF(OR(BN71="",BN72=""),"",BN71+BN72)</f>
        <v>-9113.7492060513414</v>
      </c>
      <c r="BO73" s="7">
        <f t="shared" si="899"/>
        <v>-6815.1655063109556</v>
      </c>
      <c r="BP73" s="7">
        <f t="shared" ref="BP73:BQ73" si="900">IF(OR(BP71="",BP72=""),"",BP71+BP72)</f>
        <v>-710.94719579184721</v>
      </c>
      <c r="BQ73" s="7">
        <f t="shared" si="900"/>
        <v>41898.586407036397</v>
      </c>
      <c r="BR73" s="7">
        <f t="shared" ref="BR73:BS73" si="901">IF(OR(BR71="",BR72=""),"",BR71+BR72)</f>
        <v>45896.942169700851</v>
      </c>
      <c r="BS73" s="7">
        <f t="shared" si="901"/>
        <v>46790.498135893547</v>
      </c>
      <c r="BT73" s="7">
        <f t="shared" ref="BT73:BU73" si="902">IF(OR(BT71="",BT72=""),"",BT71+BT72)</f>
        <v>25538.894633182041</v>
      </c>
      <c r="BU73" s="7">
        <f t="shared" si="902"/>
        <v>-2688.8570665374396</v>
      </c>
      <c r="BV73" s="7">
        <f t="shared" ref="BV73:BW73" si="903">IF(OR(BV71="",BV72=""),"",BV71+BV72)</f>
        <v>-6742.6048118123481</v>
      </c>
      <c r="BW73" s="7">
        <f t="shared" si="903"/>
        <v>-4592.7616676741236</v>
      </c>
      <c r="BX73" s="7">
        <f t="shared" ref="BX73:BY73" si="904">IF(OR(BX71="",BX72=""),"",BX71+BX72)</f>
        <v>-6336.9901254131973</v>
      </c>
      <c r="BY73" s="7">
        <f t="shared" si="904"/>
        <v>6037.920229601199</v>
      </c>
      <c r="BZ73" s="7">
        <f t="shared" ref="BZ73:CA73" si="905">IF(OR(BZ71="",BZ72=""),"",BZ71+BZ72)</f>
        <v>9360.0968808998095</v>
      </c>
      <c r="CA73" s="7">
        <f t="shared" si="905"/>
        <v>11264.716833423103</v>
      </c>
      <c r="CB73" s="7">
        <f t="shared" ref="CB73:CC73" si="906">IF(OR(CB71="",CB72=""),"",CB71+CB72)</f>
        <v>23242.739290741665</v>
      </c>
      <c r="CC73" s="7">
        <f t="shared" si="906"/>
        <v>-5762.0533545495455</v>
      </c>
      <c r="CD73" s="7">
        <f t="shared" ref="CD73:CE73" si="907">IF(OR(CD71="",CD72=""),"",CD71+CD72)</f>
        <v>-10664.879273417841</v>
      </c>
      <c r="CE73" s="7">
        <f t="shared" si="907"/>
        <v>-10540.915823971616</v>
      </c>
      <c r="CF73" s="7">
        <f t="shared" ref="CF73:CG73" si="908">IF(OR(CF71="",CF72=""),"",CF71+CF72)</f>
        <v>-8410.1636984957568</v>
      </c>
      <c r="CG73" s="7">
        <f t="shared" si="908"/>
        <v>-7887.7846313659265</v>
      </c>
      <c r="CH73" s="7">
        <f t="shared" ref="CH73:CI73" si="909">IF(OR(CH71="",CH72=""),"",CH71+CH72)</f>
        <v>-4847.3468334758209</v>
      </c>
      <c r="CI73" s="7">
        <f t="shared" si="909"/>
        <v>-4292.0512795401255</v>
      </c>
      <c r="CJ73" s="7">
        <f t="shared" ref="CJ73" si="910">IF(OR(CJ71="",CJ72=""),"",CJ71+CJ72)</f>
        <v>-3857.3318177370129</v>
      </c>
    </row>
    <row r="74" spans="1:88" s="4" customFormat="1" hidden="1" outlineLevel="1" x14ac:dyDescent="0.25">
      <c r="A74" s="276"/>
      <c r="B74" s="17" t="s">
        <v>18</v>
      </c>
      <c r="C74" s="85"/>
      <c r="D74" s="85"/>
      <c r="E74" s="85"/>
      <c r="F74" s="7">
        <f>IF(OR(F73=""),"",F73)</f>
        <v>0</v>
      </c>
      <c r="G74" s="7">
        <f t="shared" ref="G74:M74" si="911">IF(OR(G73="",F74=""),"",G73+F74)</f>
        <v>0</v>
      </c>
      <c r="H74" s="7">
        <f t="shared" si="911"/>
        <v>207.41969459981058</v>
      </c>
      <c r="I74" s="7">
        <f t="shared" si="911"/>
        <v>-3328.6443785333367</v>
      </c>
      <c r="J74" s="7">
        <f t="shared" si="911"/>
        <v>-10156.944163632115</v>
      </c>
      <c r="K74" s="7">
        <f t="shared" si="911"/>
        <v>-17491.740184210183</v>
      </c>
      <c r="L74" s="7">
        <f t="shared" si="911"/>
        <v>-24617.467263555725</v>
      </c>
      <c r="M74" s="7">
        <f t="shared" si="911"/>
        <v>-31360.544581404931</v>
      </c>
      <c r="N74" s="7">
        <f>IF(OR(N73="",M74=""),"",N73+N69+M74)</f>
        <v>-33220.222379331855</v>
      </c>
      <c r="O74" s="7">
        <f>IF(OR(O73="",N74=""),"",O73+O69+N74)</f>
        <v>-36674.858617465579</v>
      </c>
      <c r="P74" s="7">
        <f t="shared" ref="P74:AE74" si="912">IF(OR(P73="",O74=""),"",P73+P69+O74)</f>
        <v>-36436.790167421117</v>
      </c>
      <c r="Q74" s="7">
        <f t="shared" si="912"/>
        <v>-42581.294760106764</v>
      </c>
      <c r="R74" s="7">
        <f t="shared" si="912"/>
        <v>-57054.185472001074</v>
      </c>
      <c r="S74" s="7">
        <f t="shared" si="912"/>
        <v>-74028.017516640393</v>
      </c>
      <c r="T74" s="7">
        <f t="shared" si="912"/>
        <v>-83875.064445030541</v>
      </c>
      <c r="U74" s="7">
        <f t="shared" si="912"/>
        <v>-62458.425167712099</v>
      </c>
      <c r="V74" s="7">
        <f t="shared" si="912"/>
        <v>-46131.341754235174</v>
      </c>
      <c r="W74" s="7">
        <f t="shared" si="912"/>
        <v>-29363.132346750906</v>
      </c>
      <c r="X74" s="7">
        <f t="shared" si="912"/>
        <v>-28093.414631234064</v>
      </c>
      <c r="Y74" s="7">
        <f t="shared" si="912"/>
        <v>-39966.888833902733</v>
      </c>
      <c r="Z74" s="7">
        <f t="shared" si="912"/>
        <v>-51383.949803402669</v>
      </c>
      <c r="AA74" s="7">
        <f t="shared" si="912"/>
        <v>-61266.075198797422</v>
      </c>
      <c r="AB74" s="7">
        <f t="shared" si="912"/>
        <v>-68699.899112454732</v>
      </c>
      <c r="AC74" s="7">
        <f t="shared" si="912"/>
        <v>-90491.304713405552</v>
      </c>
      <c r="AD74" s="7">
        <f t="shared" si="912"/>
        <v>-103286.21796094552</v>
      </c>
      <c r="AE74" s="7">
        <f t="shared" si="912"/>
        <v>-131417.89224915206</v>
      </c>
      <c r="AF74" s="7">
        <f t="shared" ref="AF74" si="913">IF(OR(AF73="",AE74=""),"",AF73+AF69+AE74)</f>
        <v>-151165.5225635228</v>
      </c>
      <c r="AG74" s="7">
        <f t="shared" ref="AG74" si="914">IF(OR(AG73="",AF74=""),"",AG73+AG69+AF74)</f>
        <v>-124239.48494715759</v>
      </c>
      <c r="AH74" s="7">
        <f t="shared" ref="AH74" si="915">IF(OR(AH73="",AG74=""),"",AH73+AH69+AG74)</f>
        <v>-101435.26010364454</v>
      </c>
      <c r="AI74" s="7">
        <f t="shared" ref="AI74" si="916">IF(OR(AI73="",AH74=""),"",AI73+AI69+AH74)</f>
        <v>-76378.203587450131</v>
      </c>
      <c r="AJ74" s="7">
        <f t="shared" ref="AJ74" si="917">IF(OR(AJ73="",AI74=""),"",AJ73+AJ69+AI74)</f>
        <v>-83755.511003685708</v>
      </c>
      <c r="AK74" s="7">
        <f t="shared" ref="AK74" si="918">IF(OR(AK73="",AJ74=""),"",AK73+AK69+AJ74)</f>
        <v>-112238.76360194346</v>
      </c>
      <c r="AL74" s="7">
        <f t="shared" ref="AL74" si="919">IF(OR(AL73="",AK74=""),"",AL73+AL69+AK74)</f>
        <v>-127671.70965678364</v>
      </c>
      <c r="AM74" s="7">
        <f t="shared" ref="AM74" si="920">IF(OR(AM73="",AL74=""),"",AM73+AM69+AL74)</f>
        <v>-152198.53363715988</v>
      </c>
      <c r="AN74" s="7">
        <f t="shared" ref="AN74" si="921">IF(OR(AN73="",AM74=""),"",AN73+AN69+AM74)</f>
        <v>-174363.38093918882</v>
      </c>
      <c r="AO74" s="7">
        <f t="shared" ref="AO74" si="922">IF(OR(AO73="",AN74=""),"",AO73+AO69+AN74)</f>
        <v>-193449.93103474929</v>
      </c>
      <c r="AP74" s="7">
        <f t="shared" ref="AP74" si="923">IF(OR(AP73="",AO74=""),"",AP73+AP69+AO74)</f>
        <v>-193757.93240252056</v>
      </c>
      <c r="AQ74" s="7">
        <f t="shared" ref="AQ74" si="924">IF(OR(AQ73="",AP74=""),"",AQ73+AQ69+AP74)</f>
        <v>-164277.77693298613</v>
      </c>
      <c r="AR74" s="7">
        <f t="shared" ref="AR74" si="925">IF(OR(AR73="",AQ74=""),"",AR73+AR69+AQ74)</f>
        <v>-161129.03239667733</v>
      </c>
      <c r="AS74" s="7">
        <f t="shared" ref="AS74" si="926">IF(OR(AS73="",AR74=""),"",AS73+AS69+AR74)</f>
        <v>-145920.15387886131</v>
      </c>
      <c r="AT74" s="7">
        <f t="shared" ref="AT74" si="927">IF(OR(AT73="",AS74=""),"",AT73+AT69+AS74)</f>
        <v>-122958.67831653671</v>
      </c>
      <c r="AU74" s="7">
        <f t="shared" ref="AU74" si="928">IF(OR(AU73="",AT74=""),"",AU73+AU69+AT74)</f>
        <v>-100178.93123131059</v>
      </c>
      <c r="AV74" s="7">
        <f t="shared" ref="AV74" si="929">IF(OR(AV73="",AU74=""),"",AV73+AV69+AU74)</f>
        <v>-84079.361922564829</v>
      </c>
      <c r="AW74" s="7">
        <f t="shared" ref="AW74:AY74" si="930">IF(OR(AW73="",AV74=""),"",AW73+AW69+AV74)</f>
        <v>-71242.422690051579</v>
      </c>
      <c r="AX74" s="7">
        <f t="shared" si="930"/>
        <v>-68458.119461649942</v>
      </c>
      <c r="AY74" s="7">
        <f t="shared" si="930"/>
        <v>-63522.424349132154</v>
      </c>
      <c r="AZ74" s="7">
        <f t="shared" ref="AZ74:BL74" si="931">IF(OR(AZ73="",AY74=""),"",AZ73+AZ69+AY74)</f>
        <v>-57688.801514900922</v>
      </c>
      <c r="BA74" s="7">
        <f t="shared" si="931"/>
        <v>-55314.958532393735</v>
      </c>
      <c r="BB74" s="7">
        <f t="shared" si="931"/>
        <v>-66148.227347717388</v>
      </c>
      <c r="BC74" s="7">
        <f t="shared" si="931"/>
        <v>-76235.208787187905</v>
      </c>
      <c r="BD74" s="7">
        <f t="shared" si="931"/>
        <v>-77923.045543746281</v>
      </c>
      <c r="BE74" s="7">
        <f t="shared" si="931"/>
        <v>-24170.586493610732</v>
      </c>
      <c r="BF74" s="7">
        <f t="shared" si="931"/>
        <v>-7683.2725129706414</v>
      </c>
      <c r="BG74" s="7">
        <f t="shared" si="931"/>
        <v>7697.4953884288625</v>
      </c>
      <c r="BH74" s="7">
        <f t="shared" si="931"/>
        <v>1570.7630229938313</v>
      </c>
      <c r="BI74" s="7">
        <f t="shared" si="931"/>
        <v>-23138.390477228262</v>
      </c>
      <c r="BJ74" s="7">
        <f t="shared" si="931"/>
        <v>-45189.785668383149</v>
      </c>
      <c r="BK74" s="7">
        <f t="shared" si="931"/>
        <v>-68988.147182089815</v>
      </c>
      <c r="BL74" s="7">
        <f t="shared" si="931"/>
        <v>-80482.713085928466</v>
      </c>
      <c r="BM74" s="108">
        <f>IF(OR(BM73="",BL74=""),"",BM73+BM69+BL74+BM66)</f>
        <v>-88515.384780899301</v>
      </c>
      <c r="BN74" s="7">
        <f t="shared" ref="BN74:CJ74" si="932">IF(OR(BN73="",BM74=""),"",BN73+BN69+BM74)</f>
        <v>-92399.413986950647</v>
      </c>
      <c r="BO74" s="7">
        <f t="shared" si="932"/>
        <v>-94153.499493261595</v>
      </c>
      <c r="BP74" s="7">
        <f t="shared" si="932"/>
        <v>-88706.466689053443</v>
      </c>
      <c r="BQ74" s="7">
        <f t="shared" si="932"/>
        <v>-40563.990282017046</v>
      </c>
      <c r="BR74" s="7">
        <f t="shared" si="932"/>
        <v>12538.991887683806</v>
      </c>
      <c r="BS74" s="7">
        <f t="shared" si="932"/>
        <v>66429.94002357735</v>
      </c>
      <c r="BT74" s="7">
        <f t="shared" si="932"/>
        <v>98172.564656759394</v>
      </c>
      <c r="BU74" s="7">
        <f t="shared" si="932"/>
        <v>101680.17759022195</v>
      </c>
      <c r="BV74" s="7">
        <f t="shared" si="932"/>
        <v>100890.8927784096</v>
      </c>
      <c r="BW74" s="7">
        <f t="shared" si="932"/>
        <v>101242.28111073548</v>
      </c>
      <c r="BX74" s="7">
        <f t="shared" si="932"/>
        <v>101039.94098532228</v>
      </c>
      <c r="BY74" s="7">
        <f t="shared" si="932"/>
        <v>98967.732166192756</v>
      </c>
      <c r="BZ74" s="7">
        <f t="shared" si="932"/>
        <v>100217.69999836184</v>
      </c>
      <c r="CA74" s="7">
        <f t="shared" si="932"/>
        <v>103372.28778305423</v>
      </c>
      <c r="CB74" s="7">
        <f t="shared" si="932"/>
        <v>118504.89802506518</v>
      </c>
      <c r="CC74" s="7">
        <f t="shared" si="932"/>
        <v>104632.71562178491</v>
      </c>
      <c r="CD74" s="7">
        <f t="shared" si="932"/>
        <v>85857.707299636357</v>
      </c>
      <c r="CE74" s="7">
        <f t="shared" si="932"/>
        <v>67206.662426934025</v>
      </c>
      <c r="CF74" s="7">
        <f t="shared" si="932"/>
        <v>50686.369679707554</v>
      </c>
      <c r="CG74" s="7">
        <f t="shared" si="932"/>
        <v>34688.455999610909</v>
      </c>
      <c r="CH74" s="7">
        <f t="shared" si="932"/>
        <v>21730.980117404371</v>
      </c>
      <c r="CI74" s="7">
        <f t="shared" si="932"/>
        <v>9328.799789133529</v>
      </c>
      <c r="CJ74" s="7">
        <f t="shared" si="932"/>
        <v>-2638.6610773341999</v>
      </c>
    </row>
    <row r="75" spans="1:88" s="4" customFormat="1" ht="8.25" hidden="1" customHeight="1" outlineLevel="1" x14ac:dyDescent="0.25">
      <c r="A75" s="35"/>
      <c r="B75" s="11"/>
      <c r="C75" s="86"/>
      <c r="D75" s="86"/>
      <c r="E75" s="86"/>
      <c r="F75" s="84"/>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row>
    <row r="76" spans="1:88" ht="15" customHeight="1" collapsed="1" x14ac:dyDescent="0.25">
      <c r="A76" s="277" t="s">
        <v>58</v>
      </c>
      <c r="B76" s="75"/>
      <c r="C76" s="27"/>
      <c r="D76" s="27"/>
      <c r="E76" s="27"/>
      <c r="F76" s="25"/>
      <c r="G76" s="25"/>
      <c r="H76" s="25"/>
      <c r="I76" s="25"/>
      <c r="J76" s="25"/>
      <c r="K76" s="92"/>
      <c r="L76" s="25"/>
      <c r="M76" s="25"/>
      <c r="N76" s="25"/>
      <c r="O76" s="7"/>
      <c r="P76" s="25"/>
      <c r="Q76" s="25"/>
      <c r="R76" s="25"/>
      <c r="S76" s="25"/>
      <c r="T76" s="25"/>
      <c r="U76" s="25"/>
      <c r="V76" s="25"/>
      <c r="W76" s="25"/>
      <c r="X76" s="25"/>
      <c r="Y76" s="25"/>
      <c r="Z76" s="25"/>
      <c r="AA76" s="135"/>
      <c r="AB76" s="135"/>
      <c r="AC76" s="134">
        <v>-50000</v>
      </c>
      <c r="AD76" s="25"/>
      <c r="AE76" s="25"/>
      <c r="AF76" s="25"/>
      <c r="AG76" s="153"/>
      <c r="AH76" s="25"/>
      <c r="AI76" s="25"/>
      <c r="AJ76" s="25"/>
      <c r="AK76" s="134">
        <v>-153732.06</v>
      </c>
      <c r="AL76" s="134">
        <f>'MEEIA 3 adjs'!BW35</f>
        <v>-31.022527238338242</v>
      </c>
      <c r="AM76" s="25"/>
      <c r="AN76" s="25"/>
      <c r="AO76" s="189">
        <v>13638.822646076675</v>
      </c>
      <c r="AP76" s="25"/>
      <c r="AQ76" s="25"/>
      <c r="AR76" s="25"/>
      <c r="AS76" s="25"/>
      <c r="AT76" s="25"/>
      <c r="AU76" s="25"/>
      <c r="AV76" s="25"/>
      <c r="AW76" s="25"/>
      <c r="AX76" s="25"/>
      <c r="AY76" s="25"/>
      <c r="AZ76" s="186">
        <v>-0.14536509454228508</v>
      </c>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row>
    <row r="77" spans="1:88" s="3" customFormat="1" x14ac:dyDescent="0.25">
      <c r="A77" s="277"/>
      <c r="B77" s="75" t="s">
        <v>59</v>
      </c>
      <c r="C77" s="81"/>
      <c r="D77" s="81"/>
      <c r="E77" s="81"/>
      <c r="F77" s="21"/>
      <c r="G77" s="21"/>
      <c r="H77" s="21"/>
      <c r="I77" s="21"/>
      <c r="J77" s="21"/>
      <c r="K77" s="21"/>
      <c r="L77" s="20"/>
      <c r="M77" s="21"/>
      <c r="N77" s="21"/>
      <c r="O77" s="20"/>
      <c r="P77" s="21"/>
      <c r="Q77" s="21"/>
      <c r="R77" s="21"/>
      <c r="S77" s="21"/>
      <c r="T77" s="21"/>
      <c r="U77" s="21"/>
      <c r="V77" s="21"/>
      <c r="W77" s="21"/>
      <c r="X77" s="21"/>
      <c r="Y77" s="21"/>
      <c r="Z77" s="21"/>
      <c r="AA77" s="21"/>
      <c r="AB77" s="21">
        <v>0</v>
      </c>
      <c r="AC77" s="21">
        <v>0</v>
      </c>
      <c r="AD77" s="21">
        <v>0</v>
      </c>
      <c r="AE77" s="21">
        <v>0</v>
      </c>
      <c r="AF77" s="21">
        <v>0</v>
      </c>
      <c r="AG77" s="21">
        <v>0</v>
      </c>
      <c r="AH77" s="21">
        <v>0</v>
      </c>
      <c r="AI77" s="21">
        <v>0</v>
      </c>
      <c r="AJ77" s="21">
        <v>0</v>
      </c>
      <c r="AK77" s="21">
        <v>0</v>
      </c>
      <c r="AL77" s="21">
        <v>0</v>
      </c>
      <c r="AM77" s="21">
        <v>0</v>
      </c>
      <c r="AN77" s="21">
        <v>0</v>
      </c>
      <c r="AO77" s="21">
        <v>-7656.73</v>
      </c>
      <c r="AP77" s="21">
        <v>-17111.14</v>
      </c>
      <c r="AQ77" s="21">
        <v>-14510.33</v>
      </c>
      <c r="AR77" s="21">
        <v>-14291.36</v>
      </c>
      <c r="AS77" s="21">
        <v>-17612.43</v>
      </c>
      <c r="AT77" s="21">
        <v>-22392.62</v>
      </c>
      <c r="AU77" s="21">
        <v>-21403.22</v>
      </c>
      <c r="AV77" s="21">
        <v>-19009.3</v>
      </c>
      <c r="AW77" s="21">
        <v>-14623.32</v>
      </c>
      <c r="AX77" s="21">
        <v>-13738.07</v>
      </c>
      <c r="AY77" s="21">
        <v>-18464.63</v>
      </c>
      <c r="AZ77" s="21">
        <v>-20880.5</v>
      </c>
      <c r="BA77" s="21">
        <v>-9952.4599999999991</v>
      </c>
      <c r="BB77" s="21">
        <v>-159.21</v>
      </c>
      <c r="BC77" s="21">
        <v>-114.67</v>
      </c>
      <c r="BD77" s="21">
        <v>-124.39</v>
      </c>
      <c r="BE77" s="21">
        <v>-11657.69</v>
      </c>
      <c r="BF77" s="21">
        <v>-117.23</v>
      </c>
      <c r="BG77" s="21">
        <v>-147.81</v>
      </c>
      <c r="BH77" s="21">
        <v>-187.27</v>
      </c>
      <c r="BI77" s="21">
        <v>-179.28</v>
      </c>
      <c r="BJ77" s="21">
        <v>-162.31</v>
      </c>
      <c r="BK77" s="21">
        <v>-182.77</v>
      </c>
      <c r="BL77" s="21">
        <v>37.43</v>
      </c>
      <c r="BM77" s="21">
        <v>629.21</v>
      </c>
      <c r="BN77" s="21">
        <v>1360.47</v>
      </c>
      <c r="BO77" s="21">
        <v>1351.43</v>
      </c>
      <c r="BP77" s="21">
        <v>1338.93</v>
      </c>
      <c r="BQ77" s="21">
        <v>1582.38</v>
      </c>
      <c r="BR77" s="21">
        <v>1849.89</v>
      </c>
      <c r="BS77" s="21">
        <v>1720.96</v>
      </c>
      <c r="BT77" s="21">
        <v>1701.25</v>
      </c>
      <c r="BU77" s="21">
        <v>1466.67</v>
      </c>
      <c r="BV77" s="21">
        <v>1316.68</v>
      </c>
      <c r="BW77" s="21">
        <v>1562.04</v>
      </c>
      <c r="BX77" s="21">
        <v>1975.49</v>
      </c>
      <c r="BY77" s="21">
        <v>1198.57</v>
      </c>
      <c r="BZ77" s="21">
        <v>119.17</v>
      </c>
      <c r="CA77" s="21">
        <v>6.1</v>
      </c>
      <c r="CB77" s="21">
        <v>14.94</v>
      </c>
      <c r="CC77" s="21">
        <v>19.010000000000002</v>
      </c>
      <c r="CD77" s="21">
        <v>46.88</v>
      </c>
      <c r="CE77" s="21">
        <v>44.32</v>
      </c>
      <c r="CF77" s="21">
        <v>24.32</v>
      </c>
      <c r="CG77" s="21">
        <v>13.92</v>
      </c>
      <c r="CH77" s="108">
        <f>SUM('[1]OAR (M3)'!$BG$29:$BG$33)</f>
        <v>896.56063467718991</v>
      </c>
      <c r="CI77" s="108">
        <f>SUM('[1]OAR (M3)'!$BH$29:$BH$33)</f>
        <v>1124.1920611279272</v>
      </c>
      <c r="CJ77" s="108">
        <f>SUM('[1]OAR (M3)'!$BI$29:$BI$33)</f>
        <v>1440.0357329883707</v>
      </c>
    </row>
    <row r="78" spans="1:88" s="3" customFormat="1" x14ac:dyDescent="0.25">
      <c r="A78" s="277"/>
      <c r="B78" s="75" t="s">
        <v>60</v>
      </c>
      <c r="C78" s="81"/>
      <c r="D78" s="81"/>
      <c r="E78" s="81"/>
      <c r="F78" s="7"/>
      <c r="G78" s="7"/>
      <c r="H78" s="7"/>
      <c r="I78" s="8"/>
      <c r="J78" s="8"/>
      <c r="K78" s="8"/>
      <c r="L78" s="8"/>
      <c r="M78" s="8"/>
      <c r="N78" s="8"/>
      <c r="O78" s="8"/>
      <c r="P78" s="8"/>
      <c r="Q78" s="8"/>
      <c r="R78" s="8"/>
      <c r="S78" s="8"/>
      <c r="T78" s="8"/>
      <c r="U78" s="8"/>
      <c r="V78" s="8"/>
      <c r="W78" s="8"/>
      <c r="X78" s="8"/>
      <c r="Y78" s="8"/>
      <c r="Z78" s="8"/>
      <c r="AA78" s="8"/>
      <c r="AB78" s="8">
        <f>IF(OR(AB77=""),"",AB76-AB77)</f>
        <v>0</v>
      </c>
      <c r="AC78" s="8">
        <f>IF(OR(AC77=""),"",AC76-AC77)</f>
        <v>-50000</v>
      </c>
      <c r="AD78" s="8">
        <f>IF(OR(AD77=""),"",AD76-AD77)</f>
        <v>0</v>
      </c>
      <c r="AE78" s="8">
        <f t="shared" ref="AE78:AF78" si="933">IF(OR(AE77=""),"",AE76-AE77)</f>
        <v>0</v>
      </c>
      <c r="AF78" s="8">
        <f t="shared" si="933"/>
        <v>0</v>
      </c>
      <c r="AG78" s="8">
        <f t="shared" ref="AG78:AW78" si="934">IF(OR(AG77=""),"",AG76-AG77)</f>
        <v>0</v>
      </c>
      <c r="AH78" s="8">
        <f t="shared" si="934"/>
        <v>0</v>
      </c>
      <c r="AI78" s="8">
        <f>IF(OR(AI77=""),"",AI76-AI77)</f>
        <v>0</v>
      </c>
      <c r="AJ78" s="8">
        <f t="shared" si="934"/>
        <v>0</v>
      </c>
      <c r="AK78" s="8">
        <f>IF(OR(AK77=""),"",AK76-AK77)</f>
        <v>-153732.06</v>
      </c>
      <c r="AL78" s="97">
        <v>1793.31</v>
      </c>
      <c r="AM78" s="8">
        <f>IF(OR(AM77=""),"",AM76-AM77)</f>
        <v>0</v>
      </c>
      <c r="AN78" s="8">
        <f t="shared" si="934"/>
        <v>0</v>
      </c>
      <c r="AO78" s="8">
        <f>IF(OR(AO77=""),"",AO76-AO77)-AO76</f>
        <v>7656.73</v>
      </c>
      <c r="AP78" s="8">
        <f t="shared" si="934"/>
        <v>17111.14</v>
      </c>
      <c r="AQ78" s="8">
        <f t="shared" si="934"/>
        <v>14510.33</v>
      </c>
      <c r="AR78" s="8">
        <f t="shared" si="934"/>
        <v>14291.36</v>
      </c>
      <c r="AS78" s="8">
        <f t="shared" si="934"/>
        <v>17612.43</v>
      </c>
      <c r="AT78" s="8">
        <f t="shared" si="934"/>
        <v>22392.62</v>
      </c>
      <c r="AU78" s="8">
        <f t="shared" si="934"/>
        <v>21403.22</v>
      </c>
      <c r="AV78" s="8">
        <f t="shared" si="934"/>
        <v>19009.3</v>
      </c>
      <c r="AW78" s="8">
        <f t="shared" si="934"/>
        <v>14623.32</v>
      </c>
      <c r="AX78" s="8">
        <f t="shared" ref="AX78" si="935">IF(OR(AX77=""),"",AX76-AX77)</f>
        <v>13738.07</v>
      </c>
      <c r="AY78" s="8">
        <f>IF(OR(AY77=""),"",AY76-AY77)</f>
        <v>18464.63</v>
      </c>
      <c r="AZ78" s="8">
        <f>IF(OR(AZ77=""),"",AZ76-AZ77)-AZ76</f>
        <v>20880.5</v>
      </c>
      <c r="BA78" s="8">
        <f t="shared" ref="BA78:BF78" si="936">IF(OR(BA77=""),"",BA76-BA77)</f>
        <v>9952.4599999999991</v>
      </c>
      <c r="BB78" s="8">
        <f t="shared" si="936"/>
        <v>159.21</v>
      </c>
      <c r="BC78" s="8">
        <f t="shared" si="936"/>
        <v>114.67</v>
      </c>
      <c r="BD78" s="8">
        <f t="shared" si="936"/>
        <v>124.39</v>
      </c>
      <c r="BE78" s="8">
        <f t="shared" si="936"/>
        <v>11657.69</v>
      </c>
      <c r="BF78" s="8">
        <f t="shared" si="936"/>
        <v>117.23</v>
      </c>
      <c r="BG78" s="8">
        <f t="shared" ref="BG78:BH78" si="937">IF(OR(BG77=""),"",BG76-BG77)</f>
        <v>147.81</v>
      </c>
      <c r="BH78" s="8">
        <f t="shared" si="937"/>
        <v>187.27</v>
      </c>
      <c r="BI78" s="8">
        <f t="shared" ref="BI78:BJ78" si="938">IF(OR(BI77=""),"",BI76-BI77)</f>
        <v>179.28</v>
      </c>
      <c r="BJ78" s="8">
        <f t="shared" si="938"/>
        <v>162.31</v>
      </c>
      <c r="BK78" s="8">
        <f t="shared" ref="BK78:BL78" si="939">IF(OR(BK77=""),"",BK76-BK77)</f>
        <v>182.77</v>
      </c>
      <c r="BL78" s="8">
        <f t="shared" si="939"/>
        <v>-37.43</v>
      </c>
      <c r="BM78" s="8">
        <f t="shared" ref="BM78:BN78" si="940">IF(OR(BM77=""),"",BM76-BM77)</f>
        <v>-629.21</v>
      </c>
      <c r="BN78" s="8">
        <f t="shared" si="940"/>
        <v>-1360.47</v>
      </c>
      <c r="BO78" s="8">
        <f t="shared" ref="BO78:BP78" si="941">IF(OR(BO77=""),"",BO76-BO77)</f>
        <v>-1351.43</v>
      </c>
      <c r="BP78" s="8">
        <f t="shared" si="941"/>
        <v>-1338.93</v>
      </c>
      <c r="BQ78" s="8">
        <f t="shared" ref="BQ78:BR78" si="942">IF(OR(BQ77=""),"",BQ76-BQ77)</f>
        <v>-1582.38</v>
      </c>
      <c r="BR78" s="8">
        <f t="shared" si="942"/>
        <v>-1849.89</v>
      </c>
      <c r="BS78" s="8">
        <f t="shared" ref="BS78:BT78" si="943">IF(OR(BS77=""),"",BS76-BS77)</f>
        <v>-1720.96</v>
      </c>
      <c r="BT78" s="8">
        <f t="shared" si="943"/>
        <v>-1701.25</v>
      </c>
      <c r="BU78" s="8">
        <f t="shared" ref="BU78:BV78" si="944">IF(OR(BU77=""),"",BU76-BU77)</f>
        <v>-1466.67</v>
      </c>
      <c r="BV78" s="8">
        <f t="shared" si="944"/>
        <v>-1316.68</v>
      </c>
      <c r="BW78" s="8">
        <f t="shared" ref="BW78:BX78" si="945">IF(OR(BW77=""),"",BW76-BW77)</f>
        <v>-1562.04</v>
      </c>
      <c r="BX78" s="8">
        <f t="shared" si="945"/>
        <v>-1975.49</v>
      </c>
      <c r="BY78" s="8">
        <f t="shared" ref="BY78:BZ78" si="946">IF(OR(BY77=""),"",BY76-BY77)</f>
        <v>-1198.57</v>
      </c>
      <c r="BZ78" s="8">
        <f t="shared" si="946"/>
        <v>-119.17</v>
      </c>
      <c r="CA78" s="8">
        <f t="shared" ref="CA78:CB78" si="947">IF(OR(CA77=""),"",CA76-CA77)</f>
        <v>-6.1</v>
      </c>
      <c r="CB78" s="8">
        <f t="shared" si="947"/>
        <v>-14.94</v>
      </c>
      <c r="CC78" s="8">
        <f t="shared" ref="CC78:CD78" si="948">IF(OR(CC77=""),"",CC76-CC77)</f>
        <v>-19.010000000000002</v>
      </c>
      <c r="CD78" s="8">
        <f t="shared" si="948"/>
        <v>-46.88</v>
      </c>
      <c r="CE78" s="8">
        <f t="shared" ref="CE78:CF78" si="949">IF(OR(CE77=""),"",CE76-CE77)</f>
        <v>-44.32</v>
      </c>
      <c r="CF78" s="8">
        <f t="shared" si="949"/>
        <v>-24.32</v>
      </c>
      <c r="CG78" s="8">
        <f t="shared" ref="CG78:CH78" si="950">IF(OR(CG77=""),"",CG76-CG77)</f>
        <v>-13.92</v>
      </c>
      <c r="CH78" s="8">
        <f t="shared" si="950"/>
        <v>-896.56063467718991</v>
      </c>
      <c r="CI78" s="8">
        <f t="shared" ref="CI78:CJ78" si="951">IF(OR(CI77=""),"",CI76-CI77)</f>
        <v>-1124.1920611279272</v>
      </c>
      <c r="CJ78" s="8">
        <f t="shared" si="951"/>
        <v>-1440.0357329883707</v>
      </c>
    </row>
    <row r="79" spans="1:88" s="3" customFormat="1" x14ac:dyDescent="0.25">
      <c r="A79" s="277"/>
      <c r="B79" s="76" t="s">
        <v>7</v>
      </c>
      <c r="C79" s="81"/>
      <c r="D79" s="81"/>
      <c r="E79" s="81"/>
      <c r="F79" s="8"/>
      <c r="G79" s="8"/>
      <c r="H79" s="8"/>
      <c r="I79" s="8"/>
      <c r="J79" s="8"/>
      <c r="K79" s="8"/>
      <c r="L79" s="8"/>
      <c r="M79" s="8"/>
      <c r="N79" s="8"/>
      <c r="O79" s="8"/>
      <c r="P79" s="8"/>
      <c r="Q79" s="8"/>
      <c r="R79" s="8"/>
      <c r="S79" s="8"/>
      <c r="T79" s="8"/>
      <c r="U79" s="8"/>
      <c r="V79" s="8"/>
      <c r="W79" s="8"/>
      <c r="X79" s="8" t="str">
        <f>IF(OR(X9="",X78=""),"",((X78)*X9)/12)</f>
        <v/>
      </c>
      <c r="Y79" s="8" t="str">
        <f>IF(OR(Y9="",Y78=""),"",((Y78+X82)*Y9)/12)</f>
        <v/>
      </c>
      <c r="Z79" s="8" t="str">
        <f t="shared" ref="Z79:AA79" si="952">IF(OR(Z9="",Z78=""),"",((Z78+Y82)*Z9)/12)</f>
        <v/>
      </c>
      <c r="AA79" s="8" t="str">
        <f t="shared" si="952"/>
        <v/>
      </c>
      <c r="AB79" s="8">
        <f>IF(OR(AB9="",AB78=""),"",((AB78)*AB9)/12)</f>
        <v>0</v>
      </c>
      <c r="AC79" s="8">
        <f>IF(OR(AC9="",AC78=""),"",((AC78+AB82)*AC9)/12)</f>
        <v>-9.6757083333333345</v>
      </c>
      <c r="AD79" s="8">
        <f>IF(OR(AD9="",AD78=""),"",((AD78+AC82)*AD9)/12)</f>
        <v>-8.9048062060853468</v>
      </c>
      <c r="AE79" s="8">
        <f t="shared" ref="AE79:AF79" si="953">IF(OR(AE9="",AE78=""),"",((AE78+AD82)*AE9)/12)</f>
        <v>-9.38361075097888</v>
      </c>
      <c r="AF79" s="8">
        <f t="shared" si="953"/>
        <v>-9.3498929752559405</v>
      </c>
      <c r="AG79" s="8">
        <f t="shared" ref="AG79" si="954">IF(OR(AG9="",AG78=""),"",((AG78+AF82)*AG9)/12)</f>
        <v>-8.4087289230078603</v>
      </c>
      <c r="AH79" s="8">
        <f t="shared" ref="AH79" si="955">IF(OR(AH9="",AH78=""),"",((AH78+AG82)*AH9)/12)</f>
        <v>-5.8198588030395255</v>
      </c>
      <c r="AI79" s="8">
        <f>IF(OR(AI9="",AI78=""),"",((AI78+AH82)*AI9)/12)</f>
        <v>-8.55460111412191</v>
      </c>
      <c r="AJ79" s="8">
        <f t="shared" ref="AJ79" si="956">IF(OR(AJ9="",AJ78=""),"",((AJ78+AI82)*AJ9)/12)</f>
        <v>-8.0610523030172327</v>
      </c>
      <c r="AK79" s="8">
        <f>IF(OR(AK9="",AK76=""),"",((AK76+AJ82)*AK9)/12)</f>
        <v>-25.475027282426108</v>
      </c>
      <c r="AL79" s="97">
        <f>IF(OR(AL9="",AL78=""),"",((AL78+AK82+AL76)*AL9)/12)+AL76-1793.31</f>
        <v>-1850.1308041894602</v>
      </c>
      <c r="AM79" s="8">
        <f t="shared" ref="AM79" si="957">IF(OR(AM9="",AM78=""),"",((AM78+AL82)*AM9)/12)</f>
        <v>-44.253379291805963</v>
      </c>
      <c r="AN79" s="8">
        <f t="shared" ref="AN79" si="958">IF(OR(AN9="",AN78=""),"",((AN78+AM82)*AN9)/12)</f>
        <v>-39.842192194484952</v>
      </c>
      <c r="AO79" s="8">
        <f>IF(OR(AO9="",AO78=""),"",((AO78+AN82+AO76)*AO9)/12)</f>
        <v>-45.035874622677056</v>
      </c>
      <c r="AP79" s="8">
        <f t="shared" ref="AP79" si="959">IF(OR(AP9="",AP78=""),"",((AP78+AO82)*AP9)/12)</f>
        <v>-94.987688879169866</v>
      </c>
      <c r="AQ79" s="8">
        <f t="shared" ref="AQ79" si="960">IF(OR(AQ9="",AQ78=""),"",((AQ78+AP82)*AQ9)/12)</f>
        <v>-75.647217688230427</v>
      </c>
      <c r="AR79" s="8">
        <f t="shared" ref="AR79" si="961">IF(OR(AR9="",AR78=""),"",((AR78+AQ82)*AR9)/12)</f>
        <v>-108.40399633979678</v>
      </c>
      <c r="AS79" s="8">
        <f t="shared" ref="AS79" si="962">IF(OR(AS9="",AS78=""),"",((AS78+AR82)*AS9)/12)</f>
        <v>-147.93018376899707</v>
      </c>
      <c r="AT79" s="8">
        <f t="shared" ref="AT79" si="963">IF(OR(AT9="",AT78=""),"",((AT78+AS82)*AT9)/12)</f>
        <v>-166.63504960123996</v>
      </c>
      <c r="AU79" s="8">
        <f t="shared" ref="AU79" si="964">IF(OR(AU9="",AU78=""),"",((AU78+AT82)*AU9)/12)</f>
        <v>-162.3657218016298</v>
      </c>
      <c r="AV79" s="8">
        <f t="shared" ref="AV79" si="965">IF(OR(AV9="",AV78=""),"",((AV78+AU82)*AV9)/12)</f>
        <v>-135.31602872263318</v>
      </c>
      <c r="AW79" s="8">
        <f t="shared" ref="AW79:AY79" si="966">IF(OR(AW9="",AW78=""),"",((AW78+AV82)*AW9)/12)</f>
        <v>-123.3444286647695</v>
      </c>
      <c r="AX79" s="8">
        <f t="shared" si="966"/>
        <v>-103.71976128166392</v>
      </c>
      <c r="AY79" s="8">
        <f t="shared" si="966"/>
        <v>-41.089059074617516</v>
      </c>
      <c r="AZ79" s="8">
        <f>IF(OR(AZ9="",AZ78=""),"",((AZ78+AY82+AZ76)*AZ9)/12)+AZ76</f>
        <v>40.3662559643086</v>
      </c>
      <c r="BA79" s="8">
        <f t="shared" ref="BA79:CJ79" si="967">IF(OR(BA9="",BA78=""),"",((BA78+AZ82)*BA9)/12)</f>
        <v>81.422101751264464</v>
      </c>
      <c r="BB79" s="8">
        <f t="shared" si="967"/>
        <v>84.798609843032736</v>
      </c>
      <c r="BC79" s="8">
        <f t="shared" si="967"/>
        <v>90.078177758758827</v>
      </c>
      <c r="BD79" s="8">
        <f t="shared" si="967"/>
        <v>92.369910005295935</v>
      </c>
      <c r="BE79" s="8">
        <f t="shared" si="967"/>
        <v>146.37430222097268</v>
      </c>
      <c r="BF79" s="8">
        <f t="shared" si="967"/>
        <v>148.86796039940342</v>
      </c>
      <c r="BG79" s="8">
        <f t="shared" si="967"/>
        <v>152.36119639039887</v>
      </c>
      <c r="BH79" s="8">
        <f t="shared" si="967"/>
        <v>154.33205535077255</v>
      </c>
      <c r="BI79" s="8">
        <f t="shared" si="967"/>
        <v>155.37325547625179</v>
      </c>
      <c r="BJ79" s="8">
        <f t="shared" si="967"/>
        <v>157.98803856554065</v>
      </c>
      <c r="BK79" s="8">
        <f t="shared" si="967"/>
        <v>159.26537615120091</v>
      </c>
      <c r="BL79" s="8">
        <f t="shared" si="967"/>
        <v>154.9524350549741</v>
      </c>
      <c r="BM79" s="8">
        <f t="shared" si="967"/>
        <v>152.79405100719998</v>
      </c>
      <c r="BN79" s="8">
        <f t="shared" si="967"/>
        <v>148.79300243648569</v>
      </c>
      <c r="BO79" s="8">
        <f t="shared" si="967"/>
        <v>145.24136615945528</v>
      </c>
      <c r="BP79" s="8">
        <f t="shared" si="967"/>
        <v>139.511816260183</v>
      </c>
      <c r="BQ79" s="8">
        <f t="shared" si="967"/>
        <v>134.43098446004441</v>
      </c>
      <c r="BR79" s="8">
        <f t="shared" si="967"/>
        <v>127.14472526764037</v>
      </c>
      <c r="BS79" s="8">
        <f t="shared" si="967"/>
        <v>119.35755924043788</v>
      </c>
      <c r="BT79" s="8">
        <f t="shared" si="967"/>
        <v>106.81591235780439</v>
      </c>
      <c r="BU79" s="8">
        <f t="shared" si="967"/>
        <v>93.876182560684882</v>
      </c>
      <c r="BV79" s="8">
        <f t="shared" si="967"/>
        <v>87.115620949933827</v>
      </c>
      <c r="BW79" s="8">
        <f t="shared" si="967"/>
        <v>78.575257117862762</v>
      </c>
      <c r="BX79" s="8">
        <f t="shared" si="967"/>
        <v>69.027116630155049</v>
      </c>
      <c r="BY79" s="8">
        <f t="shared" si="967"/>
        <v>64.900854640206191</v>
      </c>
      <c r="BZ79" s="8">
        <f t="shared" si="967"/>
        <v>65.520861444920385</v>
      </c>
      <c r="CA79" s="8">
        <f t="shared" si="967"/>
        <v>65.735134817072193</v>
      </c>
      <c r="CB79" s="8">
        <f t="shared" si="967"/>
        <v>65.592663275124394</v>
      </c>
      <c r="CC79" s="8">
        <f t="shared" si="967"/>
        <v>65.822145614124523</v>
      </c>
      <c r="CD79" s="8">
        <f t="shared" si="967"/>
        <v>65.968430838994735</v>
      </c>
      <c r="CE79" s="8">
        <f t="shared" si="967"/>
        <v>65.553930250467531</v>
      </c>
      <c r="CF79" s="8">
        <f t="shared" si="967"/>
        <v>63.386556805559451</v>
      </c>
      <c r="CG79" s="8">
        <f t="shared" si="967"/>
        <v>59.791907228074365</v>
      </c>
      <c r="CH79" s="108">
        <f t="shared" si="967"/>
        <v>56.901576949697805</v>
      </c>
      <c r="CI79" s="108">
        <f t="shared" si="967"/>
        <v>53.214988408503679</v>
      </c>
      <c r="CJ79" s="108">
        <f t="shared" si="967"/>
        <v>48.424692288141507</v>
      </c>
    </row>
    <row r="80" spans="1:88" s="3" customFormat="1" x14ac:dyDescent="0.25">
      <c r="A80" s="277"/>
      <c r="B80" s="76" t="s">
        <v>5</v>
      </c>
      <c r="C80" s="81"/>
      <c r="D80" s="81"/>
      <c r="E80" s="81"/>
      <c r="F80" s="8"/>
      <c r="G80" s="8"/>
      <c r="H80" s="8"/>
      <c r="I80" s="8"/>
      <c r="J80" s="8"/>
      <c r="K80" s="8"/>
      <c r="L80" s="8"/>
      <c r="M80" s="8"/>
      <c r="N80" s="8"/>
      <c r="O80" s="8"/>
      <c r="P80" s="8"/>
      <c r="Q80" s="8"/>
      <c r="R80" s="8"/>
      <c r="S80" s="8"/>
      <c r="T80" s="8"/>
      <c r="U80" s="8"/>
      <c r="V80" s="8"/>
      <c r="W80" s="8"/>
      <c r="X80" s="8" t="str">
        <f>IF(OR(X79=""),"",X79)</f>
        <v/>
      </c>
      <c r="Y80" s="8" t="str">
        <f>IF(OR(X80="",Y79=""),"",X80+Y79)</f>
        <v/>
      </c>
      <c r="Z80" s="8" t="str">
        <f t="shared" ref="Z80:AA80" si="968">IF(OR(Y80="",Z79=""),"",Y80+Z79)</f>
        <v/>
      </c>
      <c r="AA80" s="8" t="str">
        <f t="shared" si="968"/>
        <v/>
      </c>
      <c r="AB80" s="8">
        <f>IF(OR(AB79=""),"",AB79)</f>
        <v>0</v>
      </c>
      <c r="AC80" s="8">
        <f>IF(OR(AB80="",AC79=""),"",AB80+AC79)</f>
        <v>-9.6757083333333345</v>
      </c>
      <c r="AD80" s="8">
        <f>IF(OR(AC80="",AD79=""),"",AC80+AD79)</f>
        <v>-18.580514539418679</v>
      </c>
      <c r="AE80" s="8">
        <f t="shared" ref="AE80:AF80" si="969">IF(OR(AD80="",AE79=""),"",AD80+AE79)</f>
        <v>-27.964125290397561</v>
      </c>
      <c r="AF80" s="8">
        <f t="shared" si="969"/>
        <v>-37.314018265653502</v>
      </c>
      <c r="AG80" s="8">
        <f t="shared" ref="AG80" si="970">IF(OR(AF80="",AG79=""),"",AF80+AG79)</f>
        <v>-45.722747188661359</v>
      </c>
      <c r="AH80" s="8">
        <f t="shared" ref="AH80" si="971">IF(OR(AG80="",AH79=""),"",AG80+AH79)</f>
        <v>-51.542605991700881</v>
      </c>
      <c r="AI80" s="8">
        <f t="shared" ref="AI80" si="972">IF(OR(AH80="",AI79=""),"",AH80+AI79)</f>
        <v>-60.09720710582279</v>
      </c>
      <c r="AJ80" s="8">
        <f t="shared" ref="AJ80" si="973">IF(OR(AI80="",AJ79=""),"",AI80+AJ79)</f>
        <v>-68.158259408840024</v>
      </c>
      <c r="AK80" s="8">
        <f>IF(OR(AJ80="",AK79=""),"",AJ80+AK79)</f>
        <v>-93.633286691266136</v>
      </c>
      <c r="AL80" s="8">
        <f>IF(OR(AK80="",AL79=""),"",AK80+AL79)</f>
        <v>-1943.7640908807264</v>
      </c>
      <c r="AM80" s="8">
        <f t="shared" ref="AM80" si="974">IF(OR(AL80="",AM79=""),"",AL80+AM79)</f>
        <v>-1988.0174701725323</v>
      </c>
      <c r="AN80" s="8">
        <f t="shared" ref="AN80" si="975">IF(OR(AM80="",AN79=""),"",AM80+AN79)</f>
        <v>-2027.8596623670173</v>
      </c>
      <c r="AO80" s="8">
        <f>IF(OR(AN80="",AO79=""),"",AN80+AO79)</f>
        <v>-2072.8955369896944</v>
      </c>
      <c r="AP80" s="8">
        <f t="shared" ref="AP80" si="976">IF(OR(AO80="",AP79=""),"",AO80+AP79)</f>
        <v>-2167.8832258688644</v>
      </c>
      <c r="AQ80" s="8">
        <f t="shared" ref="AQ80" si="977">IF(OR(AP80="",AQ79=""),"",AP80+AQ79)</f>
        <v>-2243.5304435570947</v>
      </c>
      <c r="AR80" s="8">
        <f t="shared" ref="AR80" si="978">IF(OR(AQ80="",AR79=""),"",AQ80+AR79)</f>
        <v>-2351.9344398968915</v>
      </c>
      <c r="AS80" s="8">
        <f t="shared" ref="AS80" si="979">IF(OR(AR80="",AS79=""),"",AR80+AS79)</f>
        <v>-2499.8646236658888</v>
      </c>
      <c r="AT80" s="8">
        <f t="shared" ref="AT80" si="980">IF(OR(AS80="",AT79=""),"",AS80+AT79)</f>
        <v>-2666.4996732671289</v>
      </c>
      <c r="AU80" s="8">
        <f t="shared" ref="AU80" si="981">IF(OR(AT80="",AU79=""),"",AT80+AU79)</f>
        <v>-2828.8653950687585</v>
      </c>
      <c r="AV80" s="8">
        <f t="shared" ref="AV80" si="982">IF(OR(AU80="",AV79=""),"",AU80+AV79)</f>
        <v>-2964.1814237913918</v>
      </c>
      <c r="AW80" s="8">
        <f t="shared" ref="AW80:AY80" si="983">IF(OR(AV80="",AW79=""),"",AV80+AW79)</f>
        <v>-3087.5258524561614</v>
      </c>
      <c r="AX80" s="8">
        <f t="shared" si="983"/>
        <v>-3191.2456137378254</v>
      </c>
      <c r="AY80" s="8">
        <f t="shared" si="983"/>
        <v>-3232.3346728124429</v>
      </c>
      <c r="AZ80" s="8">
        <f t="shared" ref="AZ80:BY80" si="984">IF(OR(AY80="",AZ79=""),"",AY80+AZ79)</f>
        <v>-3191.9684168481344</v>
      </c>
      <c r="BA80" s="8">
        <f t="shared" si="984"/>
        <v>-3110.5463150968699</v>
      </c>
      <c r="BB80" s="8">
        <f t="shared" si="984"/>
        <v>-3025.747705253837</v>
      </c>
      <c r="BC80" s="8">
        <f t="shared" si="984"/>
        <v>-2935.669527495078</v>
      </c>
      <c r="BD80" s="8">
        <f t="shared" si="984"/>
        <v>-2843.2996174897821</v>
      </c>
      <c r="BE80" s="8">
        <f t="shared" si="984"/>
        <v>-2696.9253152688093</v>
      </c>
      <c r="BF80" s="8">
        <f t="shared" si="984"/>
        <v>-2548.057354869406</v>
      </c>
      <c r="BG80" s="8">
        <f t="shared" si="984"/>
        <v>-2395.696158479007</v>
      </c>
      <c r="BH80" s="8">
        <f t="shared" si="984"/>
        <v>-2241.3641031282345</v>
      </c>
      <c r="BI80" s="8">
        <f t="shared" si="984"/>
        <v>-2085.9908476519827</v>
      </c>
      <c r="BJ80" s="8">
        <f t="shared" si="984"/>
        <v>-1928.0028090864421</v>
      </c>
      <c r="BK80" s="8">
        <f t="shared" si="984"/>
        <v>-1768.7374329352413</v>
      </c>
      <c r="BL80" s="8">
        <f t="shared" si="984"/>
        <v>-1613.7849978802672</v>
      </c>
      <c r="BM80" s="8">
        <f t="shared" si="984"/>
        <v>-1460.9909468730671</v>
      </c>
      <c r="BN80" s="8">
        <f t="shared" si="984"/>
        <v>-1312.1979444365813</v>
      </c>
      <c r="BO80" s="8">
        <f t="shared" si="984"/>
        <v>-1166.956578277126</v>
      </c>
      <c r="BP80" s="8">
        <f t="shared" si="984"/>
        <v>-1027.4447620169431</v>
      </c>
      <c r="BQ80" s="8">
        <f t="shared" si="984"/>
        <v>-893.01377755689862</v>
      </c>
      <c r="BR80" s="8">
        <f t="shared" si="984"/>
        <v>-765.86905228925821</v>
      </c>
      <c r="BS80" s="8">
        <f t="shared" si="984"/>
        <v>-646.51149304882028</v>
      </c>
      <c r="BT80" s="8">
        <f t="shared" si="984"/>
        <v>-539.69558069101595</v>
      </c>
      <c r="BU80" s="8">
        <f t="shared" si="984"/>
        <v>-445.81939813033108</v>
      </c>
      <c r="BV80" s="8">
        <f t="shared" si="984"/>
        <v>-358.70377718039725</v>
      </c>
      <c r="BW80" s="8">
        <f t="shared" si="984"/>
        <v>-280.12852006253451</v>
      </c>
      <c r="BX80" s="8">
        <f t="shared" si="984"/>
        <v>-211.10140343237947</v>
      </c>
      <c r="BY80" s="8">
        <f t="shared" si="984"/>
        <v>-146.20054879217327</v>
      </c>
      <c r="BZ80" s="8">
        <f t="shared" ref="BZ80:CJ80" si="985">IF(OR(BY80="",BZ79=""),"",BY80+BZ79)</f>
        <v>-80.67968734725288</v>
      </c>
      <c r="CA80" s="8">
        <f t="shared" si="985"/>
        <v>-14.944552530180687</v>
      </c>
      <c r="CB80" s="8">
        <f t="shared" si="985"/>
        <v>50.648110744943708</v>
      </c>
      <c r="CC80" s="8">
        <f t="shared" si="985"/>
        <v>116.47025635906823</v>
      </c>
      <c r="CD80" s="8">
        <f t="shared" si="985"/>
        <v>182.43868719806295</v>
      </c>
      <c r="CE80" s="8">
        <f t="shared" si="985"/>
        <v>247.9926174485305</v>
      </c>
      <c r="CF80" s="8">
        <f t="shared" si="985"/>
        <v>311.37917425408995</v>
      </c>
      <c r="CG80" s="8">
        <f t="shared" si="985"/>
        <v>371.17108148216431</v>
      </c>
      <c r="CH80" s="8">
        <f t="shared" si="985"/>
        <v>428.07265843186212</v>
      </c>
      <c r="CI80" s="8">
        <f t="shared" si="985"/>
        <v>481.28764684036582</v>
      </c>
      <c r="CJ80" s="8">
        <f t="shared" si="985"/>
        <v>529.71233912850732</v>
      </c>
    </row>
    <row r="81" spans="1:88" s="3" customFormat="1" x14ac:dyDescent="0.25">
      <c r="A81" s="277"/>
      <c r="B81" s="75" t="s">
        <v>61</v>
      </c>
      <c r="C81" s="81"/>
      <c r="D81" s="81"/>
      <c r="E81" s="81"/>
      <c r="F81" s="8"/>
      <c r="G81" s="8"/>
      <c r="H81" s="8"/>
      <c r="I81" s="8"/>
      <c r="J81" s="8"/>
      <c r="K81" s="8"/>
      <c r="L81" s="8"/>
      <c r="M81" s="8"/>
      <c r="N81" s="8"/>
      <c r="O81" s="8"/>
      <c r="P81" s="8"/>
      <c r="Q81" s="8"/>
      <c r="R81" s="8"/>
      <c r="S81" s="8"/>
      <c r="T81" s="8"/>
      <c r="U81" s="8"/>
      <c r="V81" s="8"/>
      <c r="W81" s="8"/>
      <c r="X81" s="8" t="str">
        <f>IF(OR(X79="",X78=""),"",X78+X79)</f>
        <v/>
      </c>
      <c r="Y81" s="8" t="str">
        <f>IF(OR(Y79="",Y78=""),"",Y78+Y79)</f>
        <v/>
      </c>
      <c r="Z81" s="8" t="str">
        <f>IF(OR(Z79="",Z78=""),"",Z78+Z79)</f>
        <v/>
      </c>
      <c r="AA81" s="8" t="str">
        <f t="shared" ref="AA81" si="986">IF(OR(AA79="",AA78=""),"",AA78+AA79)</f>
        <v/>
      </c>
      <c r="AB81" s="8">
        <f>IF(OR(AB79="",AB78=""),"",AB78+AB79)</f>
        <v>0</v>
      </c>
      <c r="AC81" s="8">
        <f>IF(OR(AC79="",AC78=""),"",AC78+AC79)</f>
        <v>-50009.675708333336</v>
      </c>
      <c r="AD81" s="8">
        <f>IF(OR(AD79="",AD78=""),"",AD78+AD79)</f>
        <v>-8.9048062060853468</v>
      </c>
      <c r="AE81" s="8">
        <f t="shared" ref="AE81:AF81" si="987">IF(OR(AE79="",AE78=""),"",AE78+AE79)</f>
        <v>-9.38361075097888</v>
      </c>
      <c r="AF81" s="8">
        <f t="shared" si="987"/>
        <v>-9.3498929752559405</v>
      </c>
      <c r="AG81" s="8">
        <f t="shared" ref="AG81:AW81" si="988">IF(OR(AG79="",AG78=""),"",AG78+AG79)</f>
        <v>-8.4087289230078603</v>
      </c>
      <c r="AH81" s="8">
        <f t="shared" si="988"/>
        <v>-5.8198588030395255</v>
      </c>
      <c r="AI81" s="8">
        <f t="shared" si="988"/>
        <v>-8.55460111412191</v>
      </c>
      <c r="AJ81" s="8">
        <f t="shared" si="988"/>
        <v>-8.0610523030172327</v>
      </c>
      <c r="AK81" s="8">
        <f>IF(OR(AK79="",AK78=""),"",AK76+AK79)</f>
        <v>-153757.53502728243</v>
      </c>
      <c r="AL81" s="8">
        <f>IF(OR(AL79="",AL78=""),"",AL78+AL79)</f>
        <v>-56.820804189460205</v>
      </c>
      <c r="AM81" s="8">
        <f t="shared" si="988"/>
        <v>-44.253379291805963</v>
      </c>
      <c r="AN81" s="8">
        <f t="shared" si="988"/>
        <v>-39.842192194484952</v>
      </c>
      <c r="AO81" s="8">
        <f>IF(OR(AO79="",AO78=""),"",AO78+AO79)</f>
        <v>7611.6941253773221</v>
      </c>
      <c r="AP81" s="8">
        <f t="shared" si="988"/>
        <v>17016.15231112083</v>
      </c>
      <c r="AQ81" s="8">
        <f t="shared" si="988"/>
        <v>14434.682782311769</v>
      </c>
      <c r="AR81" s="8">
        <f t="shared" si="988"/>
        <v>14182.956003660203</v>
      </c>
      <c r="AS81" s="8">
        <f t="shared" si="988"/>
        <v>17464.499816231004</v>
      </c>
      <c r="AT81" s="8">
        <f t="shared" si="988"/>
        <v>22225.984950398761</v>
      </c>
      <c r="AU81" s="8">
        <f t="shared" si="988"/>
        <v>21240.854278198371</v>
      </c>
      <c r="AV81" s="8">
        <f t="shared" si="988"/>
        <v>18873.983971277365</v>
      </c>
      <c r="AW81" s="8">
        <f t="shared" si="988"/>
        <v>14499.97557133523</v>
      </c>
      <c r="AX81" s="8">
        <f t="shared" ref="AX81:AY81" si="989">IF(OR(AX79="",AX78=""),"",AX78+AX79)</f>
        <v>13634.350238718336</v>
      </c>
      <c r="AY81" s="8">
        <f t="shared" si="989"/>
        <v>18423.540940925384</v>
      </c>
      <c r="AZ81" s="8">
        <f t="shared" ref="AZ81:BE81" si="990">IF(OR(AZ79="",AZ78=""),"",AZ78+AZ79)</f>
        <v>20920.866255964309</v>
      </c>
      <c r="BA81" s="8">
        <f t="shared" si="990"/>
        <v>10033.882101751264</v>
      </c>
      <c r="BB81" s="8">
        <f t="shared" si="990"/>
        <v>244.00860984303273</v>
      </c>
      <c r="BC81" s="8">
        <f t="shared" si="990"/>
        <v>204.74817775875883</v>
      </c>
      <c r="BD81" s="8">
        <f t="shared" si="990"/>
        <v>216.75991000529592</v>
      </c>
      <c r="BE81" s="8">
        <f t="shared" si="990"/>
        <v>11804.064302220973</v>
      </c>
      <c r="BF81" s="8">
        <f t="shared" ref="BF81:BG81" si="991">IF(OR(BF79="",BF78=""),"",BF78+BF79)</f>
        <v>266.09796039940341</v>
      </c>
      <c r="BG81" s="8">
        <f t="shared" si="991"/>
        <v>300.1711963903989</v>
      </c>
      <c r="BH81" s="8">
        <f t="shared" ref="BH81:BI81" si="992">IF(OR(BH79="",BH78=""),"",BH78+BH79)</f>
        <v>341.60205535077256</v>
      </c>
      <c r="BI81" s="8">
        <f t="shared" si="992"/>
        <v>334.65325547625179</v>
      </c>
      <c r="BJ81" s="8">
        <f t="shared" ref="BJ81:BK81" si="993">IF(OR(BJ79="",BJ78=""),"",BJ78+BJ79)</f>
        <v>320.29803856554065</v>
      </c>
      <c r="BK81" s="8">
        <f t="shared" si="993"/>
        <v>342.03537615120092</v>
      </c>
      <c r="BL81" s="8">
        <f t="shared" ref="BL81:BM81" si="994">IF(OR(BL79="",BL78=""),"",BL78+BL79)</f>
        <v>117.5224350549741</v>
      </c>
      <c r="BM81" s="8">
        <f t="shared" si="994"/>
        <v>-476.41594899280005</v>
      </c>
      <c r="BN81" s="8">
        <f t="shared" ref="BN81:BO81" si="995">IF(OR(BN79="",BN78=""),"",BN78+BN79)</f>
        <v>-1211.6769975635143</v>
      </c>
      <c r="BO81" s="8">
        <f t="shared" si="995"/>
        <v>-1206.1886338405448</v>
      </c>
      <c r="BP81" s="8">
        <f t="shared" ref="BP81:BQ81" si="996">IF(OR(BP79="",BP78=""),"",BP78+BP79)</f>
        <v>-1199.4181837398171</v>
      </c>
      <c r="BQ81" s="8">
        <f t="shared" si="996"/>
        <v>-1447.9490155399558</v>
      </c>
      <c r="BR81" s="8">
        <f t="shared" ref="BR81:BS81" si="997">IF(OR(BR79="",BR78=""),"",BR78+BR79)</f>
        <v>-1722.7452747323598</v>
      </c>
      <c r="BS81" s="8">
        <f t="shared" si="997"/>
        <v>-1601.6024407595621</v>
      </c>
      <c r="BT81" s="8">
        <f t="shared" ref="BT81:BU81" si="998">IF(OR(BT79="",BT78=""),"",BT78+BT79)</f>
        <v>-1594.4340876421957</v>
      </c>
      <c r="BU81" s="8">
        <f t="shared" si="998"/>
        <v>-1372.7938174393153</v>
      </c>
      <c r="BV81" s="8">
        <f t="shared" ref="BV81:BW81" si="999">IF(OR(BV79="",BV78=""),"",BV78+BV79)</f>
        <v>-1229.5643790500662</v>
      </c>
      <c r="BW81" s="8">
        <f t="shared" si="999"/>
        <v>-1483.4647428821372</v>
      </c>
      <c r="BX81" s="8">
        <f t="shared" ref="BX81:BY81" si="1000">IF(OR(BX79="",BX78=""),"",BX78+BX79)</f>
        <v>-1906.462883369845</v>
      </c>
      <c r="BY81" s="8">
        <f t="shared" si="1000"/>
        <v>-1133.6691453597937</v>
      </c>
      <c r="BZ81" s="8">
        <f t="shared" ref="BZ81:CA81" si="1001">IF(OR(BZ79="",BZ78=""),"",BZ78+BZ79)</f>
        <v>-53.649138555079617</v>
      </c>
      <c r="CA81" s="8">
        <f t="shared" si="1001"/>
        <v>59.635134817072192</v>
      </c>
      <c r="CB81" s="8">
        <f t="shared" ref="CB81:CC81" si="1002">IF(OR(CB79="",CB78=""),"",CB78+CB79)</f>
        <v>50.652663275124397</v>
      </c>
      <c r="CC81" s="8">
        <f t="shared" si="1002"/>
        <v>46.812145614124518</v>
      </c>
      <c r="CD81" s="8">
        <f t="shared" ref="CD81:CE81" si="1003">IF(OR(CD79="",CD78=""),"",CD78+CD79)</f>
        <v>19.088430838994732</v>
      </c>
      <c r="CE81" s="8">
        <f t="shared" si="1003"/>
        <v>21.23393025046753</v>
      </c>
      <c r="CF81" s="8">
        <f t="shared" ref="CF81:CG81" si="1004">IF(OR(CF79="",CF78=""),"",CF78+CF79)</f>
        <v>39.066556805559451</v>
      </c>
      <c r="CG81" s="8">
        <f t="shared" si="1004"/>
        <v>45.871907228074363</v>
      </c>
      <c r="CH81" s="8">
        <f t="shared" ref="CH81:CI81" si="1005">IF(OR(CH79="",CH78=""),"",CH78+CH79)</f>
        <v>-839.65905772749215</v>
      </c>
      <c r="CI81" s="8">
        <f t="shared" si="1005"/>
        <v>-1070.9770727194236</v>
      </c>
      <c r="CJ81" s="8">
        <f t="shared" ref="CJ81" si="1006">IF(OR(CJ79="",CJ78=""),"",CJ78+CJ79)</f>
        <v>-1391.6110407002291</v>
      </c>
    </row>
    <row r="82" spans="1:88" s="3" customFormat="1" x14ac:dyDescent="0.25">
      <c r="A82" s="277"/>
      <c r="B82" s="77" t="s">
        <v>62</v>
      </c>
      <c r="C82" s="85"/>
      <c r="D82" s="85"/>
      <c r="E82" s="85"/>
      <c r="F82" s="8"/>
      <c r="G82" s="8"/>
      <c r="H82" s="8"/>
      <c r="I82" s="8"/>
      <c r="J82" s="8"/>
      <c r="K82" s="8"/>
      <c r="L82" s="8"/>
      <c r="M82" s="8"/>
      <c r="N82" s="8"/>
      <c r="O82" s="8"/>
      <c r="P82" s="8"/>
      <c r="Q82" s="8"/>
      <c r="R82" s="8"/>
      <c r="S82" s="8"/>
      <c r="T82" s="8"/>
      <c r="U82" s="8"/>
      <c r="V82" s="8"/>
      <c r="W82" s="8"/>
      <c r="X82" s="8" t="str">
        <f>IF(OR(X81=""),"",X81)</f>
        <v/>
      </c>
      <c r="Y82" s="8" t="str">
        <f>IF(OR(Y81="",X82=""),"",Y81+X82)</f>
        <v/>
      </c>
      <c r="Z82" s="8" t="str">
        <f t="shared" ref="Z82" si="1007">IF(OR(Z81="",Y82=""),"",Z81+Y82)</f>
        <v/>
      </c>
      <c r="AA82" s="8">
        <v>0</v>
      </c>
      <c r="AB82" s="8">
        <f>IF(OR(AB81=""),"",AB81)</f>
        <v>0</v>
      </c>
      <c r="AC82" s="8">
        <f>IF(OR(AC81="",AB82=""),"",AC81+AB82)</f>
        <v>-50009.675708333336</v>
      </c>
      <c r="AD82" s="8">
        <f>IF(OR(AD81="",AC82=""),"",AD81+AC82)</f>
        <v>-50018.580514539419</v>
      </c>
      <c r="AE82" s="8">
        <f t="shared" ref="AE82:AF82" si="1008">IF(OR(AE81="",AD82=""),"",AE81+AD82)</f>
        <v>-50027.964125290397</v>
      </c>
      <c r="AF82" s="8">
        <f t="shared" si="1008"/>
        <v>-50037.31401826565</v>
      </c>
      <c r="AG82" s="8">
        <f t="shared" ref="AG82" si="1009">IF(OR(AG81="",AF82=""),"",AG81+AF82)</f>
        <v>-50045.722747188658</v>
      </c>
      <c r="AH82" s="8">
        <f t="shared" ref="AH82" si="1010">IF(OR(AH81="",AG82=""),"",AH81+AG82)</f>
        <v>-50051.542605991701</v>
      </c>
      <c r="AI82" s="8">
        <f t="shared" ref="AI82" si="1011">IF(OR(AI81="",AH82=""),"",AI81+AH82)</f>
        <v>-50060.09720710582</v>
      </c>
      <c r="AJ82" s="8">
        <f t="shared" ref="AJ82" si="1012">IF(OR(AJ81="",AI82=""),"",AJ81+AI82)</f>
        <v>-50068.15825940884</v>
      </c>
      <c r="AK82" s="8">
        <f>IF(OR(AK81="",AJ82=""),"",AK81+AJ82)</f>
        <v>-203825.69328669127</v>
      </c>
      <c r="AL82" s="8">
        <f>IF(OR(AL81="",AK82=""),"",AL81+AK82)</f>
        <v>-203882.51409088072</v>
      </c>
      <c r="AM82" s="8">
        <f t="shared" ref="AM82" si="1013">IF(OR(AM81="",AL82=""),"",AM81+AL82)</f>
        <v>-203926.76747017252</v>
      </c>
      <c r="AN82" s="8">
        <f t="shared" ref="AN82" si="1014">IF(OR(AN81="",AM82=""),"",AN81+AM82)</f>
        <v>-203966.609662367</v>
      </c>
      <c r="AO82" s="8">
        <f>IF(OR(AO81="",AN82=""),"",AO81+AN82+AO76)</f>
        <v>-182716.09289091302</v>
      </c>
      <c r="AP82" s="8">
        <f t="shared" ref="AP82" si="1015">IF(OR(AP81="",AO82=""),"",AP81+AO82)</f>
        <v>-165699.94057979219</v>
      </c>
      <c r="AQ82" s="8">
        <f t="shared" ref="AQ82" si="1016">IF(OR(AQ81="",AP82=""),"",AQ81+AP82)</f>
        <v>-151265.25779748042</v>
      </c>
      <c r="AR82" s="8">
        <f t="shared" ref="AR82" si="1017">IF(OR(AR81="",AQ82=""),"",AR81+AQ82)</f>
        <v>-137082.30179382022</v>
      </c>
      <c r="AS82" s="8">
        <f t="shared" ref="AS82" si="1018">IF(OR(AS81="",AR82=""),"",AS81+AR82)</f>
        <v>-119617.80197758922</v>
      </c>
      <c r="AT82" s="8">
        <f t="shared" ref="AT82" si="1019">IF(OR(AT81="",AS82=""),"",AT81+AS82)</f>
        <v>-97391.817027190453</v>
      </c>
      <c r="AU82" s="8">
        <f t="shared" ref="AU82" si="1020">IF(OR(AU81="",AT82=""),"",AU81+AT82)</f>
        <v>-76150.962748992082</v>
      </c>
      <c r="AV82" s="8">
        <f t="shared" ref="AV82" si="1021">IF(OR(AV81="",AU82=""),"",AV81+AU82)</f>
        <v>-57276.978777714714</v>
      </c>
      <c r="AW82" s="8">
        <f t="shared" ref="AW82:AY82" si="1022">IF(OR(AW81="",AV82=""),"",AW81+AV82)</f>
        <v>-42777.003206379486</v>
      </c>
      <c r="AX82" s="8">
        <f t="shared" si="1022"/>
        <v>-29142.65296766115</v>
      </c>
      <c r="AY82" s="8">
        <f t="shared" si="1022"/>
        <v>-10719.112026735766</v>
      </c>
      <c r="AZ82" s="8">
        <f t="shared" ref="AZ82:BZ82" si="1023">IF(OR(AZ81="",AY82=""),"",AZ81+AY82)</f>
        <v>10201.754229228543</v>
      </c>
      <c r="BA82" s="8">
        <f t="shared" si="1023"/>
        <v>20235.636330979807</v>
      </c>
      <c r="BB82" s="8">
        <f t="shared" si="1023"/>
        <v>20479.64494082284</v>
      </c>
      <c r="BC82" s="8">
        <f t="shared" si="1023"/>
        <v>20684.3931185816</v>
      </c>
      <c r="BD82" s="8">
        <f t="shared" si="1023"/>
        <v>20901.153028586898</v>
      </c>
      <c r="BE82" s="8">
        <f t="shared" si="1023"/>
        <v>32705.217330807871</v>
      </c>
      <c r="BF82" s="8">
        <f t="shared" si="1023"/>
        <v>32971.315291207276</v>
      </c>
      <c r="BG82" s="8">
        <f t="shared" si="1023"/>
        <v>33271.486487597678</v>
      </c>
      <c r="BH82" s="8">
        <f t="shared" si="1023"/>
        <v>33613.088542948448</v>
      </c>
      <c r="BI82" s="8">
        <f t="shared" si="1023"/>
        <v>33947.7417984247</v>
      </c>
      <c r="BJ82" s="8">
        <f t="shared" si="1023"/>
        <v>34268.03983699024</v>
      </c>
      <c r="BK82" s="8">
        <f t="shared" si="1023"/>
        <v>34610.075213141441</v>
      </c>
      <c r="BL82" s="8">
        <f t="shared" si="1023"/>
        <v>34727.597648196417</v>
      </c>
      <c r="BM82" s="8">
        <f t="shared" si="1023"/>
        <v>34251.181699203618</v>
      </c>
      <c r="BN82" s="8">
        <f t="shared" si="1023"/>
        <v>33039.504701640108</v>
      </c>
      <c r="BO82" s="8">
        <f t="shared" si="1023"/>
        <v>31833.316067799562</v>
      </c>
      <c r="BP82" s="8">
        <f t="shared" si="1023"/>
        <v>30633.897884059745</v>
      </c>
      <c r="BQ82" s="8">
        <f t="shared" si="1023"/>
        <v>29185.94886851979</v>
      </c>
      <c r="BR82" s="8">
        <f t="shared" si="1023"/>
        <v>27463.203593787432</v>
      </c>
      <c r="BS82" s="8">
        <f t="shared" si="1023"/>
        <v>25861.60115302787</v>
      </c>
      <c r="BT82" s="8">
        <f t="shared" si="1023"/>
        <v>24267.167065385675</v>
      </c>
      <c r="BU82" s="8">
        <f t="shared" si="1023"/>
        <v>22894.373247946358</v>
      </c>
      <c r="BV82" s="8">
        <f t="shared" si="1023"/>
        <v>21664.808868896293</v>
      </c>
      <c r="BW82" s="8">
        <f t="shared" si="1023"/>
        <v>20181.344126014155</v>
      </c>
      <c r="BX82" s="8">
        <f t="shared" si="1023"/>
        <v>18274.881242644311</v>
      </c>
      <c r="BY82" s="8">
        <f t="shared" si="1023"/>
        <v>17141.212097284519</v>
      </c>
      <c r="BZ82" s="8">
        <f t="shared" si="1023"/>
        <v>17087.562958729439</v>
      </c>
      <c r="CA82" s="8">
        <f t="shared" ref="CA82:CJ82" si="1024">IF(OR(CA81="",BZ82=""),"",CA81+BZ82)</f>
        <v>17147.198093546511</v>
      </c>
      <c r="CB82" s="8">
        <f t="shared" si="1024"/>
        <v>17197.850756821634</v>
      </c>
      <c r="CC82" s="8">
        <f t="shared" si="1024"/>
        <v>17244.662902435757</v>
      </c>
      <c r="CD82" s="8">
        <f t="shared" si="1024"/>
        <v>17263.751333274751</v>
      </c>
      <c r="CE82" s="8">
        <f t="shared" si="1024"/>
        <v>17284.985263525217</v>
      </c>
      <c r="CF82" s="8">
        <f t="shared" si="1024"/>
        <v>17324.051820330777</v>
      </c>
      <c r="CG82" s="8">
        <f t="shared" si="1024"/>
        <v>17369.923727558849</v>
      </c>
      <c r="CH82" s="8">
        <f t="shared" si="1024"/>
        <v>16530.264669831358</v>
      </c>
      <c r="CI82" s="8">
        <f t="shared" si="1024"/>
        <v>15459.287597111936</v>
      </c>
      <c r="CJ82" s="8">
        <f t="shared" si="1024"/>
        <v>14067.676556411707</v>
      </c>
    </row>
    <row r="83" spans="1:88" s="4" customFormat="1" ht="8.25" customHeight="1" x14ac:dyDescent="0.25">
      <c r="A83" s="35"/>
      <c r="B83" s="11"/>
      <c r="C83" s="86"/>
      <c r="D83" s="86"/>
      <c r="E83" s="86"/>
      <c r="F83" s="84"/>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row>
    <row r="84" spans="1:88" s="4" customFormat="1" x14ac:dyDescent="0.25">
      <c r="A84" s="105"/>
      <c r="B84" s="45"/>
      <c r="C84" s="106"/>
      <c r="D84" s="106"/>
      <c r="E84" s="106"/>
      <c r="F84" s="107"/>
      <c r="G84" s="7"/>
      <c r="H84" s="7"/>
      <c r="I84" s="7"/>
      <c r="J84" s="7"/>
      <c r="K84" s="7"/>
      <c r="L84" s="7"/>
      <c r="M84" s="7"/>
      <c r="N84" s="7"/>
      <c r="O84" s="7"/>
      <c r="P84" s="7"/>
      <c r="Q84" s="108">
        <v>0</v>
      </c>
      <c r="R84" s="7"/>
      <c r="S84" s="7"/>
      <c r="T84" s="7"/>
      <c r="U84" s="7"/>
      <c r="V84" s="7"/>
      <c r="W84" s="109">
        <f>6583255-343874</f>
        <v>6239381</v>
      </c>
      <c r="X84" s="7"/>
      <c r="Y84" s="7"/>
      <c r="Z84" s="7"/>
      <c r="AA84" s="7"/>
      <c r="AB84" s="7"/>
      <c r="AC84" s="7"/>
      <c r="AD84" s="7"/>
      <c r="AE84" s="7"/>
      <c r="AF84" s="7"/>
      <c r="AG84" s="7"/>
      <c r="AH84" s="7"/>
      <c r="AI84" s="7"/>
      <c r="AJ84" s="97">
        <f>10195155.1942426-100000-613446.594539144</f>
        <v>9481708.5997034572</v>
      </c>
      <c r="AK84" s="7"/>
      <c r="AL84" s="7"/>
      <c r="AM84" s="7"/>
      <c r="AN84" s="7"/>
      <c r="AO84" s="189">
        <v>-171934.79257672251</v>
      </c>
      <c r="AP84" s="7"/>
      <c r="AQ84" s="7"/>
      <c r="AR84" s="7"/>
      <c r="AS84" s="7"/>
      <c r="AT84" s="7"/>
      <c r="AU84" s="97">
        <f>12767185.73-1019499.3</f>
        <v>11747686.43</v>
      </c>
      <c r="AV84" s="7"/>
      <c r="AW84" s="97">
        <v>-197.32</v>
      </c>
      <c r="AX84" s="7"/>
      <c r="AY84" s="97">
        <f>10734309.9</f>
        <v>10734309.9</v>
      </c>
      <c r="AZ84" s="97">
        <v>-157.21308605992454</v>
      </c>
      <c r="BA84" s="7"/>
      <c r="BB84" s="97">
        <v>354606.85</v>
      </c>
      <c r="BC84" s="7"/>
      <c r="BD84" s="7"/>
      <c r="BE84" s="97">
        <v>29539.24</v>
      </c>
      <c r="BF84" s="97">
        <v>-997226.51</v>
      </c>
      <c r="BG84" s="7"/>
      <c r="BH84" s="97">
        <f>-28125.73-110893.04</f>
        <v>-139018.76999999999</v>
      </c>
      <c r="BI84" s="7"/>
      <c r="BJ84" s="7"/>
      <c r="BK84" s="97">
        <f>10301.6+11930863.46</f>
        <v>11941165.060000001</v>
      </c>
      <c r="BL84" s="7"/>
      <c r="BM84" s="7"/>
      <c r="BN84" s="97">
        <f>-6228.48-115055.33</f>
        <v>-121283.81</v>
      </c>
      <c r="BO84" s="7"/>
      <c r="BP84" s="7"/>
      <c r="BQ84" s="97">
        <f>-463892.83+59150.91</f>
        <v>-404741.92000000004</v>
      </c>
      <c r="BR84" s="7"/>
      <c r="BS84" s="7"/>
      <c r="BT84" s="97">
        <f>-112664.72</f>
        <v>-112664.72</v>
      </c>
      <c r="BU84" s="7"/>
      <c r="BV84" s="7"/>
      <c r="BW84" s="97">
        <v>12575907.120000001</v>
      </c>
      <c r="BX84" s="7"/>
      <c r="BY84" s="7"/>
      <c r="BZ84" s="97">
        <v>105980.26999999999</v>
      </c>
      <c r="CA84" s="7"/>
      <c r="CB84" s="7"/>
      <c r="CC84" s="97">
        <v>54546.19</v>
      </c>
      <c r="CD84" s="97">
        <f>-66419.05</f>
        <v>-66419.05</v>
      </c>
      <c r="CE84" s="7"/>
      <c r="CF84" s="97">
        <v>-54611.63</v>
      </c>
      <c r="CG84" s="7"/>
      <c r="CH84" s="7"/>
      <c r="CI84" s="7"/>
      <c r="CJ84" s="7"/>
    </row>
    <row r="85" spans="1:88" x14ac:dyDescent="0.25">
      <c r="A85" s="278" t="s">
        <v>71</v>
      </c>
      <c r="B85" s="45" t="s">
        <v>64</v>
      </c>
      <c r="C85" s="82"/>
      <c r="D85" s="82"/>
      <c r="E85" s="82"/>
      <c r="F85" s="53"/>
      <c r="G85" s="53"/>
      <c r="H85" s="53"/>
      <c r="I85" s="53"/>
      <c r="J85" s="53"/>
      <c r="K85" s="53"/>
      <c r="L85" s="53"/>
      <c r="M85" s="53"/>
      <c r="N85" s="53"/>
      <c r="O85" s="53"/>
      <c r="P85" s="53"/>
      <c r="Q85" s="53"/>
      <c r="R85" s="53"/>
      <c r="S85" s="53"/>
      <c r="T85" s="53"/>
      <c r="U85" s="53"/>
      <c r="V85" s="53"/>
      <c r="W85" s="53"/>
      <c r="X85" s="53"/>
      <c r="Y85" s="53"/>
      <c r="Z85" s="53"/>
      <c r="AA85" s="53"/>
      <c r="AB85" s="53"/>
      <c r="AC85" s="101">
        <f t="shared" ref="AC85:AN85" si="1025">6239380.68/12</f>
        <v>519948.38999999996</v>
      </c>
      <c r="AD85" s="53">
        <f t="shared" si="1025"/>
        <v>519948.38999999996</v>
      </c>
      <c r="AE85" s="53">
        <f t="shared" si="1025"/>
        <v>519948.38999999996</v>
      </c>
      <c r="AF85" s="53">
        <f t="shared" si="1025"/>
        <v>519948.38999999996</v>
      </c>
      <c r="AG85" s="53">
        <f t="shared" si="1025"/>
        <v>519948.38999999996</v>
      </c>
      <c r="AH85" s="53">
        <f t="shared" si="1025"/>
        <v>519948.38999999996</v>
      </c>
      <c r="AI85" s="53">
        <f t="shared" si="1025"/>
        <v>519948.38999999996</v>
      </c>
      <c r="AJ85" s="53">
        <f>6239380.68/12</f>
        <v>519948.38999999996</v>
      </c>
      <c r="AK85" s="53">
        <f t="shared" si="1025"/>
        <v>519948.38999999996</v>
      </c>
      <c r="AL85" s="53">
        <f t="shared" si="1025"/>
        <v>519948.38999999996</v>
      </c>
      <c r="AM85" s="53">
        <f t="shared" si="1025"/>
        <v>519948.38999999996</v>
      </c>
      <c r="AN85" s="53">
        <f t="shared" si="1025"/>
        <v>519948.38999999996</v>
      </c>
      <c r="AO85" s="53">
        <f t="shared" ref="AO85:AZ85" si="1026">(9481709-19830)/12</f>
        <v>788489.91666666663</v>
      </c>
      <c r="AP85" s="53">
        <f t="shared" si="1026"/>
        <v>788489.91666666663</v>
      </c>
      <c r="AQ85" s="53">
        <f t="shared" si="1026"/>
        <v>788489.91666666663</v>
      </c>
      <c r="AR85" s="53">
        <f t="shared" si="1026"/>
        <v>788489.91666666663</v>
      </c>
      <c r="AS85" s="53">
        <f t="shared" si="1026"/>
        <v>788489.91666666663</v>
      </c>
      <c r="AT85" s="53">
        <f t="shared" si="1026"/>
        <v>788489.91666666663</v>
      </c>
      <c r="AU85" s="53">
        <f t="shared" si="1026"/>
        <v>788489.91666666663</v>
      </c>
      <c r="AV85" s="53">
        <f t="shared" si="1026"/>
        <v>788489.91666666663</v>
      </c>
      <c r="AW85" s="53">
        <f t="shared" si="1026"/>
        <v>788489.91666666663</v>
      </c>
      <c r="AX85" s="53">
        <f t="shared" si="1026"/>
        <v>788489.91666666663</v>
      </c>
      <c r="AY85" s="53">
        <f t="shared" si="1026"/>
        <v>788489.91666666663</v>
      </c>
      <c r="AZ85" s="53">
        <f t="shared" si="1026"/>
        <v>788489.91666666663</v>
      </c>
      <c r="BA85" s="53">
        <f t="shared" ref="BA85:BL85" si="1027">11747489/12</f>
        <v>978957.41666666663</v>
      </c>
      <c r="BB85" s="53">
        <f t="shared" si="1027"/>
        <v>978957.41666666663</v>
      </c>
      <c r="BC85" s="53">
        <f t="shared" si="1027"/>
        <v>978957.41666666663</v>
      </c>
      <c r="BD85" s="53">
        <f t="shared" si="1027"/>
        <v>978957.41666666663</v>
      </c>
      <c r="BE85" s="53">
        <f>11747489/12</f>
        <v>978957.41666666663</v>
      </c>
      <c r="BF85" s="53">
        <f t="shared" si="1027"/>
        <v>978957.41666666663</v>
      </c>
      <c r="BG85" s="53">
        <f t="shared" si="1027"/>
        <v>978957.41666666663</v>
      </c>
      <c r="BH85" s="53">
        <f t="shared" si="1027"/>
        <v>978957.41666666663</v>
      </c>
      <c r="BI85" s="53">
        <f t="shared" si="1027"/>
        <v>978957.41666666663</v>
      </c>
      <c r="BJ85" s="53">
        <f t="shared" si="1027"/>
        <v>978957.41666666663</v>
      </c>
      <c r="BK85" s="53">
        <f t="shared" si="1027"/>
        <v>978957.41666666663</v>
      </c>
      <c r="BL85" s="53">
        <f t="shared" si="1027"/>
        <v>978957.41666666663</v>
      </c>
      <c r="BM85" s="53">
        <f t="shared" ref="BM85:BX85" si="1028">9982211/12</f>
        <v>831850.91666666663</v>
      </c>
      <c r="BN85" s="53">
        <f t="shared" si="1028"/>
        <v>831850.91666666663</v>
      </c>
      <c r="BO85" s="53">
        <f t="shared" si="1028"/>
        <v>831850.91666666663</v>
      </c>
      <c r="BP85" s="53">
        <f t="shared" si="1028"/>
        <v>831850.91666666663</v>
      </c>
      <c r="BQ85" s="53">
        <f t="shared" si="1028"/>
        <v>831850.91666666663</v>
      </c>
      <c r="BR85" s="53">
        <f t="shared" si="1028"/>
        <v>831850.91666666663</v>
      </c>
      <c r="BS85" s="53">
        <f t="shared" si="1028"/>
        <v>831850.91666666663</v>
      </c>
      <c r="BT85" s="53">
        <f t="shared" si="1028"/>
        <v>831850.91666666663</v>
      </c>
      <c r="BU85" s="53">
        <f t="shared" si="1028"/>
        <v>831850.91666666663</v>
      </c>
      <c r="BV85" s="53">
        <f t="shared" si="1028"/>
        <v>831850.91666666663</v>
      </c>
      <c r="BW85" s="53">
        <f t="shared" si="1028"/>
        <v>831850.91666666663</v>
      </c>
      <c r="BX85" s="53">
        <f t="shared" si="1028"/>
        <v>831850.91666666663</v>
      </c>
      <c r="BY85" s="53">
        <f t="shared" ref="BY85:CJ85" si="1029">11302475/12</f>
        <v>941872.91666666663</v>
      </c>
      <c r="BZ85" s="53">
        <f t="shared" si="1029"/>
        <v>941872.91666666663</v>
      </c>
      <c r="CA85" s="53">
        <f t="shared" si="1029"/>
        <v>941872.91666666663</v>
      </c>
      <c r="CB85" s="53">
        <f t="shared" si="1029"/>
        <v>941872.91666666663</v>
      </c>
      <c r="CC85" s="53">
        <f t="shared" si="1029"/>
        <v>941872.91666666663</v>
      </c>
      <c r="CD85" s="53">
        <f t="shared" si="1029"/>
        <v>941872.91666666663</v>
      </c>
      <c r="CE85" s="53">
        <f t="shared" si="1029"/>
        <v>941872.91666666663</v>
      </c>
      <c r="CF85" s="53">
        <f t="shared" si="1029"/>
        <v>941872.91666666663</v>
      </c>
      <c r="CG85" s="53">
        <f t="shared" si="1029"/>
        <v>941872.91666666663</v>
      </c>
      <c r="CH85" s="53">
        <f t="shared" si="1029"/>
        <v>941872.91666666663</v>
      </c>
      <c r="CI85" s="53">
        <f t="shared" si="1029"/>
        <v>941872.91666666663</v>
      </c>
      <c r="CJ85" s="53">
        <f t="shared" si="1029"/>
        <v>941872.91666666663</v>
      </c>
    </row>
    <row r="86" spans="1:88" x14ac:dyDescent="0.25">
      <c r="A86" s="278"/>
      <c r="B86" s="45" t="s">
        <v>65</v>
      </c>
      <c r="C86" s="81"/>
      <c r="D86" s="81"/>
      <c r="E86" s="81"/>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285104.73</v>
      </c>
      <c r="AD86" s="21">
        <v>522237.53</v>
      </c>
      <c r="AE86" s="21">
        <v>417802.47</v>
      </c>
      <c r="AF86" s="21">
        <v>410351.7</v>
      </c>
      <c r="AG86" s="21">
        <v>482532.64</v>
      </c>
      <c r="AH86" s="21">
        <v>608996.41</v>
      </c>
      <c r="AI86" s="21">
        <v>606777.69999999995</v>
      </c>
      <c r="AJ86" s="21">
        <v>608116.79</v>
      </c>
      <c r="AK86" s="21">
        <v>477518.56</v>
      </c>
      <c r="AL86" s="21">
        <v>427851.21</v>
      </c>
      <c r="AM86" s="21">
        <v>515247.16</v>
      </c>
      <c r="AN86" s="21">
        <v>600539.75</v>
      </c>
      <c r="AO86" s="21">
        <v>2037727.16</v>
      </c>
      <c r="AP86" s="21">
        <v>795668.03</v>
      </c>
      <c r="AQ86" s="21">
        <v>562116.91</v>
      </c>
      <c r="AR86" s="21">
        <v>655732.05000000005</v>
      </c>
      <c r="AS86" s="21">
        <v>784339.36</v>
      </c>
      <c r="AT86" s="21">
        <v>965777.55</v>
      </c>
      <c r="AU86" s="21">
        <v>941053.79</v>
      </c>
      <c r="AV86" s="21">
        <v>844973.28</v>
      </c>
      <c r="AW86" s="21">
        <v>672120.46</v>
      </c>
      <c r="AX86" s="21">
        <v>651071.71</v>
      </c>
      <c r="AY86" s="21">
        <v>829595.91</v>
      </c>
      <c r="AZ86" s="21">
        <v>917718.34</v>
      </c>
      <c r="BA86" s="21">
        <v>858978.64</v>
      </c>
      <c r="BB86" s="21">
        <v>827967.6</v>
      </c>
      <c r="BC86" s="21">
        <v>759847.63</v>
      </c>
      <c r="BD86" s="21">
        <v>704739.31</v>
      </c>
      <c r="BE86" s="21">
        <v>844017.97</v>
      </c>
      <c r="BF86" s="21">
        <v>990512.63</v>
      </c>
      <c r="BG86" s="21">
        <v>1036497.57</v>
      </c>
      <c r="BH86" s="21">
        <v>995026.87</v>
      </c>
      <c r="BI86" s="21">
        <v>807105.04</v>
      </c>
      <c r="BJ86" s="21">
        <v>734222.77</v>
      </c>
      <c r="BK86" s="21">
        <v>881419.64</v>
      </c>
      <c r="BL86" s="21">
        <v>1047626.42</v>
      </c>
      <c r="BM86" s="21">
        <v>945928.5</v>
      </c>
      <c r="BN86" s="21">
        <v>725283.19</v>
      </c>
      <c r="BO86" s="21">
        <v>692221.78</v>
      </c>
      <c r="BP86" s="21">
        <v>675133.23</v>
      </c>
      <c r="BQ86" s="21">
        <v>821047.96</v>
      </c>
      <c r="BR86" s="21">
        <v>999521.83</v>
      </c>
      <c r="BS86" s="21">
        <v>928737.88</v>
      </c>
      <c r="BT86" s="21">
        <v>897213.47</v>
      </c>
      <c r="BU86" s="21">
        <v>744913.34</v>
      </c>
      <c r="BV86" s="21">
        <v>652314.05000000005</v>
      </c>
      <c r="BW86" s="21">
        <v>818885.44</v>
      </c>
      <c r="BX86" s="21">
        <v>999344.22</v>
      </c>
      <c r="BY86" s="21">
        <v>1013237.58</v>
      </c>
      <c r="BZ86" s="21">
        <v>957731.49</v>
      </c>
      <c r="CA86" s="21">
        <v>750906.89</v>
      </c>
      <c r="CB86" s="21">
        <v>738990.69</v>
      </c>
      <c r="CC86" s="21">
        <v>850814.44</v>
      </c>
      <c r="CD86" s="21">
        <v>1177273.58</v>
      </c>
      <c r="CE86" s="21">
        <v>1172236.33</v>
      </c>
      <c r="CF86" s="21">
        <v>1011798.45</v>
      </c>
      <c r="CG86" s="21">
        <v>896220.12</v>
      </c>
      <c r="CH86" s="108">
        <f>SUM('[1]EOR (M3)'!$BH$29:$BH$33)</f>
        <v>834765.1991416798</v>
      </c>
      <c r="CI86" s="108">
        <f>SUM('[1]EOR (M3)'!$BI$29:$BI$33)</f>
        <v>970306.64849843283</v>
      </c>
      <c r="CJ86" s="108">
        <f>SUM('[1]EOR (M3)'!$BJ$29:$BJ$33)</f>
        <v>1127373.625035835</v>
      </c>
    </row>
    <row r="87" spans="1:88" x14ac:dyDescent="0.25">
      <c r="A87" s="278"/>
      <c r="B87" s="45" t="s">
        <v>66</v>
      </c>
      <c r="C87" s="81"/>
      <c r="D87" s="81"/>
      <c r="E87" s="81"/>
      <c r="F87" s="8"/>
      <c r="G87" s="8"/>
      <c r="H87" s="8"/>
      <c r="I87" s="8"/>
      <c r="J87" s="8"/>
      <c r="K87" s="8"/>
      <c r="L87" s="8"/>
      <c r="M87" s="8"/>
      <c r="N87" s="8" t="str">
        <f>IF(OR(N85="",N86=""),"",N85-N86)</f>
        <v/>
      </c>
      <c r="O87" s="8" t="str">
        <f>IF(OR(O85="",O86=""),"",O85-O86)</f>
        <v/>
      </c>
      <c r="P87" s="8" t="str">
        <f>IF(OR(P85="",P86=""),"",P85-P86)</f>
        <v/>
      </c>
      <c r="Q87" s="8" t="str">
        <f t="shared" ref="Q87:AA87" si="1030">IF(OR(Q85="",Q86=""),"",Q85-Q86)</f>
        <v/>
      </c>
      <c r="R87" s="8" t="str">
        <f t="shared" si="1030"/>
        <v/>
      </c>
      <c r="S87" s="8" t="str">
        <f t="shared" si="1030"/>
        <v/>
      </c>
      <c r="T87" s="8" t="str">
        <f t="shared" si="1030"/>
        <v/>
      </c>
      <c r="U87" s="8" t="str">
        <f t="shared" si="1030"/>
        <v/>
      </c>
      <c r="V87" s="8" t="str">
        <f t="shared" si="1030"/>
        <v/>
      </c>
      <c r="W87" s="8" t="str">
        <f t="shared" si="1030"/>
        <v/>
      </c>
      <c r="X87" s="8" t="str">
        <f t="shared" si="1030"/>
        <v/>
      </c>
      <c r="Y87" s="8" t="str">
        <f t="shared" si="1030"/>
        <v/>
      </c>
      <c r="Z87" s="8" t="str">
        <f t="shared" si="1030"/>
        <v/>
      </c>
      <c r="AA87" s="8" t="str">
        <f t="shared" si="1030"/>
        <v/>
      </c>
      <c r="AB87" s="8" t="str">
        <f>IF(OR(AB85="",AB86=""),"",AB85-AB86)</f>
        <v/>
      </c>
      <c r="AC87" s="7">
        <f>IF(OR(AC85="",AC86=""),"",AC85-AC86)</f>
        <v>234843.65999999997</v>
      </c>
      <c r="AD87" s="7">
        <f>IF(OR(AD85="",AD86=""),"",AD85-AD86)</f>
        <v>-2289.1400000000722</v>
      </c>
      <c r="AE87" s="7">
        <f t="shared" ref="AE87:AF87" si="1031">IF(OR(AE85="",AE86=""),"",AE85-AE86)</f>
        <v>102145.91999999998</v>
      </c>
      <c r="AF87" s="7">
        <f t="shared" si="1031"/>
        <v>109596.68999999994</v>
      </c>
      <c r="AG87" s="7">
        <f t="shared" ref="AG87:AV87" si="1032">IF(OR(AG85="",AG86=""),"",AG85-AG86)</f>
        <v>37415.749999999942</v>
      </c>
      <c r="AH87" s="7">
        <f t="shared" si="1032"/>
        <v>-89048.020000000077</v>
      </c>
      <c r="AI87" s="7">
        <f t="shared" si="1032"/>
        <v>-86829.31</v>
      </c>
      <c r="AJ87" s="7">
        <f>IF(OR(AJ85="",AJ86=""),"",AJ85-AJ86)</f>
        <v>-88168.400000000081</v>
      </c>
      <c r="AK87" s="7">
        <f>IF(OR(AK85="",AK86=""),"",AK85-AK86)</f>
        <v>42429.829999999958</v>
      </c>
      <c r="AL87" s="7">
        <f t="shared" si="1032"/>
        <v>92097.179999999935</v>
      </c>
      <c r="AM87" s="7">
        <f t="shared" si="1032"/>
        <v>4701.2299999999814</v>
      </c>
      <c r="AN87" s="7">
        <f>IF(OR(AN85="",AN86=""),"",AN85-AN86)</f>
        <v>-80591.360000000044</v>
      </c>
      <c r="AO87" s="7">
        <f>IF(OR(AO85="",AO86=""),"",AO85-AO86)</f>
        <v>-1249237.2433333332</v>
      </c>
      <c r="AP87" s="7">
        <f t="shared" si="1032"/>
        <v>-7178.1133333334001</v>
      </c>
      <c r="AQ87" s="7">
        <f t="shared" si="1032"/>
        <v>226373.0066666666</v>
      </c>
      <c r="AR87" s="7">
        <f t="shared" si="1032"/>
        <v>132757.86666666658</v>
      </c>
      <c r="AS87" s="7">
        <f t="shared" si="1032"/>
        <v>4150.5566666666418</v>
      </c>
      <c r="AT87" s="7">
        <f t="shared" si="1032"/>
        <v>-177287.63333333342</v>
      </c>
      <c r="AU87" s="7">
        <f>IF(OR(AU85="",AU86=""),"",AU85-AU86)</f>
        <v>-152563.87333333341</v>
      </c>
      <c r="AV87" s="7">
        <f t="shared" si="1032"/>
        <v>-56483.3633333334</v>
      </c>
      <c r="AW87" s="7">
        <f>IF(OR(AW85="",AW86=""),"",AW85-AW86)</f>
        <v>116369.45666666667</v>
      </c>
      <c r="AX87" s="7">
        <f t="shared" ref="AX87" si="1033">IF(OR(AX85="",AX86=""),"",AX85-AX86)</f>
        <v>137418.20666666667</v>
      </c>
      <c r="AY87" s="7">
        <f>IF(OR(AY85="",AY86=""),"",AY85-AY86)</f>
        <v>-41105.993333333405</v>
      </c>
      <c r="AZ87" s="7">
        <f t="shared" ref="AZ87:BA87" si="1034">IF(OR(AZ85="",AZ86=""),"",AZ85-AZ86)</f>
        <v>-129228.42333333334</v>
      </c>
      <c r="BA87" s="7">
        <f t="shared" si="1034"/>
        <v>119978.77666666661</v>
      </c>
      <c r="BB87" s="7">
        <f>IF(OR(BB85="",BB86=""),"",BB85-BB86)</f>
        <v>150989.81666666665</v>
      </c>
      <c r="BC87" s="7">
        <f t="shared" ref="BC87:BE87" si="1035">IF(OR(BC85="",BC86=""),"",BC85-BC86)</f>
        <v>219109.78666666662</v>
      </c>
      <c r="BD87" s="7">
        <f t="shared" si="1035"/>
        <v>274218.10666666657</v>
      </c>
      <c r="BE87" s="7">
        <f t="shared" si="1035"/>
        <v>134939.44666666666</v>
      </c>
      <c r="BF87" s="7">
        <f>IF(OR(BF85="",BF86=""),"",BF85-BF86)</f>
        <v>-11555.213333333377</v>
      </c>
      <c r="BG87" s="7">
        <f t="shared" ref="BG87:BI87" si="1036">IF(OR(BG85="",BG86=""),"",BG85-BG86)</f>
        <v>-57540.153333333321</v>
      </c>
      <c r="BH87" s="7">
        <f t="shared" si="1036"/>
        <v>-16069.453333333367</v>
      </c>
      <c r="BI87" s="7">
        <f t="shared" si="1036"/>
        <v>171852.37666666659</v>
      </c>
      <c r="BJ87" s="7">
        <f t="shared" ref="BJ87:BO87" si="1037">IF(OR(BJ85="",BJ86=""),"",BJ85-BJ86)</f>
        <v>244734.64666666661</v>
      </c>
      <c r="BK87" s="7">
        <f>IF(OR(BK85="",BK86=""),"",BK85-BK86)</f>
        <v>97537.776666666614</v>
      </c>
      <c r="BL87" s="7">
        <f t="shared" si="1037"/>
        <v>-68669.003333333414</v>
      </c>
      <c r="BM87" s="7">
        <f t="shared" si="1037"/>
        <v>-114077.58333333337</v>
      </c>
      <c r="BN87" s="7">
        <f>IF(OR(BN85="",BN86=""),"",BN85-BN86)</f>
        <v>106567.72666666668</v>
      </c>
      <c r="BO87" s="7">
        <f t="shared" si="1037"/>
        <v>139629.1366666666</v>
      </c>
      <c r="BP87" s="7">
        <f t="shared" ref="BP87" si="1038">IF(OR(BP85="",BP86=""),"",BP85-BP86)</f>
        <v>156717.68666666665</v>
      </c>
      <c r="BQ87" s="7">
        <f>IF(OR(BQ85="",BQ86=""),"",BQ85-BQ86)</f>
        <v>10802.956666666665</v>
      </c>
      <c r="BR87" s="7">
        <f t="shared" ref="BR87:BV87" si="1039">IF(OR(BR85="",BR86=""),"",BR85-BR86)</f>
        <v>-167670.91333333333</v>
      </c>
      <c r="BS87" s="7">
        <f t="shared" si="1039"/>
        <v>-96886.963333333377</v>
      </c>
      <c r="BT87" s="7">
        <f>IF(OR(BT85="",BT86=""),"",BT85-BT86)</f>
        <v>-65362.553333333344</v>
      </c>
      <c r="BU87" s="7">
        <f t="shared" si="1039"/>
        <v>86937.57666666666</v>
      </c>
      <c r="BV87" s="7">
        <f t="shared" si="1039"/>
        <v>179536.86666666658</v>
      </c>
      <c r="BW87" s="7">
        <f t="shared" ref="BW87:CB87" si="1040">IF(OR(BW85="",BW86=""),"",BW85-BW86)</f>
        <v>12965.476666666684</v>
      </c>
      <c r="BX87" s="7">
        <f t="shared" si="1040"/>
        <v>-167493.30333333334</v>
      </c>
      <c r="BY87" s="7">
        <f t="shared" si="1040"/>
        <v>-71364.66333333333</v>
      </c>
      <c r="BZ87" s="7">
        <f t="shared" si="1040"/>
        <v>-15858.573333333363</v>
      </c>
      <c r="CA87" s="7">
        <f t="shared" si="1040"/>
        <v>190966.02666666661</v>
      </c>
      <c r="CB87" s="7">
        <f t="shared" si="1040"/>
        <v>202882.22666666668</v>
      </c>
      <c r="CC87" s="7">
        <f t="shared" ref="CC87:CD87" si="1041">IF(OR(CC85="",CC86=""),"",CC85-CC86)</f>
        <v>91058.476666666684</v>
      </c>
      <c r="CD87" s="7">
        <f t="shared" si="1041"/>
        <v>-235400.66333333345</v>
      </c>
      <c r="CE87" s="7">
        <f t="shared" ref="CE87:CF87" si="1042">IF(OR(CE85="",CE86=""),"",CE85-CE86)</f>
        <v>-230363.41333333345</v>
      </c>
      <c r="CF87" s="7">
        <f t="shared" si="1042"/>
        <v>-69925.533333333326</v>
      </c>
      <c r="CG87" s="7">
        <f t="shared" ref="CG87:CH87" si="1043">IF(OR(CG85="",CG86=""),"",CG85-CG86)</f>
        <v>45652.796666666633</v>
      </c>
      <c r="CH87" s="7">
        <f t="shared" si="1043"/>
        <v>107107.71752498683</v>
      </c>
      <c r="CI87" s="7">
        <f t="shared" ref="CI87:CJ87" si="1044">IF(OR(CI85="",CI86=""),"",CI85-CI86)</f>
        <v>-28433.731831766199</v>
      </c>
      <c r="CJ87" s="7">
        <f t="shared" si="1044"/>
        <v>-185500.70836916834</v>
      </c>
    </row>
    <row r="88" spans="1:88" x14ac:dyDescent="0.25">
      <c r="A88" s="278"/>
      <c r="B88" s="45" t="s">
        <v>3</v>
      </c>
      <c r="C88" s="83"/>
      <c r="D88" s="83"/>
      <c r="E88" s="83"/>
      <c r="F88" s="54"/>
      <c r="G88" s="54"/>
      <c r="H88" s="54"/>
      <c r="I88" s="54"/>
      <c r="J88" s="54"/>
      <c r="K88" s="93"/>
      <c r="L88" s="54"/>
      <c r="M88" s="54"/>
      <c r="N88" s="54"/>
      <c r="O88" s="54" t="str">
        <f t="shared" ref="O88:AA88" si="1045">IF(O87="","",O19)</f>
        <v/>
      </c>
      <c r="P88" s="54" t="str">
        <f t="shared" si="1045"/>
        <v/>
      </c>
      <c r="Q88" s="54" t="str">
        <f t="shared" si="1045"/>
        <v/>
      </c>
      <c r="R88" s="54" t="str">
        <f t="shared" si="1045"/>
        <v/>
      </c>
      <c r="S88" s="54" t="str">
        <f t="shared" si="1045"/>
        <v/>
      </c>
      <c r="T88" s="54" t="str">
        <f t="shared" si="1045"/>
        <v/>
      </c>
      <c r="U88" s="54" t="str">
        <f t="shared" si="1045"/>
        <v/>
      </c>
      <c r="V88" s="54" t="str">
        <f t="shared" si="1045"/>
        <v/>
      </c>
      <c r="W88" s="54" t="str">
        <f t="shared" si="1045"/>
        <v/>
      </c>
      <c r="X88" s="54" t="str">
        <f t="shared" si="1045"/>
        <v/>
      </c>
      <c r="Y88" s="54" t="str">
        <f t="shared" si="1045"/>
        <v/>
      </c>
      <c r="Z88" s="54" t="str">
        <f t="shared" si="1045"/>
        <v/>
      </c>
      <c r="AA88" s="54" t="str">
        <f t="shared" si="1045"/>
        <v/>
      </c>
      <c r="AB88" s="54" t="str">
        <f>IF(AB87="","",AB19)</f>
        <v/>
      </c>
      <c r="AC88" s="54">
        <f>IF(AC87="","",AC9)</f>
        <v>2.3221700000000001E-3</v>
      </c>
      <c r="AD88" s="54">
        <f>IF(AD87="","",AD9)</f>
        <v>2.1367399999999998E-3</v>
      </c>
      <c r="AE88" s="54">
        <f t="shared" ref="AE88:AF88" si="1046">IF(AE87="","",AE9)</f>
        <v>2.2512299999999999E-3</v>
      </c>
      <c r="AF88" s="54">
        <f t="shared" si="1046"/>
        <v>2.2427200000000001E-3</v>
      </c>
      <c r="AG88" s="54">
        <f t="shared" ref="AG88:AV88" si="1047">IF(AG87="","",AG9)</f>
        <v>2.01659E-3</v>
      </c>
      <c r="AH88" s="54">
        <f t="shared" si="1047"/>
        <v>1.3954900000000001E-3</v>
      </c>
      <c r="AI88" s="54">
        <f t="shared" si="1047"/>
        <v>2.0509899999999999E-3</v>
      </c>
      <c r="AJ88" s="54">
        <f>IF(AJ87="","",AJ9)</f>
        <v>1.9323299999999999E-3</v>
      </c>
      <c r="AK88" s="54">
        <f>IF(AK87="","",AK9)</f>
        <v>1.5E-3</v>
      </c>
      <c r="AL88" s="54">
        <f t="shared" si="1047"/>
        <v>1.5320900000000001E-3</v>
      </c>
      <c r="AM88" s="54">
        <f t="shared" si="1047"/>
        <v>2.6046400000000001E-3</v>
      </c>
      <c r="AN88" s="54">
        <f t="shared" si="1047"/>
        <v>2.3444999999999998E-3</v>
      </c>
      <c r="AO88" s="54">
        <f>IF(AO87="","",AO9)</f>
        <v>2.9584899999999998E-3</v>
      </c>
      <c r="AP88" s="54">
        <f t="shared" si="1047"/>
        <v>6.8829599999999996E-3</v>
      </c>
      <c r="AQ88" s="54">
        <f t="shared" si="1047"/>
        <v>6.0041599999999997E-3</v>
      </c>
      <c r="AR88" s="54">
        <f t="shared" si="1047"/>
        <v>9.4970499999999999E-3</v>
      </c>
      <c r="AS88" s="54">
        <f t="shared" si="1047"/>
        <v>1.4858659999999999E-2</v>
      </c>
      <c r="AT88" s="54">
        <f t="shared" si="1047"/>
        <v>2.0566899999999999E-2</v>
      </c>
      <c r="AU88" s="54">
        <f>IF(AU87="","",AU9)</f>
        <v>2.564054E-2</v>
      </c>
      <c r="AV88" s="54">
        <f t="shared" si="1047"/>
        <v>2.8416960000000002E-2</v>
      </c>
      <c r="AW88" s="54">
        <f>IF(AW87="","",AW9)</f>
        <v>3.4701200000000001E-2</v>
      </c>
      <c r="AX88" s="54">
        <f t="shared" ref="AX88:AY88" si="1048">IF(AX87="","",AX9)</f>
        <v>4.286098E-2</v>
      </c>
      <c r="AY88" s="54">
        <f t="shared" si="1048"/>
        <v>4.617603E-2</v>
      </c>
      <c r="AZ88" s="54">
        <f t="shared" ref="AZ88:BA88" si="1049">IF(AZ87="","",AZ9)</f>
        <v>4.7842519999999999E-2</v>
      </c>
      <c r="BA88" s="54">
        <f t="shared" si="1049"/>
        <v>4.847945E-2</v>
      </c>
      <c r="BB88" s="54">
        <f t="shared" ref="BB88:BC88" si="1050">IF(BB87="","",BB9)</f>
        <v>4.9894139999999997E-2</v>
      </c>
      <c r="BC88" s="54">
        <f t="shared" si="1050"/>
        <v>5.2487209999999999E-2</v>
      </c>
      <c r="BD88" s="54">
        <f t="shared" ref="BD88:BE88" si="1051">IF(BD87="","",BD9)</f>
        <v>5.3267839534246943E-2</v>
      </c>
      <c r="BE88" s="54">
        <f t="shared" si="1051"/>
        <v>5.3948219999999998E-2</v>
      </c>
      <c r="BF88" s="54">
        <f t="shared" ref="BF88:BJ88" si="1052">IF(BF87="","",BF9)</f>
        <v>5.4426639999999998E-2</v>
      </c>
      <c r="BG88" s="54">
        <f t="shared" si="1052"/>
        <v>5.5204789999999997E-2</v>
      </c>
      <c r="BH88" s="54">
        <f t="shared" si="1052"/>
        <v>5.5351270000000001E-2</v>
      </c>
      <c r="BI88" s="54">
        <f t="shared" si="1052"/>
        <v>5.5174559999999997E-2</v>
      </c>
      <c r="BJ88" s="54">
        <f t="shared" si="1052"/>
        <v>5.5580579999999997E-2</v>
      </c>
      <c r="BK88" s="54">
        <f>IF(BK87="","",BK9)</f>
        <v>5.5475749999999997E-2</v>
      </c>
      <c r="BL88" s="54">
        <f t="shared" ref="BL88:BM88" si="1053">IF(BL87="","",BL9)</f>
        <v>5.3783249999999998E-2</v>
      </c>
      <c r="BM88" s="54">
        <f t="shared" si="1053"/>
        <v>5.377171E-2</v>
      </c>
      <c r="BN88" s="54">
        <f t="shared" ref="BN88:BS88" si="1054">IF(BN87="","",BN9)</f>
        <v>5.4286330000000001E-2</v>
      </c>
      <c r="BO88" s="54">
        <f t="shared" si="1054"/>
        <v>5.5001649999999999E-2</v>
      </c>
      <c r="BP88" s="54">
        <f t="shared" si="1054"/>
        <v>5.4899999999999997E-2</v>
      </c>
      <c r="BQ88" s="54">
        <f>IF(BQ87="","",BQ9)</f>
        <v>5.5527970000000003E-2</v>
      </c>
      <c r="BR88" s="54">
        <f t="shared" si="1054"/>
        <v>5.581407E-2</v>
      </c>
      <c r="BS88" s="54">
        <f t="shared" si="1054"/>
        <v>5.56397E-2</v>
      </c>
      <c r="BT88" s="54">
        <f t="shared" ref="BT88:BY88" si="1055">IF(BT87="","",BT9)</f>
        <v>5.3053490000000002E-2</v>
      </c>
      <c r="BU88" s="54">
        <f t="shared" si="1055"/>
        <v>4.9407439999999997E-2</v>
      </c>
      <c r="BV88" s="54">
        <f t="shared" si="1055"/>
        <v>4.84476E-2</v>
      </c>
      <c r="BW88" s="54">
        <f t="shared" si="1055"/>
        <v>4.6904139999999997E-2</v>
      </c>
      <c r="BX88" s="54">
        <f t="shared" si="1055"/>
        <v>4.5497750000000003E-2</v>
      </c>
      <c r="BY88" s="54">
        <f t="shared" si="1055"/>
        <v>4.5607639999999998E-2</v>
      </c>
      <c r="BZ88" s="54">
        <f t="shared" ref="BZ88:CA88" si="1056">IF(BZ87="","",BZ9)</f>
        <v>4.6190130000000003E-2</v>
      </c>
      <c r="CA88" s="54">
        <f t="shared" si="1056"/>
        <v>4.6179980000000002E-2</v>
      </c>
      <c r="CB88" s="54">
        <f t="shared" ref="CB88:CC88" si="1057">IF(CB87="","",CB9)</f>
        <v>4.5943270000000001E-2</v>
      </c>
      <c r="CC88" s="54">
        <f t="shared" si="1057"/>
        <v>4.5978989999999997E-2</v>
      </c>
      <c r="CD88" s="54">
        <f t="shared" ref="CD88:CE88" si="1058">IF(CD87="","",CD9)</f>
        <v>4.6030420000000002E-2</v>
      </c>
      <c r="CE88" s="54">
        <f t="shared" si="1058"/>
        <v>4.5683689999999999E-2</v>
      </c>
      <c r="CF88" s="54">
        <f t="shared" ref="CF88:CG88" si="1059">IF(CF87="","",CF9)</f>
        <v>4.4067750000000003E-2</v>
      </c>
      <c r="CG88" s="54">
        <f t="shared" si="1059"/>
        <v>4.1449880000000001E-2</v>
      </c>
      <c r="CH88" s="54">
        <f t="shared" ref="CH88:CI88" si="1060">IF(CH87="","",CH9)</f>
        <v>4.1449880000000001E-2</v>
      </c>
      <c r="CI88" s="54">
        <f t="shared" si="1060"/>
        <v>4.1449880000000001E-2</v>
      </c>
      <c r="CJ88" s="54">
        <f t="shared" ref="CJ88" si="1061">IF(CJ87="","",CJ9)</f>
        <v>4.1449880000000001E-2</v>
      </c>
    </row>
    <row r="89" spans="1:88" x14ac:dyDescent="0.25">
      <c r="A89" s="278"/>
      <c r="B89" s="45" t="s">
        <v>44</v>
      </c>
      <c r="C89" s="81"/>
      <c r="D89" s="81"/>
      <c r="E89" s="81"/>
      <c r="F89" s="8"/>
      <c r="G89" s="8"/>
      <c r="H89" s="8"/>
      <c r="I89" s="8"/>
      <c r="J89" s="8"/>
      <c r="K89" s="8"/>
      <c r="L89" s="8"/>
      <c r="M89" s="8"/>
      <c r="N89" s="8" t="str">
        <f>IF(OR(N88="",N87=""),"",(N87*N88)/12)</f>
        <v/>
      </c>
      <c r="O89" s="8"/>
      <c r="P89" s="8"/>
      <c r="Q89" s="8"/>
      <c r="R89" s="8"/>
      <c r="S89" s="8"/>
      <c r="T89" s="8"/>
      <c r="U89" s="8"/>
      <c r="V89" s="8"/>
      <c r="W89" s="8"/>
      <c r="X89" s="8"/>
      <c r="Y89" s="8"/>
      <c r="Z89" s="8"/>
      <c r="AA89" s="8"/>
      <c r="AB89" s="8"/>
      <c r="AC89" s="8">
        <f>IF(OR(AC88="",AC87=""),"",(AC87*AC88)/12)</f>
        <v>45.445575161850002</v>
      </c>
      <c r="AD89" s="8">
        <f>IF(OR(AD88="",AD87="",AC92=""),"",((AC92+AD87)*AD88)/12)</f>
        <v>41.417137536922588</v>
      </c>
      <c r="AE89" s="8">
        <f t="shared" ref="AE89:AF89" si="1062">IF(OR(AE88="",AE87="",AD92=""),"",((AD92+AE87)*AE88)/12)</f>
        <v>62.806934957159051</v>
      </c>
      <c r="AF89" s="8">
        <f t="shared" si="1062"/>
        <v>83.064143875482543</v>
      </c>
      <c r="AG89" s="8">
        <f t="shared" ref="AG89" si="1063">IF(OR(AG88="",AG87="",AF92=""),"",((AF92+AG87)*AG88)/12)</f>
        <v>80.99055877632199</v>
      </c>
      <c r="AH89" s="8">
        <f t="shared" ref="AH89" si="1064">IF(OR(AH88="",AH87="",AG92=""),"",((AG92+AH87)*AH88)/12)</f>
        <v>45.699807056250876</v>
      </c>
      <c r="AI89" s="8">
        <f t="shared" ref="AI89" si="1065">IF(OR(AI88="",AI87="",AH92=""),"",((AH92+AI87)*AI88)/12)</f>
        <v>52.333569170584276</v>
      </c>
      <c r="AJ89" s="8">
        <f>IF(OR(AJ88="",AJ87="",AI92=""),"",((AI92+AJ87)*AJ88)/12)</f>
        <v>35.116701313934492</v>
      </c>
      <c r="AK89" s="8">
        <f>IF(OR(AK88="",AK87="",AJ92=""),"",((AJ92+AK87)*AK88)/12)</f>
        <v>32.567981803481018</v>
      </c>
      <c r="AL89" s="8">
        <f t="shared" ref="AL89" si="1066">IF(OR(AL88="",AL87="",AK92=""),"",((AK92+AL87)*AL88)/12)</f>
        <v>45.027308292983584</v>
      </c>
      <c r="AM89" s="8">
        <f t="shared" ref="AM89" si="1067">IF(OR(AM88="",AM87="",AL92=""),"",((AL92+AM87)*AM88)/12)</f>
        <v>77.579171951312262</v>
      </c>
      <c r="AN89" s="8">
        <f t="shared" ref="AN89" si="1068">IF(OR(AN88="",AN87="",AM92=""),"",((AM92+AN87)*AN88)/12)</f>
        <v>54.100525163113389</v>
      </c>
      <c r="AO89" s="108">
        <f>IF(OR(AO88="",AO87="",AN92=""),"",((AN92+AO87-152105.77)*AO88)/12)</f>
        <v>-277.20628085990626</v>
      </c>
      <c r="AP89" s="8">
        <f t="shared" ref="AP89" si="1069">IF(OR(AP88="",AP87="",AO92=""),"",((AO92+AP87)*AP88)/12)</f>
        <v>-649.19972810315255</v>
      </c>
      <c r="AQ89" s="8">
        <f t="shared" ref="AQ89" si="1070">IF(OR(AQ88="",AQ87="",AP92=""),"",((AP92+AQ87)*AQ88)/12)</f>
        <v>-453.37129293710456</v>
      </c>
      <c r="AR89" s="8">
        <f t="shared" ref="AR89" si="1071">IF(OR(AR88="",AR87="",AQ92=""),"",((AQ92+AR87)*AR88)/12)</f>
        <v>-612.40923729421331</v>
      </c>
      <c r="AS89" s="8">
        <f t="shared" ref="AS89" si="1072">IF(OR(AS88="",AS87="",AR92=""),"",((AR92+AS87)*AS88)/12)</f>
        <v>-953.76711285401996</v>
      </c>
      <c r="AT89" s="8">
        <f t="shared" ref="AT89" si="1073">IF(OR(AT88="",AT87="",AS92=""),"",((AS92+AT87)*AT88)/12)</f>
        <v>-1625.664513627645</v>
      </c>
      <c r="AU89" s="8">
        <f>IF(OR(AU88="",AU87="",AT92=""),"",((AT92+AU87)*AU88)/12)</f>
        <v>-2356.1576002049355</v>
      </c>
      <c r="AV89" s="8">
        <f t="shared" ref="AV89" si="1074">IF(OR(AV88="",AV87="",AU92=""),"",((AU92+AV87)*AV88)/12)</f>
        <v>-2750.6247653984556</v>
      </c>
      <c r="AW89" s="8">
        <f>IF(OR(AW88="",AW87="",AV92=""),"",((AV92+AW87)*AW88)/12)</f>
        <v>-3030.3497581441843</v>
      </c>
      <c r="AX89" s="8">
        <f t="shared" ref="AX89" si="1075">IF(OR(AX88="",AX87="",AW92=""),"",((AW92+AX87)*AX88)/12)</f>
        <v>-3262.9188074422236</v>
      </c>
      <c r="AY89" s="8">
        <f>IF(OR(AY88="",AY87="",AX92=""),"",((AX92+AY87)*AY88)/12)</f>
        <v>-3686.0184734298941</v>
      </c>
      <c r="AZ89" s="8">
        <f>IF(OR(AZ88="",AZ87="",AY92=""),"",((AY92+AZ87+AZ84)*AZ88)/12)+AZ84</f>
        <v>-4506.8000087772234</v>
      </c>
      <c r="BA89" s="8">
        <f t="shared" ref="BA89:BC89" si="1076">IF(OR(BA88="",BA87="",AZ92=""),"",((AZ92+BA87)*BA88)/12)</f>
        <v>-3940.3565766519255</v>
      </c>
      <c r="BB89" s="8">
        <f t="shared" si="1076"/>
        <v>-3443.9321673760228</v>
      </c>
      <c r="BC89" s="8">
        <f t="shared" si="1076"/>
        <v>-2679.6100108595988</v>
      </c>
      <c r="BD89" s="8">
        <f t="shared" ref="BD89:BI89" si="1077">IF(OR(BD88="",BD87="",BC92=""),"",((BC92+BD87)*BD88)/12)</f>
        <v>-1514.1074445337099</v>
      </c>
      <c r="BE89" s="8">
        <f t="shared" si="1077"/>
        <v>-933.60856850551716</v>
      </c>
      <c r="BF89" s="8">
        <f>IF(OR(BF88="",BF87="",BE92=""),"",((BE92+BF87)*BF88)/12)</f>
        <v>-998.53165143904414</v>
      </c>
      <c r="BG89" s="8">
        <f t="shared" si="1077"/>
        <v>-1282.1092022540442</v>
      </c>
      <c r="BH89" s="8">
        <f t="shared" si="1077"/>
        <v>-1365.5470603277797</v>
      </c>
      <c r="BI89" s="8">
        <f t="shared" si="1077"/>
        <v>-577.30954081683433</v>
      </c>
      <c r="BJ89" s="8">
        <f t="shared" ref="BJ89:BP89" si="1078">IF(OR(BJ88="",BJ87="",BI92=""),"",((BI92+BJ87)*BJ88)/12)</f>
        <v>549.30933931049776</v>
      </c>
      <c r="BK89" s="8">
        <f t="shared" si="1078"/>
        <v>1001.7278473475031</v>
      </c>
      <c r="BL89" s="8">
        <f t="shared" si="1078"/>
        <v>667.88580730163005</v>
      </c>
      <c r="BM89" s="8">
        <f t="shared" si="1078"/>
        <v>159.55638854129958</v>
      </c>
      <c r="BN89" s="8">
        <f>IF(OR(BN88="",BN87="",BM92=""),"",((BM92+BN87)*BN88)/12)</f>
        <v>643.9027922380443</v>
      </c>
      <c r="BO89" s="8">
        <f t="shared" si="1078"/>
        <v>1295.3247542716842</v>
      </c>
      <c r="BP89" s="8">
        <f t="shared" si="1078"/>
        <v>2015.8403576807066</v>
      </c>
      <c r="BQ89" s="8">
        <f t="shared" ref="BQ89:BV89" si="1079">IF(OR(BQ88="",BQ87="",BP92=""),"",((BP92+BQ87)*BQ88)/12)</f>
        <v>2098.2152283068685</v>
      </c>
      <c r="BR89" s="8">
        <f t="shared" si="1079"/>
        <v>1338.9188048858616</v>
      </c>
      <c r="BS89" s="8">
        <f t="shared" si="1079"/>
        <v>891.71381389849842</v>
      </c>
      <c r="BT89" s="8">
        <f>IF(OR(BT88="",BT87="",BS92=""),"",((BS92+BT87)*BT88)/12)</f>
        <v>565.23213924037793</v>
      </c>
      <c r="BU89" s="8">
        <f t="shared" si="1079"/>
        <v>886.66125288583737</v>
      </c>
      <c r="BV89" s="8">
        <f t="shared" si="1079"/>
        <v>1597.8599641494386</v>
      </c>
      <c r="BW89" s="8">
        <f t="shared" ref="BW89:CJ89" si="1080">IF(OR(BW88="",BW87="",BV92=""),"",((BV92+BW87)*BW88)/12)</f>
        <v>1603.8782002154364</v>
      </c>
      <c r="BX89" s="8">
        <f t="shared" si="1080"/>
        <v>926.82066067664903</v>
      </c>
      <c r="BY89" s="8">
        <f t="shared" si="1080"/>
        <v>661.3505484590263</v>
      </c>
      <c r="BZ89" s="8">
        <f t="shared" si="1080"/>
        <v>611.30035336636115</v>
      </c>
      <c r="CA89" s="8">
        <f t="shared" si="1080"/>
        <v>1348.4191180200276</v>
      </c>
      <c r="CB89" s="8">
        <f t="shared" si="1080"/>
        <v>2123.4260138734157</v>
      </c>
      <c r="CC89" s="8">
        <f t="shared" si="1080"/>
        <v>2482.1110839801763</v>
      </c>
      <c r="CD89" s="8">
        <f t="shared" si="1080"/>
        <v>1591.4425613504466</v>
      </c>
      <c r="CE89" s="8">
        <f t="shared" si="1080"/>
        <v>708.52583482207649</v>
      </c>
      <c r="CF89" s="8">
        <f t="shared" si="1080"/>
        <v>429.2771209699352</v>
      </c>
      <c r="CG89" s="8">
        <f t="shared" si="1080"/>
        <v>562.95036942165655</v>
      </c>
      <c r="CH89" s="108">
        <f t="shared" si="1080"/>
        <v>934.86172473358044</v>
      </c>
      <c r="CI89" s="108">
        <f t="shared" si="1080"/>
        <v>839.87631922757294</v>
      </c>
      <c r="CJ89" s="108">
        <f t="shared" si="1080"/>
        <v>202.02887513005643</v>
      </c>
    </row>
    <row r="90" spans="1:88" x14ac:dyDescent="0.25">
      <c r="A90" s="278"/>
      <c r="B90" s="46" t="s">
        <v>5</v>
      </c>
      <c r="C90" s="81"/>
      <c r="D90" s="81"/>
      <c r="E90" s="81"/>
      <c r="F90" s="8"/>
      <c r="G90" s="8"/>
      <c r="H90" s="8"/>
      <c r="I90" s="8"/>
      <c r="J90" s="8"/>
      <c r="K90" s="8"/>
      <c r="L90" s="8"/>
      <c r="M90" s="8"/>
      <c r="N90" s="8" t="str">
        <f>N89</f>
        <v/>
      </c>
      <c r="O90" s="8"/>
      <c r="P90" s="8"/>
      <c r="Q90" s="8"/>
      <c r="R90" s="8"/>
      <c r="S90" s="8"/>
      <c r="T90" s="8"/>
      <c r="U90" s="8"/>
      <c r="V90" s="8"/>
      <c r="W90" s="8"/>
      <c r="X90" s="8"/>
      <c r="Y90" s="8"/>
      <c r="Z90" s="8"/>
      <c r="AA90" s="8"/>
      <c r="AB90" s="8"/>
      <c r="AC90" s="8">
        <f>AC89</f>
        <v>45.445575161850002</v>
      </c>
      <c r="AD90" s="8">
        <f>IF(OR(AC90="",AD89=""),"",AC90+AD89)</f>
        <v>86.862712698772583</v>
      </c>
      <c r="AE90" s="8">
        <f t="shared" ref="AE90:AF90" si="1081">IF(OR(AD90="",AE89=""),"",AD90+AE89)</f>
        <v>149.66964765593164</v>
      </c>
      <c r="AF90" s="8">
        <f t="shared" si="1081"/>
        <v>232.73379153141417</v>
      </c>
      <c r="AG90" s="8">
        <f t="shared" ref="AG90" si="1082">IF(OR(AF90="",AG89=""),"",AF90+AG89)</f>
        <v>313.72435030773613</v>
      </c>
      <c r="AH90" s="8">
        <f t="shared" ref="AH90" si="1083">IF(OR(AG90="",AH89=""),"",AG90+AH89)</f>
        <v>359.42415736398698</v>
      </c>
      <c r="AI90" s="8">
        <f t="shared" ref="AI90" si="1084">IF(OR(AH90="",AI89=""),"",AH90+AI89)</f>
        <v>411.75772653457125</v>
      </c>
      <c r="AJ90" s="8">
        <f>IF(OR(AI90="",AJ89=""),"",AI90+AJ89)</f>
        <v>446.87442784850572</v>
      </c>
      <c r="AK90" s="8">
        <f>IF(OR(AJ90="",AK89=""),"",AJ90+AK89)</f>
        <v>479.44240965198674</v>
      </c>
      <c r="AL90" s="8">
        <f t="shared" ref="AL90" si="1085">IF(OR(AK90="",AL89=""),"",AK90+AL89)</f>
        <v>524.46971794497028</v>
      </c>
      <c r="AM90" s="8">
        <f t="shared" ref="AM90" si="1086">IF(OR(AL90="",AM89=""),"",AL90+AM89)</f>
        <v>602.0488898962825</v>
      </c>
      <c r="AN90" s="8">
        <f t="shared" ref="AN90" si="1087">IF(OR(AM90="",AN89=""),"",AM90+AN89)</f>
        <v>656.14941505939589</v>
      </c>
      <c r="AO90" s="8">
        <f>IF(OR(AN90="",AO89=""),"",AN90+AO89)</f>
        <v>378.94313419948963</v>
      </c>
      <c r="AP90" s="8">
        <f t="shared" ref="AP90" si="1088">IF(OR(AO90="",AP89=""),"",AO90+AP89)</f>
        <v>-270.25659390366292</v>
      </c>
      <c r="AQ90" s="8">
        <f t="shared" ref="AQ90" si="1089">IF(OR(AP90="",AQ89=""),"",AP90+AQ89)</f>
        <v>-723.62788684076747</v>
      </c>
      <c r="AR90" s="8">
        <f t="shared" ref="AR90" si="1090">IF(OR(AQ90="",AR89=""),"",AQ90+AR89)</f>
        <v>-1336.0371241349808</v>
      </c>
      <c r="AS90" s="8">
        <f t="shared" ref="AS90" si="1091">IF(OR(AR90="",AS89=""),"",AR90+AS89)</f>
        <v>-2289.8042369890009</v>
      </c>
      <c r="AT90" s="8">
        <f t="shared" ref="AT90" si="1092">IF(OR(AS90="",AT89=""),"",AS90+AT89)</f>
        <v>-3915.4687506166456</v>
      </c>
      <c r="AU90" s="8">
        <f>IF(OR(AT90="",AU89=""),"",AT90+AU89)</f>
        <v>-6271.6263508215816</v>
      </c>
      <c r="AV90" s="8">
        <f t="shared" ref="AV90" si="1093">IF(OR(AU90="",AV89=""),"",AU90+AV89)</f>
        <v>-9022.2511162200371</v>
      </c>
      <c r="AW90" s="8">
        <f>IF(OR(AV90="",AW89=""),"",AV90+AW89)</f>
        <v>-12052.600874364221</v>
      </c>
      <c r="AX90" s="8">
        <f t="shared" ref="AX90" si="1094">IF(OR(AW90="",AX89=""),"",AW90+AX89)</f>
        <v>-15315.519681806445</v>
      </c>
      <c r="AY90" s="8">
        <f t="shared" ref="AY90:BC90" si="1095">IF(OR(AX90="",AY89=""),"",AX90+AY89)</f>
        <v>-19001.53815523634</v>
      </c>
      <c r="AZ90" s="8">
        <f t="shared" si="1095"/>
        <v>-23508.338164013563</v>
      </c>
      <c r="BA90" s="8">
        <f t="shared" si="1095"/>
        <v>-27448.694740665487</v>
      </c>
      <c r="BB90" s="8">
        <f>IF(OR(BA90="",BB89=""),"",BA90+BB89)</f>
        <v>-30892.626908041511</v>
      </c>
      <c r="BC90" s="8">
        <f t="shared" si="1095"/>
        <v>-33572.236918901108</v>
      </c>
      <c r="BD90" s="8">
        <f t="shared" ref="BD90:BI90" si="1096">IF(OR(BC90="",BD89=""),"",BC90+BD89)</f>
        <v>-35086.344363434815</v>
      </c>
      <c r="BE90" s="8">
        <f t="shared" si="1096"/>
        <v>-36019.95293194033</v>
      </c>
      <c r="BF90" s="8">
        <f>IF(OR(BE90="",BF89=""),"",BE90+BF89)</f>
        <v>-37018.484583379373</v>
      </c>
      <c r="BG90" s="8">
        <f t="shared" si="1096"/>
        <v>-38300.59378563342</v>
      </c>
      <c r="BH90" s="8">
        <f t="shared" si="1096"/>
        <v>-39666.140845961199</v>
      </c>
      <c r="BI90" s="8">
        <f t="shared" si="1096"/>
        <v>-40243.450386778037</v>
      </c>
      <c r="BJ90" s="8">
        <f t="shared" ref="BJ90:BP90" si="1097">IF(OR(BI90="",BJ89=""),"",BI90+BJ89)</f>
        <v>-39694.141047467536</v>
      </c>
      <c r="BK90" s="8">
        <f>IF(OR(BJ90="",BK89=""),"",BJ90+BK89)</f>
        <v>-38692.413200120034</v>
      </c>
      <c r="BL90" s="8">
        <f t="shared" si="1097"/>
        <v>-38024.527392818403</v>
      </c>
      <c r="BM90" s="8">
        <f t="shared" si="1097"/>
        <v>-37864.971004277104</v>
      </c>
      <c r="BN90" s="8">
        <f>IF(OR(BM90="",BN89=""),"",BM90+BN89)</f>
        <v>-37221.068212039063</v>
      </c>
      <c r="BO90" s="8">
        <f t="shared" si="1097"/>
        <v>-35925.743457767378</v>
      </c>
      <c r="BP90" s="8">
        <f t="shared" si="1097"/>
        <v>-33909.903100086674</v>
      </c>
      <c r="BQ90" s="8">
        <f>IF(OR(BP90="",BQ89=""),"",BP90+BQ89)</f>
        <v>-31811.687871779806</v>
      </c>
      <c r="BR90" s="8">
        <f t="shared" ref="BR90:BV90" si="1098">IF(OR(BQ90="",BR89=""),"",BQ90+BR89)</f>
        <v>-30472.769066893943</v>
      </c>
      <c r="BS90" s="8">
        <f t="shared" si="1098"/>
        <v>-29581.055252995444</v>
      </c>
      <c r="BT90" s="8">
        <f>IF(OR(BS90="",BT89=""),"",BS90+BT89)</f>
        <v>-29015.823113755065</v>
      </c>
      <c r="BU90" s="8">
        <f t="shared" si="1098"/>
        <v>-28129.161860869226</v>
      </c>
      <c r="BV90" s="8">
        <f t="shared" si="1098"/>
        <v>-26531.301896719786</v>
      </c>
      <c r="BW90" s="8">
        <f t="shared" ref="BW90:CJ90" si="1099">IF(OR(BV90="",BW89=""),"",BV90+BW89)</f>
        <v>-24927.423696504349</v>
      </c>
      <c r="BX90" s="8">
        <f t="shared" si="1099"/>
        <v>-24000.603035827698</v>
      </c>
      <c r="BY90" s="8">
        <f t="shared" si="1099"/>
        <v>-23339.252487368671</v>
      </c>
      <c r="BZ90" s="8">
        <f t="shared" si="1099"/>
        <v>-22727.952134002309</v>
      </c>
      <c r="CA90" s="8">
        <f t="shared" si="1099"/>
        <v>-21379.533015982281</v>
      </c>
      <c r="CB90" s="8">
        <f t="shared" si="1099"/>
        <v>-19256.107002108864</v>
      </c>
      <c r="CC90" s="8">
        <f t="shared" si="1099"/>
        <v>-16773.995918128687</v>
      </c>
      <c r="CD90" s="8">
        <f t="shared" si="1099"/>
        <v>-15182.55335677824</v>
      </c>
      <c r="CE90" s="8">
        <f t="shared" si="1099"/>
        <v>-14474.027521956164</v>
      </c>
      <c r="CF90" s="8">
        <f t="shared" si="1099"/>
        <v>-14044.75040098623</v>
      </c>
      <c r="CG90" s="8">
        <f t="shared" si="1099"/>
        <v>-13481.800031564573</v>
      </c>
      <c r="CH90" s="8">
        <f t="shared" si="1099"/>
        <v>-12546.938306830993</v>
      </c>
      <c r="CI90" s="8">
        <f t="shared" si="1099"/>
        <v>-11707.06198760342</v>
      </c>
      <c r="CJ90" s="8">
        <f t="shared" si="1099"/>
        <v>-11505.033112473364</v>
      </c>
    </row>
    <row r="91" spans="1:88" x14ac:dyDescent="0.25">
      <c r="A91" s="278"/>
      <c r="B91" s="61" t="s">
        <v>67</v>
      </c>
      <c r="C91" s="81"/>
      <c r="D91" s="81"/>
      <c r="E91" s="81"/>
      <c r="F91" s="8"/>
      <c r="G91" s="8"/>
      <c r="H91" s="8"/>
      <c r="I91" s="8"/>
      <c r="J91" s="8"/>
      <c r="K91" s="8"/>
      <c r="L91" s="8"/>
      <c r="M91" s="8"/>
      <c r="N91" s="8" t="str">
        <f>IF(OR(N89="",N87=""),"",N87+N89)</f>
        <v/>
      </c>
      <c r="O91" s="8"/>
      <c r="P91" s="8"/>
      <c r="Q91" s="8"/>
      <c r="R91" s="8"/>
      <c r="S91" s="8"/>
      <c r="T91" s="8"/>
      <c r="U91" s="8"/>
      <c r="V91" s="8"/>
      <c r="W91" s="8"/>
      <c r="X91" s="8"/>
      <c r="Y91" s="8"/>
      <c r="Z91" s="8"/>
      <c r="AA91" s="8"/>
      <c r="AB91" s="8"/>
      <c r="AC91" s="8">
        <f>IF(OR(AC89="",AC87=""),"",AC87+AC89)</f>
        <v>234889.10557516181</v>
      </c>
      <c r="AD91" s="8">
        <f>IF(OR(AD89="",AD87=""),"",AD87+AD89)</f>
        <v>-2247.7228624631498</v>
      </c>
      <c r="AE91" s="8">
        <f t="shared" ref="AE91:AF91" si="1100">IF(OR(AE89="",AE87=""),"",AE87+AE89)</f>
        <v>102208.72693495714</v>
      </c>
      <c r="AF91" s="8">
        <f t="shared" si="1100"/>
        <v>109679.75414387543</v>
      </c>
      <c r="AG91" s="8">
        <f>IF(OR(AG89="",AG87=""),"",AG87+AG89)</f>
        <v>37496.740558776262</v>
      </c>
      <c r="AH91" s="8">
        <f t="shared" ref="AH91:AV91" si="1101">IF(OR(AH89="",AH87=""),"",AH87+AH89)</f>
        <v>-89002.320192943822</v>
      </c>
      <c r="AI91" s="8">
        <f t="shared" si="1101"/>
        <v>-86776.976430829411</v>
      </c>
      <c r="AJ91" s="8">
        <f>IF(OR(AJ89="",AJ87=""),"",AJ87+AJ89)</f>
        <v>-88133.283298686147</v>
      </c>
      <c r="AK91" s="8">
        <f>IF(OR(AK89="",AK87=""),"",AK87+AK89)</f>
        <v>42462.397981803442</v>
      </c>
      <c r="AL91" s="8">
        <f t="shared" si="1101"/>
        <v>92142.207308292913</v>
      </c>
      <c r="AM91" s="8">
        <f t="shared" si="1101"/>
        <v>4778.809171951294</v>
      </c>
      <c r="AN91" s="8">
        <f>IF(OR(AN89="",AN87=""),"",AN87+AN89)</f>
        <v>-80537.25947483693</v>
      </c>
      <c r="AO91" s="8">
        <f>IF(OR(AO89="",AO87=""),"",AO87+AO89)</f>
        <v>-1249514.4496141931</v>
      </c>
      <c r="AP91" s="8">
        <f t="shared" si="1101"/>
        <v>-7827.3130614365527</v>
      </c>
      <c r="AQ91" s="8">
        <f t="shared" si="1101"/>
        <v>225919.63537372948</v>
      </c>
      <c r="AR91" s="8">
        <f t="shared" si="1101"/>
        <v>132145.45742937236</v>
      </c>
      <c r="AS91" s="8">
        <f t="shared" si="1101"/>
        <v>3196.7895538126218</v>
      </c>
      <c r="AT91" s="8">
        <f t="shared" si="1101"/>
        <v>-178913.29784696107</v>
      </c>
      <c r="AU91" s="8">
        <f>IF(OR(AU89="",AU87=""),"",AU87+AU89)</f>
        <v>-154920.03093353834</v>
      </c>
      <c r="AV91" s="8">
        <f t="shared" si="1101"/>
        <v>-59233.988098731854</v>
      </c>
      <c r="AW91" s="8">
        <f>IF(OR(AW89="",AW87=""),"",AW87+AW89)</f>
        <v>113339.10690852249</v>
      </c>
      <c r="AX91" s="8">
        <f t="shared" ref="AX91" si="1102">IF(OR(AX89="",AX87=""),"",AX87+AX89)</f>
        <v>134155.28785922445</v>
      </c>
      <c r="AY91" s="8">
        <f t="shared" ref="AY91:BC91" si="1103">IF(OR(AY89="",AY87=""),"",AY87+AY89)</f>
        <v>-44792.011806763301</v>
      </c>
      <c r="AZ91" s="8">
        <f t="shared" si="1103"/>
        <v>-133735.22334211058</v>
      </c>
      <c r="BA91" s="8">
        <f t="shared" si="1103"/>
        <v>116038.42009001468</v>
      </c>
      <c r="BB91" s="8">
        <f>IF(OR(BB89="",BB87=""),"",BB87+BB89)</f>
        <v>147545.88449929064</v>
      </c>
      <c r="BC91" s="8">
        <f t="shared" si="1103"/>
        <v>216430.17665580704</v>
      </c>
      <c r="BD91" s="8">
        <f t="shared" ref="BD91:BI91" si="1104">IF(OR(BD89="",BD87=""),"",BD87+BD89)</f>
        <v>272703.99922213284</v>
      </c>
      <c r="BE91" s="8">
        <f>IF(OR(BE89="",BE87=""),"",BE87+BE89)</f>
        <v>134005.83809816113</v>
      </c>
      <c r="BF91" s="8">
        <f>IF(OR(BF89="",BF87=""),"",BF87+BF89)</f>
        <v>-12553.74498477242</v>
      </c>
      <c r="BG91" s="8">
        <f t="shared" si="1104"/>
        <v>-58822.262535587368</v>
      </c>
      <c r="BH91" s="8">
        <f t="shared" si="1104"/>
        <v>-17435.000393661147</v>
      </c>
      <c r="BI91" s="8">
        <f t="shared" si="1104"/>
        <v>171275.06712584975</v>
      </c>
      <c r="BJ91" s="8">
        <f t="shared" ref="BJ91:BO91" si="1105">IF(OR(BJ89="",BJ87=""),"",BJ87+BJ89)</f>
        <v>245283.95600597712</v>
      </c>
      <c r="BK91" s="8">
        <f>IF(OR(BK89="",BK87=""),"",BK87+BK89)</f>
        <v>98539.504514014116</v>
      </c>
      <c r="BL91" s="8">
        <f t="shared" si="1105"/>
        <v>-68001.117526031783</v>
      </c>
      <c r="BM91" s="8">
        <f t="shared" si="1105"/>
        <v>-113918.02694479207</v>
      </c>
      <c r="BN91" s="8">
        <f>IF(OR(BN89="",BN87=""),"",BN87+BN89)</f>
        <v>107211.62945890473</v>
      </c>
      <c r="BO91" s="8">
        <f t="shared" si="1105"/>
        <v>140924.46142093829</v>
      </c>
      <c r="BP91" s="8">
        <f t="shared" ref="BP91" si="1106">IF(OR(BP89="",BP87=""),"",BP87+BP89)</f>
        <v>158733.52702434736</v>
      </c>
      <c r="BQ91" s="8">
        <f>IF(OR(BQ89="",BQ87=""),"",BQ87+BQ89)</f>
        <v>12901.171894973533</v>
      </c>
      <c r="BR91" s="8">
        <f t="shared" ref="BR91:BV91" si="1107">IF(OR(BR89="",BR87=""),"",BR87+BR89)</f>
        <v>-166331.99452844748</v>
      </c>
      <c r="BS91" s="8">
        <f t="shared" si="1107"/>
        <v>-95995.249519434874</v>
      </c>
      <c r="BT91" s="8">
        <f>IF(OR(BT89="",BT87=""),"",BT87+BT89)</f>
        <v>-64797.321194092969</v>
      </c>
      <c r="BU91" s="8">
        <f t="shared" si="1107"/>
        <v>87824.237919552499</v>
      </c>
      <c r="BV91" s="8">
        <f t="shared" si="1107"/>
        <v>181134.72663081603</v>
      </c>
      <c r="BW91" s="8">
        <f t="shared" ref="BW91:CB91" si="1108">IF(OR(BW89="",BW87=""),"",BW87+BW89)</f>
        <v>14569.35486688212</v>
      </c>
      <c r="BX91" s="8">
        <f t="shared" si="1108"/>
        <v>-166566.48267265668</v>
      </c>
      <c r="BY91" s="8">
        <f t="shared" si="1108"/>
        <v>-70703.312784874302</v>
      </c>
      <c r="BZ91" s="8">
        <f t="shared" si="1108"/>
        <v>-15247.272979967001</v>
      </c>
      <c r="CA91" s="8">
        <f t="shared" si="1108"/>
        <v>192314.44578468663</v>
      </c>
      <c r="CB91" s="8">
        <f t="shared" si="1108"/>
        <v>205005.65268054011</v>
      </c>
      <c r="CC91" s="8">
        <f t="shared" ref="CC91:CD91" si="1109">IF(OR(CC89="",CC87=""),"",CC87+CC89)</f>
        <v>93540.587750646853</v>
      </c>
      <c r="CD91" s="8">
        <f t="shared" si="1109"/>
        <v>-233809.220771983</v>
      </c>
      <c r="CE91" s="8">
        <f t="shared" ref="CE91:CF91" si="1110">IF(OR(CE89="",CE87=""),"",CE87+CE89)</f>
        <v>-229654.88749851138</v>
      </c>
      <c r="CF91" s="8">
        <f t="shared" si="1110"/>
        <v>-69496.256212363383</v>
      </c>
      <c r="CG91" s="8">
        <f t="shared" ref="CG91:CH91" si="1111">IF(OR(CG89="",CG87=""),"",CG87+CG89)</f>
        <v>46215.747036088287</v>
      </c>
      <c r="CH91" s="8">
        <f t="shared" si="1111"/>
        <v>108042.57924972041</v>
      </c>
      <c r="CI91" s="8">
        <f t="shared" ref="CI91:CJ91" si="1112">IF(OR(CI89="",CI87=""),"",CI87+CI89)</f>
        <v>-27593.855512538626</v>
      </c>
      <c r="CJ91" s="8">
        <f t="shared" si="1112"/>
        <v>-185298.67949403828</v>
      </c>
    </row>
    <row r="92" spans="1:88" x14ac:dyDescent="0.25">
      <c r="A92" s="278"/>
      <c r="B92" s="45" t="s">
        <v>68</v>
      </c>
      <c r="C92" s="81"/>
      <c r="D92" s="81"/>
      <c r="E92" s="81"/>
      <c r="F92" s="8"/>
      <c r="G92" s="8"/>
      <c r="H92" s="8"/>
      <c r="I92" s="8"/>
      <c r="J92" s="8"/>
      <c r="K92" s="8"/>
      <c r="L92" s="8"/>
      <c r="M92" s="8"/>
      <c r="N92" s="8"/>
      <c r="O92" s="8"/>
      <c r="P92" s="8"/>
      <c r="Q92" s="8"/>
      <c r="R92" s="8"/>
      <c r="S92" s="8"/>
      <c r="T92" s="8"/>
      <c r="U92" s="8"/>
      <c r="V92" s="8"/>
      <c r="W92" s="8"/>
      <c r="X92" s="8"/>
      <c r="Y92" s="8"/>
      <c r="Z92" s="8"/>
      <c r="AA92" s="8"/>
      <c r="AB92" s="8"/>
      <c r="AC92" s="8">
        <f>AB92+AC91</f>
        <v>234889.10557516181</v>
      </c>
      <c r="AD92" s="8">
        <f>IF(OR(AD91="",AC92=""),"",AC92+AD91)</f>
        <v>232641.38271269866</v>
      </c>
      <c r="AE92" s="8">
        <f t="shared" ref="AE92:AF92" si="1113">IF(OR(AE91="",AD92=""),"",AD92+AE91)</f>
        <v>334850.1096476558</v>
      </c>
      <c r="AF92" s="8">
        <f t="shared" si="1113"/>
        <v>444529.86379153124</v>
      </c>
      <c r="AG92" s="8">
        <f>IF(OR(AG91="",AF92=""),"",AF92+AG91)</f>
        <v>482026.60435030749</v>
      </c>
      <c r="AH92" s="8">
        <f t="shared" ref="AH92" si="1114">IF(OR(AH91="",AG92=""),"",AG92+AH91)</f>
        <v>393024.2841573637</v>
      </c>
      <c r="AI92" s="8">
        <f t="shared" ref="AI92" si="1115">IF(OR(AI91="",AH92=""),"",AH92+AI91)</f>
        <v>306247.30772653432</v>
      </c>
      <c r="AJ92" s="8">
        <f>IF(OR(AJ91="",AI92=""),"",AI92+AJ91)</f>
        <v>218114.02442784817</v>
      </c>
      <c r="AK92" s="8">
        <f>IF(OR(AK91="",AJ92=""),"",AJ92+AK91)</f>
        <v>260576.42240965163</v>
      </c>
      <c r="AL92" s="8">
        <f t="shared" ref="AL92" si="1116">IF(OR(AL91="",AK92=""),"",AK92+AL91)</f>
        <v>352718.62971794454</v>
      </c>
      <c r="AM92" s="8">
        <f t="shared" ref="AM92" si="1117">IF(OR(AM91="",AL92=""),"",AL92+AM91)</f>
        <v>357497.43888989586</v>
      </c>
      <c r="AN92" s="8">
        <f t="shared" ref="AN92" si="1118">IF(OR(AN91="",AM92=""),"",AM92+AN91)</f>
        <v>276960.17941505893</v>
      </c>
      <c r="AO92" s="108">
        <f>IF(OR(AO91="",AN92=""),"",AN92+AO91-152105.77)</f>
        <v>-1124660.040199134</v>
      </c>
      <c r="AP92" s="8">
        <f>IF(OR(AP91="",AO92=""),"",AO92+AP91)</f>
        <v>-1132487.3532605707</v>
      </c>
      <c r="AQ92" s="8">
        <f t="shared" ref="AQ92" si="1119">IF(OR(AQ91="",AP92=""),"",AP92+AQ91)</f>
        <v>-906567.71788684116</v>
      </c>
      <c r="AR92" s="8">
        <f t="shared" ref="AR92" si="1120">IF(OR(AR91="",AQ92=""),"",AQ92+AR91)</f>
        <v>-774422.2604574688</v>
      </c>
      <c r="AS92" s="8">
        <f t="shared" ref="AS92" si="1121">IF(OR(AS91="",AR92=""),"",AR92+AS91)</f>
        <v>-771225.47090365621</v>
      </c>
      <c r="AT92" s="8">
        <f t="shared" ref="AT92" si="1122">IF(OR(AT91="",AS92=""),"",AS92+AT91)</f>
        <v>-950138.76875061728</v>
      </c>
      <c r="AU92" s="8">
        <f>IF(OR(AU91="",AT92=""),"",AT92+AU91)</f>
        <v>-1105058.7996841557</v>
      </c>
      <c r="AV92" s="8">
        <f>IF(OR(AV91="",AU92=""),"",AU92+AV91)</f>
        <v>-1164292.7877828877</v>
      </c>
      <c r="AW92" s="8">
        <f>IF(OR(AW91="",AV92=""),"",AV92+AW91)</f>
        <v>-1050953.6808743651</v>
      </c>
      <c r="AX92" s="8">
        <f t="shared" ref="AX92:AY92" si="1123">IF(OR(AX91="",AW92=""),"",AW92+AX91)</f>
        <v>-916798.39301514067</v>
      </c>
      <c r="AY92" s="8">
        <f t="shared" si="1123"/>
        <v>-961590.40482190391</v>
      </c>
      <c r="AZ92" s="8">
        <f t="shared" ref="AZ92:BC92" si="1124">IF(OR(AZ91="",AY92=""),"",AY92+AZ91)</f>
        <v>-1095325.6281640145</v>
      </c>
      <c r="BA92" s="8">
        <f t="shared" si="1124"/>
        <v>-979287.20807399985</v>
      </c>
      <c r="BB92" s="8">
        <f>IF(OR(BB91="",BA92=""),"",BA92+BB91)</f>
        <v>-831741.32357470924</v>
      </c>
      <c r="BC92" s="8">
        <f t="shared" si="1124"/>
        <v>-615311.14691890217</v>
      </c>
      <c r="BD92" s="8">
        <f t="shared" ref="BD92:BI92" si="1125">IF(OR(BD91="",BC92=""),"",BC92+BD91)</f>
        <v>-342607.14769676933</v>
      </c>
      <c r="BE92" s="8">
        <f t="shared" si="1125"/>
        <v>-208601.3095986082</v>
      </c>
      <c r="BF92" s="8">
        <f>IF(OR(BF91="",BE92=""),"",BE92+BF91)</f>
        <v>-221155.05458338064</v>
      </c>
      <c r="BG92" s="8">
        <f t="shared" si="1125"/>
        <v>-279977.317118968</v>
      </c>
      <c r="BH92" s="8">
        <f>IF(OR(BH91="",BG92=""),"",BG92+BH91)</f>
        <v>-297412.31751262915</v>
      </c>
      <c r="BI92" s="8">
        <f t="shared" si="1125"/>
        <v>-126137.2503867794</v>
      </c>
      <c r="BJ92" s="8">
        <f t="shared" ref="BJ92:BP92" si="1126">IF(OR(BJ91="",BI92=""),"",BI92+BJ91)</f>
        <v>119146.70561919772</v>
      </c>
      <c r="BK92" s="8">
        <f>IF(OR(BK91="",BJ92=""),"",BJ92+BK91)</f>
        <v>217686.21013321183</v>
      </c>
      <c r="BL92" s="8">
        <f t="shared" si="1126"/>
        <v>149685.09260718006</v>
      </c>
      <c r="BM92" s="8">
        <f t="shared" si="1126"/>
        <v>35767.065662387991</v>
      </c>
      <c r="BN92" s="8">
        <f>IF(OR(BN91="",BM92=""),"",BM92+BN91)</f>
        <v>142978.69512129272</v>
      </c>
      <c r="BO92" s="8">
        <f t="shared" si="1126"/>
        <v>283903.15654223098</v>
      </c>
      <c r="BP92" s="8">
        <f t="shared" si="1126"/>
        <v>442636.68356657831</v>
      </c>
      <c r="BQ92" s="8">
        <f>IF(OR(BQ91="",BP92=""),"",BP92+BQ91)</f>
        <v>455537.85546155187</v>
      </c>
      <c r="BR92" s="8">
        <f t="shared" ref="BR92:BV92" si="1127">IF(OR(BR91="",BQ92=""),"",BQ92+BR91)</f>
        <v>289205.86093310441</v>
      </c>
      <c r="BS92" s="8">
        <f t="shared" si="1127"/>
        <v>193210.61141366954</v>
      </c>
      <c r="BT92" s="8">
        <f>IF(OR(BT91="",BS92=""),"",BS92+BT91)</f>
        <v>128413.29021957656</v>
      </c>
      <c r="BU92" s="8">
        <f t="shared" si="1127"/>
        <v>216237.52813912905</v>
      </c>
      <c r="BV92" s="8">
        <f t="shared" si="1127"/>
        <v>397372.25476994505</v>
      </c>
      <c r="BW92" s="8">
        <f t="shared" ref="BW92:CJ92" si="1128">IF(OR(BW91="",BV92=""),"",BV92+BW91)</f>
        <v>411941.6096368272</v>
      </c>
      <c r="BX92" s="8">
        <f t="shared" si="1128"/>
        <v>245375.12696417051</v>
      </c>
      <c r="BY92" s="8">
        <f t="shared" si="1128"/>
        <v>174671.8141792962</v>
      </c>
      <c r="BZ92" s="8">
        <f t="shared" si="1128"/>
        <v>159424.54119932919</v>
      </c>
      <c r="CA92" s="8">
        <f t="shared" si="1128"/>
        <v>351738.98698401579</v>
      </c>
      <c r="CB92" s="8">
        <f t="shared" si="1128"/>
        <v>556744.6396645559</v>
      </c>
      <c r="CC92" s="8">
        <f t="shared" si="1128"/>
        <v>650285.22741520277</v>
      </c>
      <c r="CD92" s="8">
        <f t="shared" si="1128"/>
        <v>416476.00664321973</v>
      </c>
      <c r="CE92" s="8">
        <f t="shared" si="1128"/>
        <v>186821.11914470835</v>
      </c>
      <c r="CF92" s="8">
        <f t="shared" si="1128"/>
        <v>117324.86293234497</v>
      </c>
      <c r="CG92" s="8">
        <f t="shared" si="1128"/>
        <v>163540.60996843327</v>
      </c>
      <c r="CH92" s="8">
        <f t="shared" si="1128"/>
        <v>271583.18921815371</v>
      </c>
      <c r="CI92" s="8">
        <f t="shared" si="1128"/>
        <v>243989.33370561508</v>
      </c>
      <c r="CJ92" s="8">
        <f t="shared" si="1128"/>
        <v>58690.654211576795</v>
      </c>
    </row>
    <row r="93" spans="1:88" x14ac:dyDescent="0.25">
      <c r="A93" s="278"/>
      <c r="B93" s="47" t="s">
        <v>69</v>
      </c>
      <c r="C93" s="81"/>
      <c r="D93" s="81"/>
      <c r="E93" s="81"/>
      <c r="F93" s="8"/>
      <c r="G93" s="8"/>
      <c r="H93" s="8"/>
      <c r="I93" s="8"/>
      <c r="J93" s="8"/>
      <c r="K93" s="8"/>
      <c r="L93" s="8"/>
      <c r="M93" s="8"/>
      <c r="N93" s="8"/>
      <c r="O93" s="8">
        <f t="shared" ref="O93:AB93" si="1129">IF(O86="","",N93-O86+O89)</f>
        <v>0</v>
      </c>
      <c r="P93" s="8">
        <f t="shared" si="1129"/>
        <v>0</v>
      </c>
      <c r="Q93" s="8">
        <f t="shared" si="1129"/>
        <v>0</v>
      </c>
      <c r="R93" s="8">
        <f t="shared" si="1129"/>
        <v>0</v>
      </c>
      <c r="S93" s="8">
        <f t="shared" si="1129"/>
        <v>0</v>
      </c>
      <c r="T93" s="8">
        <f t="shared" si="1129"/>
        <v>0</v>
      </c>
      <c r="U93" s="8">
        <f t="shared" si="1129"/>
        <v>0</v>
      </c>
      <c r="V93" s="8">
        <f t="shared" si="1129"/>
        <v>0</v>
      </c>
      <c r="W93" s="8">
        <f>IF(W86="","",V93-W86+W89+W84)</f>
        <v>6239381</v>
      </c>
      <c r="X93" s="8">
        <f t="shared" si="1129"/>
        <v>6239381</v>
      </c>
      <c r="Y93" s="8">
        <f t="shared" si="1129"/>
        <v>6239381</v>
      </c>
      <c r="Z93" s="8">
        <f t="shared" si="1129"/>
        <v>6239381</v>
      </c>
      <c r="AA93" s="8">
        <f t="shared" si="1129"/>
        <v>6239381</v>
      </c>
      <c r="AB93" s="8">
        <f t="shared" si="1129"/>
        <v>6239381</v>
      </c>
      <c r="AC93" s="8">
        <f>AB93-AC86+AC89</f>
        <v>5954321.7155751614</v>
      </c>
      <c r="AD93" s="8">
        <f>IF(AD86="","",AC93-AD86+AD89)</f>
        <v>5432125.6027126983</v>
      </c>
      <c r="AE93" s="8">
        <f t="shared" ref="AE93:AF93" si="1130">IF(AE86="","",AD93-AE86+AE89)</f>
        <v>5014385.9396476559</v>
      </c>
      <c r="AF93" s="8">
        <f t="shared" si="1130"/>
        <v>4604117.3037915314</v>
      </c>
      <c r="AG93" s="8">
        <f t="shared" ref="AG93" si="1131">IF(AG86="","",AF93-AG86+AG89)</f>
        <v>4121665.6543503078</v>
      </c>
      <c r="AH93" s="8">
        <f t="shared" ref="AH93" si="1132">IF(AH86="","",AG93-AH86+AH89)</f>
        <v>3512714.9441573638</v>
      </c>
      <c r="AI93" s="8">
        <f t="shared" ref="AI93" si="1133">IF(AI86="","",AH93-AI86+AI89)</f>
        <v>2905989.5777265341</v>
      </c>
      <c r="AJ93" s="8">
        <f>IF(AJ86="","",AI93-AJ86+AJ89+AJ84)</f>
        <v>11779616.504131306</v>
      </c>
      <c r="AK93" s="8">
        <f>IF(AK86="","",AJ93-AK86+AK89)</f>
        <v>11302130.512113109</v>
      </c>
      <c r="AL93" s="8">
        <f>IF(AL86="","",AK93-AL86+AL89)</f>
        <v>10874324.329421401</v>
      </c>
      <c r="AM93" s="8">
        <f t="shared" ref="AM93" si="1134">IF(AM86="","",AL93-AM86+AM89)</f>
        <v>10359154.748593353</v>
      </c>
      <c r="AN93" s="8">
        <f t="shared" ref="AN93" si="1135">IF(AN86="","",AM93-AN86+AN89)</f>
        <v>9758669.0991185158</v>
      </c>
      <c r="AO93" s="8">
        <f>IF(AO86="","",AN93-AO86+AO89+AO84)</f>
        <v>7548729.9402609328</v>
      </c>
      <c r="AP93" s="8">
        <f t="shared" ref="AP93" si="1136">IF(AP86="","",AO93-AP86+AP89)</f>
        <v>6752412.7105328292</v>
      </c>
      <c r="AQ93" s="8">
        <f t="shared" ref="AQ93" si="1137">IF(AQ86="","",AP93-AQ86+AQ89)</f>
        <v>6189842.4292398915</v>
      </c>
      <c r="AR93" s="8">
        <f t="shared" ref="AR93" si="1138">IF(AR86="","",AQ93-AR86+AR89)</f>
        <v>5533497.9700025972</v>
      </c>
      <c r="AS93" s="8">
        <f t="shared" ref="AS93" si="1139">IF(AS86="","",AR93-AS86+AS89)</f>
        <v>4748204.8428897429</v>
      </c>
      <c r="AT93" s="8">
        <f t="shared" ref="AT93" si="1140">IF(AT86="","",AS93-AT86+AT89)</f>
        <v>3780801.6283761156</v>
      </c>
      <c r="AU93" s="8">
        <f>IF(AU86="","",AT93-AU86+AU89+AU84)</f>
        <v>14585078.11077591</v>
      </c>
      <c r="AV93" s="8">
        <f>IF(AV86="","",AU93-AV86+AV89)</f>
        <v>13737354.206010513</v>
      </c>
      <c r="AW93" s="8">
        <f>IF(AW86="","",AV93-AW86+AW89+AW84)</f>
        <v>13062006.076252367</v>
      </c>
      <c r="AX93" s="8">
        <f t="shared" ref="AX93" si="1141">IF(AX86="","",AW93-AX86+AX89)</f>
        <v>12407671.447444925</v>
      </c>
      <c r="AY93" s="8">
        <f>IF(AY86="","",AX93-AY86+AY89+AY84)</f>
        <v>22308699.418971494</v>
      </c>
      <c r="AZ93" s="8">
        <f>IF(AZ86="","",AY93-AZ86+AZ89)</f>
        <v>21386474.278962716</v>
      </c>
      <c r="BA93" s="8">
        <f>IF(BA86="","",AZ93-BA86+BA89)</f>
        <v>20523555.282386065</v>
      </c>
      <c r="BB93" s="8">
        <f>IF(BB86="","",BA93-BB86+BB89+BB84)</f>
        <v>20046750.600218687</v>
      </c>
      <c r="BC93" s="8">
        <f>IF(BC86="","",BB93-BC86+BC89)</f>
        <v>19284223.36020783</v>
      </c>
      <c r="BD93" s="8">
        <f>IF(BD86="","",BC93-BD86+BD89)</f>
        <v>18577969.942763299</v>
      </c>
      <c r="BE93" s="8">
        <f>IF(BE86="","",BD93-BE86+BE89+BE84)</f>
        <v>17762557.604194794</v>
      </c>
      <c r="BF93" s="8">
        <f>IF(BF86="","",BE93-BF86+BF89+BF84)</f>
        <v>15773819.932543354</v>
      </c>
      <c r="BG93" s="8">
        <f>IF(BG86="","",BF93-BG86+BG89)</f>
        <v>14736040.253341099</v>
      </c>
      <c r="BH93" s="8">
        <f>IF(BH86="","",BG93-BH86+BH89+BH84)</f>
        <v>13600629.066280773</v>
      </c>
      <c r="BI93" s="8">
        <f>IF(BI86="","",BH93-BI86+BI89)</f>
        <v>12792946.716739954</v>
      </c>
      <c r="BJ93" s="8">
        <f>IF(BJ86="","",BI93-BJ86+BJ89)</f>
        <v>12059273.256079266</v>
      </c>
      <c r="BK93" s="8">
        <f>IF(BK86="","",BJ93-BK86+BK89+BK84)</f>
        <v>23120020.403926611</v>
      </c>
      <c r="BL93" s="8">
        <f>IF(BL86="","",BK93-BL86+BL89)</f>
        <v>22073061.869733911</v>
      </c>
      <c r="BM93" s="8">
        <f>IF(BM86="","",BL93-BM86+BM89)</f>
        <v>21127292.926122453</v>
      </c>
      <c r="BN93" s="8">
        <f>IF(BN86="","",BM93-BN86+BN89+BN84)</f>
        <v>20281369.828914691</v>
      </c>
      <c r="BO93" s="8">
        <f>IF(BO86="","",BN93-BO86+BO89)</f>
        <v>19590443.373668961</v>
      </c>
      <c r="BP93" s="8">
        <f>IF(BP86="","",BO93-BP86+BP89)</f>
        <v>18917325.984026641</v>
      </c>
      <c r="BQ93" s="8">
        <f>IF(BQ86="","",BP93-BQ86+BQ89+BQ84)</f>
        <v>17693634.319254946</v>
      </c>
      <c r="BR93" s="8">
        <f>IF(BR86="","",BQ93-BR86+BR89)</f>
        <v>16695451.408059832</v>
      </c>
      <c r="BS93" s="8">
        <f>IF(BS86="","",BR93-BS86+BS89)</f>
        <v>15767605.24187373</v>
      </c>
      <c r="BT93" s="8">
        <f>IF(BT86="","",BS93-BT86+BT89+BT84)</f>
        <v>14758292.28401297</v>
      </c>
      <c r="BU93" s="8">
        <f>IF(BU86="","",BT93-BU86+BU89)</f>
        <v>14014265.605265856</v>
      </c>
      <c r="BV93" s="8">
        <f>IF(BV86="","",BU93-BV86+BV89)</f>
        <v>13363549.415230004</v>
      </c>
      <c r="BW93" s="8">
        <f>IF(BW86="","",BV93-BW86+BW89+BW84)</f>
        <v>25122174.973430224</v>
      </c>
      <c r="BX93" s="8">
        <f>IF(BX86="","",BW93-BX86+BX89)</f>
        <v>24123757.574090902</v>
      </c>
      <c r="BY93" s="8">
        <f>IF(BY86="","",BX93-BY86+BY89)</f>
        <v>23111181.344639361</v>
      </c>
      <c r="BZ93" s="8">
        <f>IF(BZ86="","",BY93-BZ86+BZ89+BZ84)</f>
        <v>22260041.424992729</v>
      </c>
      <c r="CA93" s="8">
        <f>IF(CA86="","",BZ93-CA86+CA89)</f>
        <v>21510482.954110749</v>
      </c>
      <c r="CB93" s="8">
        <f>IF(CB86="","",CA93-CB86+CB89)</f>
        <v>20773615.69012462</v>
      </c>
      <c r="CC93" s="8">
        <f>IF(CC86="","",CB93-CC86+CC89+CC84)</f>
        <v>19979829.5512086</v>
      </c>
      <c r="CD93" s="8">
        <f>IF(CD86="","",CC93-CD86+CD89+CD84)</f>
        <v>18737728.363769952</v>
      </c>
      <c r="CE93" s="8">
        <f>IF(CE86="","",CD93-CE86+CE89)</f>
        <v>17566200.559604771</v>
      </c>
      <c r="CF93" s="8">
        <f>IF(CF86="","",CE93-CF86+CF89+CF84)</f>
        <v>16500219.756725742</v>
      </c>
      <c r="CG93" s="8">
        <f>IF(CG86="","",CF93-CG86+CG89)</f>
        <v>15604562.587095164</v>
      </c>
      <c r="CH93" s="8">
        <f>IF(CH86="","",CG93-CH86+CH89)</f>
        <v>14770732.249678219</v>
      </c>
      <c r="CI93" s="8">
        <f>IF(CI86="","",CH93-CI86+CI89)</f>
        <v>13801265.477499014</v>
      </c>
      <c r="CJ93" s="8">
        <f>IF(CJ86="","",CI93-CJ86+CJ89)</f>
        <v>12674093.881338308</v>
      </c>
    </row>
    <row r="94" spans="1:88" s="4" customFormat="1" ht="8.25" customHeight="1" x14ac:dyDescent="0.25">
      <c r="A94" s="35"/>
      <c r="B94" s="11"/>
      <c r="C94" s="86"/>
      <c r="D94" s="86"/>
      <c r="E94" s="86"/>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row>
    <row r="95" spans="1:88" x14ac:dyDescent="0.25">
      <c r="A95"/>
      <c r="K95" s="34"/>
      <c r="AN95" s="34"/>
      <c r="AQ95" s="34"/>
    </row>
    <row r="96" spans="1:88" x14ac:dyDescent="0.25">
      <c r="A96"/>
      <c r="K96" s="34"/>
      <c r="AF96" s="34"/>
      <c r="AN96" s="34"/>
    </row>
    <row r="97" spans="1:88" x14ac:dyDescent="0.25">
      <c r="A97"/>
      <c r="K97" s="34"/>
      <c r="AB97" s="34"/>
      <c r="AH97" s="34"/>
      <c r="AV97" s="49"/>
      <c r="BZ97" s="34"/>
      <c r="CA97" s="34"/>
      <c r="CB97" s="34"/>
      <c r="CC97" s="34"/>
      <c r="CD97" s="34"/>
      <c r="CE97" s="34"/>
      <c r="CF97" s="34"/>
      <c r="CG97" s="34"/>
      <c r="CH97" s="34"/>
      <c r="CI97" s="34"/>
      <c r="CJ97" s="34"/>
    </row>
    <row r="98" spans="1:88" x14ac:dyDescent="0.25">
      <c r="A98"/>
      <c r="K98" s="34"/>
      <c r="AV98" s="34"/>
    </row>
    <row r="99" spans="1:88" x14ac:dyDescent="0.25">
      <c r="A99"/>
      <c r="K99" s="34"/>
      <c r="AV99" s="49"/>
      <c r="BM99" s="40"/>
    </row>
    <row r="100" spans="1:88" x14ac:dyDescent="0.25">
      <c r="A100"/>
      <c r="K100" s="34"/>
      <c r="BM100" s="49"/>
    </row>
    <row r="101" spans="1:88" x14ac:dyDescent="0.25">
      <c r="A101"/>
      <c r="K101" s="34"/>
    </row>
    <row r="102" spans="1:88" x14ac:dyDescent="0.25">
      <c r="A102"/>
      <c r="K102" s="34"/>
    </row>
    <row r="103" spans="1:88" x14ac:dyDescent="0.25">
      <c r="A103"/>
      <c r="K103" s="34"/>
    </row>
    <row r="104" spans="1:88" x14ac:dyDescent="0.25">
      <c r="A104"/>
      <c r="K104" s="34"/>
    </row>
    <row r="105" spans="1:88" x14ac:dyDescent="0.25">
      <c r="A105"/>
      <c r="K105" s="34"/>
    </row>
    <row r="106" spans="1:88" x14ac:dyDescent="0.25">
      <c r="A106"/>
      <c r="K106" s="34"/>
    </row>
    <row r="107" spans="1:88" x14ac:dyDescent="0.25">
      <c r="A107"/>
      <c r="K107" s="34"/>
    </row>
    <row r="108" spans="1:88" x14ac:dyDescent="0.25">
      <c r="A108"/>
      <c r="K108" s="34"/>
    </row>
    <row r="109" spans="1:88" x14ac:dyDescent="0.25">
      <c r="A109"/>
      <c r="K109" s="34"/>
    </row>
    <row r="110" spans="1:88" x14ac:dyDescent="0.25">
      <c r="A110"/>
      <c r="K110" s="34"/>
    </row>
    <row r="111" spans="1:88" x14ac:dyDescent="0.25">
      <c r="A111"/>
      <c r="K111" s="34"/>
    </row>
    <row r="112" spans="1:88" x14ac:dyDescent="0.25">
      <c r="A112"/>
      <c r="K112" s="34"/>
    </row>
    <row r="113" spans="1:11" x14ac:dyDescent="0.25">
      <c r="A113"/>
      <c r="K113" s="34"/>
    </row>
    <row r="114" spans="1:11" x14ac:dyDescent="0.25">
      <c r="A114"/>
      <c r="K114" s="34"/>
    </row>
    <row r="115" spans="1:11" x14ac:dyDescent="0.25">
      <c r="A115"/>
      <c r="K115" s="34"/>
    </row>
    <row r="116" spans="1:11" x14ac:dyDescent="0.25">
      <c r="A116"/>
      <c r="K116" s="34"/>
    </row>
    <row r="117" spans="1:11" x14ac:dyDescent="0.25">
      <c r="A117"/>
      <c r="K117" s="34"/>
    </row>
    <row r="118" spans="1:11" x14ac:dyDescent="0.25">
      <c r="A118"/>
      <c r="K118" s="34"/>
    </row>
    <row r="119" spans="1:11" x14ac:dyDescent="0.25">
      <c r="A119"/>
      <c r="K119" s="34"/>
    </row>
    <row r="120" spans="1:11" x14ac:dyDescent="0.25">
      <c r="A120"/>
      <c r="K120" s="34"/>
    </row>
    <row r="121" spans="1:11" x14ac:dyDescent="0.25">
      <c r="A121"/>
      <c r="K121" s="34"/>
    </row>
    <row r="122" spans="1:11" x14ac:dyDescent="0.25">
      <c r="A122"/>
      <c r="K122" s="34"/>
    </row>
    <row r="123" spans="1:11" x14ac:dyDescent="0.25">
      <c r="A123"/>
      <c r="K123" s="34"/>
    </row>
    <row r="124" spans="1:11" x14ac:dyDescent="0.25">
      <c r="A124"/>
      <c r="K124" s="34"/>
    </row>
    <row r="125" spans="1:11" x14ac:dyDescent="0.25">
      <c r="A125"/>
      <c r="K125" s="34"/>
    </row>
    <row r="126" spans="1:11" x14ac:dyDescent="0.25">
      <c r="A126"/>
    </row>
    <row r="127" spans="1:11" x14ac:dyDescent="0.25">
      <c r="A127"/>
    </row>
    <row r="128" spans="1: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row r="175" spans="1:1" x14ac:dyDescent="0.25"/>
    <row r="176" spans="1:1" x14ac:dyDescent="0.25"/>
    <row r="177" x14ac:dyDescent="0.25"/>
    <row r="178" x14ac:dyDescent="0.25"/>
    <row r="179" x14ac:dyDescent="0.25"/>
    <row r="180" x14ac:dyDescent="0.25"/>
    <row r="181" x14ac:dyDescent="0.25"/>
    <row r="182" x14ac:dyDescent="0.25"/>
    <row r="183" x14ac:dyDescent="0.25"/>
  </sheetData>
  <mergeCells count="9">
    <mergeCell ref="A66:A74"/>
    <mergeCell ref="A76:A82"/>
    <mergeCell ref="A85:A93"/>
    <mergeCell ref="A5:A13"/>
    <mergeCell ref="A15:A24"/>
    <mergeCell ref="A26:A34"/>
    <mergeCell ref="A36:A44"/>
    <mergeCell ref="A46:A54"/>
    <mergeCell ref="A56:A64"/>
  </mergeCells>
  <printOptions headings="1"/>
  <pageMargins left="0.2" right="0.2" top="0.5" bottom="0.5" header="0.3" footer="0.3"/>
  <pageSetup scale="61" orientation="landscape" cellComments="asDisplayed" r:id="rId1"/>
  <headerFooter>
    <oddHeader>&amp;C&amp;A</oddHeader>
    <oddFooter>&amp;RSchedule JNG-D3</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fitToPage="1"/>
  </sheetPr>
  <dimension ref="A1:FS267"/>
  <sheetViews>
    <sheetView tabSelected="1" zoomScale="85" zoomScaleNormal="85" zoomScaleSheetLayoutView="80" workbookViewId="0">
      <selection activeCell="J13" sqref="J13"/>
    </sheetView>
  </sheetViews>
  <sheetFormatPr defaultColWidth="9.140625" defaultRowHeight="0" customHeight="1" zeroHeight="1" outlineLevelRow="1" x14ac:dyDescent="0.25"/>
  <cols>
    <col min="1" max="1" width="3.140625" style="1" customWidth="1"/>
    <col min="2" max="2" width="50" customWidth="1"/>
    <col min="3" max="10" width="15.28515625" bestFit="1" customWidth="1"/>
    <col min="11" max="11" width="14" bestFit="1" customWidth="1"/>
    <col min="12" max="12" width="18.5703125" bestFit="1" customWidth="1"/>
    <col min="13" max="14" width="9.140625" style="131"/>
    <col min="16" max="16" width="52.5703125" bestFit="1" customWidth="1"/>
    <col min="17" max="17" width="14.140625" bestFit="1" customWidth="1"/>
    <col min="18" max="19" width="12.7109375" bestFit="1" customWidth="1"/>
    <col min="20" max="20" width="14.140625" bestFit="1" customWidth="1"/>
    <col min="21" max="25" width="13.5703125" bestFit="1" customWidth="1"/>
    <col min="26" max="26" width="11.42578125" bestFit="1" customWidth="1"/>
    <col min="28" max="28" width="9.140625" style="138"/>
    <col min="30" max="30" width="48.140625" bestFit="1" customWidth="1"/>
    <col min="31" max="33" width="12.7109375" bestFit="1" customWidth="1"/>
    <col min="34" max="39" width="13.5703125" bestFit="1" customWidth="1"/>
    <col min="40" max="41" width="13.85546875" bestFit="1" customWidth="1"/>
    <col min="42" max="47" width="13.5703125" bestFit="1" customWidth="1"/>
    <col min="48" max="48" width="14.5703125" bestFit="1" customWidth="1"/>
    <col min="49" max="51" width="13.5703125" bestFit="1" customWidth="1"/>
    <col min="52" max="53" width="13.85546875" bestFit="1" customWidth="1"/>
    <col min="54" max="54" width="16.28515625" bestFit="1" customWidth="1"/>
    <col min="55" max="55" width="12.7109375" bestFit="1" customWidth="1"/>
    <col min="56" max="56" width="14.7109375" bestFit="1" customWidth="1"/>
    <col min="58" max="58" width="9.140625" style="131"/>
    <col min="59" max="59" width="31.85546875" bestFit="1" customWidth="1"/>
    <col min="60" max="60" width="24.85546875" bestFit="1" customWidth="1"/>
    <col min="61" max="61" width="15" bestFit="1" customWidth="1"/>
    <col min="62" max="62" width="28.5703125" bestFit="1" customWidth="1"/>
    <col min="63" max="63" width="15.28515625" bestFit="1" customWidth="1"/>
    <col min="64" max="69" width="14.28515625" bestFit="1" customWidth="1"/>
    <col min="70" max="73" width="14.5703125" bestFit="1" customWidth="1"/>
    <col min="74" max="74" width="11.28515625" bestFit="1" customWidth="1"/>
    <col min="75" max="75" width="13.85546875" bestFit="1" customWidth="1"/>
    <col min="77" max="77" width="9.140625" style="131"/>
    <col min="78" max="78" width="35.140625" bestFit="1" customWidth="1"/>
    <col min="79" max="79" width="52.5703125" bestFit="1" customWidth="1"/>
    <col min="80" max="86" width="14.28515625" bestFit="1" customWidth="1"/>
    <col min="89" max="89" width="35.140625" bestFit="1" customWidth="1"/>
    <col min="90" max="90" width="52.5703125" bestFit="1" customWidth="1"/>
    <col min="91" max="97" width="14.28515625" bestFit="1" customWidth="1"/>
    <col min="98" max="100" width="13.42578125" bestFit="1" customWidth="1"/>
    <col min="101" max="101" width="9.140625" style="131"/>
    <col min="103" max="103" width="52.5703125" bestFit="1" customWidth="1"/>
    <col min="104" max="104" width="13.85546875" bestFit="1" customWidth="1"/>
    <col min="105" max="110" width="13.5703125" bestFit="1" customWidth="1"/>
    <col min="111" max="115" width="14.5703125" bestFit="1" customWidth="1"/>
    <col min="116" max="116" width="13.85546875" bestFit="1" customWidth="1"/>
    <col min="117" max="117" width="13.5703125" bestFit="1" customWidth="1"/>
    <col min="118" max="127" width="14.5703125" bestFit="1" customWidth="1"/>
    <col min="128" max="128" width="13.85546875" bestFit="1" customWidth="1"/>
    <col min="129" max="129" width="15" style="40" bestFit="1" customWidth="1"/>
    <col min="130" max="130" width="10.28515625" style="40" bestFit="1" customWidth="1"/>
    <col min="131" max="131" width="9.140625" style="131"/>
    <col min="133" max="133" width="48.140625" bestFit="1" customWidth="1"/>
    <col min="134" max="134" width="14.5703125" bestFit="1" customWidth="1"/>
    <col min="135" max="135" width="13.85546875" bestFit="1" customWidth="1"/>
    <col min="136" max="136" width="13.5703125" bestFit="1" customWidth="1"/>
    <col min="137" max="146" width="14.5703125" bestFit="1" customWidth="1"/>
    <col min="147" max="147" width="13.85546875" bestFit="1" customWidth="1"/>
    <col min="148" max="148" width="13.5703125" bestFit="1" customWidth="1"/>
    <col min="149" max="158" width="14.5703125" bestFit="1" customWidth="1"/>
    <col min="159" max="159" width="13.85546875" bestFit="1" customWidth="1"/>
    <col min="160" max="160" width="13.5703125" bestFit="1" customWidth="1"/>
    <col min="161" max="161" width="14.5703125" bestFit="1" customWidth="1"/>
    <col min="162" max="162" width="13.42578125" bestFit="1" customWidth="1"/>
    <col min="164" max="164" width="9.140625" style="131"/>
    <col min="166" max="166" width="48.140625" bestFit="1" customWidth="1"/>
    <col min="167" max="172" width="14.5703125" bestFit="1" customWidth="1"/>
    <col min="173" max="173" width="15.28515625" bestFit="1" customWidth="1"/>
    <col min="175" max="175" width="15.85546875" customWidth="1"/>
  </cols>
  <sheetData>
    <row r="1" spans="1:175" ht="15" x14ac:dyDescent="0.25">
      <c r="A1" s="194" t="s">
        <v>110</v>
      </c>
      <c r="O1" s="194" t="s">
        <v>110</v>
      </c>
      <c r="AC1" s="194" t="s">
        <v>110</v>
      </c>
      <c r="AE1" s="42" t="s">
        <v>82</v>
      </c>
      <c r="AO1" s="34"/>
      <c r="AQ1" s="34"/>
      <c r="AU1" s="34"/>
      <c r="BA1" s="143">
        <f>BA2-BA3</f>
        <v>-21490.439999997616</v>
      </c>
      <c r="BB1" s="146" t="s">
        <v>77</v>
      </c>
      <c r="BG1" s="194" t="s">
        <v>110</v>
      </c>
      <c r="BZ1" t="s">
        <v>109</v>
      </c>
      <c r="CX1" s="48" t="s">
        <v>141</v>
      </c>
      <c r="DY1" s="154"/>
      <c r="DZ1" s="154"/>
      <c r="EB1" s="48" t="s">
        <v>139</v>
      </c>
      <c r="FI1" s="48" t="s">
        <v>137</v>
      </c>
    </row>
    <row r="2" spans="1:175" ht="16.5" thickBot="1" x14ac:dyDescent="0.3">
      <c r="A2" s="41" t="s">
        <v>70</v>
      </c>
      <c r="B2" s="28"/>
      <c r="O2" s="195" t="s">
        <v>111</v>
      </c>
      <c r="AC2" s="41" t="s">
        <v>70</v>
      </c>
      <c r="AD2" s="28"/>
      <c r="AE2" s="42" t="s">
        <v>81</v>
      </c>
      <c r="AF2" s="44"/>
      <c r="AG2" s="44"/>
      <c r="AH2" s="44"/>
      <c r="AI2" s="44"/>
      <c r="AJ2" s="44"/>
      <c r="AN2" s="34"/>
      <c r="AO2" s="34"/>
      <c r="AQ2" s="34"/>
      <c r="AR2" s="34"/>
      <c r="AT2" s="34"/>
      <c r="AU2" s="34"/>
      <c r="AV2" s="34"/>
      <c r="AW2" s="34"/>
      <c r="AZ2" s="34"/>
      <c r="BA2" s="34">
        <f>SUM(AE6:AW6)</f>
        <v>89531221.039999992</v>
      </c>
      <c r="BB2" t="s">
        <v>79</v>
      </c>
      <c r="BG2" s="196" t="s">
        <v>112</v>
      </c>
      <c r="BZ2" t="s">
        <v>104</v>
      </c>
      <c r="CB2" s="10">
        <v>44501</v>
      </c>
      <c r="CC2" s="10">
        <v>44531</v>
      </c>
      <c r="CD2" s="10">
        <v>44562</v>
      </c>
      <c r="CE2" s="10">
        <v>44593</v>
      </c>
      <c r="CF2" s="10">
        <v>44621</v>
      </c>
      <c r="CG2" s="10">
        <v>44652</v>
      </c>
      <c r="CH2" s="10">
        <v>44682</v>
      </c>
      <c r="CK2" t="s">
        <v>108</v>
      </c>
      <c r="CM2" s="10">
        <v>44501</v>
      </c>
      <c r="CN2" s="10">
        <v>44531</v>
      </c>
      <c r="CO2" s="10">
        <v>44562</v>
      </c>
      <c r="CP2" s="10">
        <v>44593</v>
      </c>
      <c r="CQ2" s="10">
        <v>44621</v>
      </c>
      <c r="CR2" s="10">
        <v>44652</v>
      </c>
      <c r="CS2" s="10">
        <v>44682</v>
      </c>
      <c r="CX2" s="42" t="s">
        <v>118</v>
      </c>
      <c r="EB2" s="42" t="s">
        <v>140</v>
      </c>
      <c r="FI2" s="42" t="s">
        <v>138</v>
      </c>
    </row>
    <row r="3" spans="1:175" ht="15" customHeight="1" thickBot="1" x14ac:dyDescent="0.3">
      <c r="A3" s="41" t="s">
        <v>57</v>
      </c>
      <c r="P3" s="48"/>
      <c r="AC3" s="41" t="s">
        <v>6</v>
      </c>
      <c r="AO3" s="34"/>
      <c r="BA3" s="34">
        <f>SUM('MEEIA 3 calcs'!F6:X6)</f>
        <v>89552711.479999989</v>
      </c>
      <c r="BB3" t="s">
        <v>80</v>
      </c>
      <c r="BG3" s="174" t="s">
        <v>93</v>
      </c>
      <c r="BH3" s="174" t="s">
        <v>94</v>
      </c>
      <c r="BI3" s="174"/>
      <c r="BJ3" s="174"/>
      <c r="BL3" s="288" t="s">
        <v>41</v>
      </c>
      <c r="BM3" s="282" t="s">
        <v>100</v>
      </c>
      <c r="BN3" s="282"/>
      <c r="BO3" s="282"/>
      <c r="BP3" s="282"/>
      <c r="BQ3" s="282"/>
      <c r="BR3" s="282"/>
      <c r="BS3" s="283"/>
      <c r="BT3" s="175"/>
      <c r="BZ3" s="35"/>
      <c r="CA3" s="11"/>
      <c r="CK3" s="35"/>
      <c r="CL3" s="11"/>
      <c r="CX3" s="42" t="s">
        <v>81</v>
      </c>
      <c r="EB3" s="203"/>
      <c r="EC3" s="204" t="s">
        <v>119</v>
      </c>
      <c r="ED3" s="213"/>
      <c r="EE3" s="213"/>
      <c r="EF3" s="213"/>
      <c r="EG3" s="205"/>
      <c r="EH3" s="206"/>
      <c r="FI3" s="203"/>
      <c r="FJ3" s="204" t="s">
        <v>119</v>
      </c>
      <c r="FK3" s="213"/>
      <c r="FL3" s="213"/>
      <c r="FM3" s="213"/>
      <c r="FN3" s="205"/>
      <c r="FO3" s="206"/>
    </row>
    <row r="4" spans="1:175" ht="16.5" thickBot="1" x14ac:dyDescent="0.3">
      <c r="A4" s="42" t="s">
        <v>76</v>
      </c>
      <c r="O4" s="41"/>
      <c r="P4" s="48"/>
      <c r="Q4" s="44"/>
      <c r="R4" s="44"/>
      <c r="S4" s="44"/>
      <c r="T4" s="44"/>
      <c r="U4" s="44"/>
      <c r="V4" s="44"/>
      <c r="AC4" s="1"/>
      <c r="AE4" s="10">
        <v>43525</v>
      </c>
      <c r="AF4" s="10">
        <v>43556</v>
      </c>
      <c r="AG4" s="10">
        <v>43586</v>
      </c>
      <c r="AH4" s="10">
        <v>43617</v>
      </c>
      <c r="AI4" s="10">
        <v>43647</v>
      </c>
      <c r="AJ4" s="10">
        <v>43678</v>
      </c>
      <c r="AK4" s="10">
        <v>43709</v>
      </c>
      <c r="AL4" s="10">
        <v>43739</v>
      </c>
      <c r="AM4" s="10">
        <v>43770</v>
      </c>
      <c r="AN4" s="10">
        <v>43800</v>
      </c>
      <c r="AO4" s="10">
        <v>43831</v>
      </c>
      <c r="AP4" s="10">
        <v>43862</v>
      </c>
      <c r="AQ4" s="10">
        <v>43891</v>
      </c>
      <c r="AR4" s="10">
        <v>43922</v>
      </c>
      <c r="AS4" s="10">
        <v>43952</v>
      </c>
      <c r="AT4" s="10">
        <v>43983</v>
      </c>
      <c r="AU4" s="10">
        <v>44013</v>
      </c>
      <c r="AV4" s="10">
        <v>44044</v>
      </c>
      <c r="AW4" s="10">
        <v>44075</v>
      </c>
      <c r="AX4" s="10">
        <v>44105</v>
      </c>
      <c r="AY4" s="10">
        <v>44136</v>
      </c>
      <c r="AZ4" s="10">
        <v>44166</v>
      </c>
      <c r="BA4" s="10">
        <v>44197</v>
      </c>
      <c r="BB4" s="10">
        <v>44228</v>
      </c>
      <c r="BC4" s="10">
        <v>44256</v>
      </c>
      <c r="BG4" s="174" t="s">
        <v>42</v>
      </c>
      <c r="BH4" s="174">
        <v>202011</v>
      </c>
      <c r="BI4" s="174">
        <v>202102</v>
      </c>
      <c r="BJ4" s="174" t="s">
        <v>43</v>
      </c>
      <c r="BL4" s="289"/>
      <c r="BM4" s="284"/>
      <c r="BN4" s="284"/>
      <c r="BO4" s="284"/>
      <c r="BP4" s="284"/>
      <c r="BQ4" s="284"/>
      <c r="BR4" s="284"/>
      <c r="BS4" s="285"/>
      <c r="BT4" s="175"/>
      <c r="BZ4" s="276" t="s">
        <v>24</v>
      </c>
      <c r="CA4" s="14"/>
      <c r="CK4" s="276" t="s">
        <v>24</v>
      </c>
      <c r="CL4" s="14"/>
      <c r="CX4" s="1"/>
      <c r="CZ4" s="10">
        <v>44166</v>
      </c>
      <c r="DA4" s="10">
        <v>44197</v>
      </c>
      <c r="DB4" s="10">
        <v>44228</v>
      </c>
      <c r="DC4" s="10">
        <v>44256</v>
      </c>
      <c r="DD4" s="10">
        <v>44287</v>
      </c>
      <c r="DE4" s="10">
        <v>44317</v>
      </c>
      <c r="DF4" s="10">
        <v>44348</v>
      </c>
      <c r="DG4" s="10">
        <v>44378</v>
      </c>
      <c r="DH4" s="10">
        <v>44409</v>
      </c>
      <c r="DI4" s="10">
        <v>44440</v>
      </c>
      <c r="DJ4" s="10">
        <v>44470</v>
      </c>
      <c r="DK4" s="10">
        <v>44501</v>
      </c>
      <c r="DL4" s="10">
        <v>44531</v>
      </c>
      <c r="DM4" s="10">
        <v>44562</v>
      </c>
      <c r="DN4" s="10">
        <v>44593</v>
      </c>
      <c r="DO4" s="10">
        <v>44621</v>
      </c>
      <c r="DP4" s="10">
        <v>44652</v>
      </c>
      <c r="DQ4" s="10">
        <v>44682</v>
      </c>
      <c r="DR4" s="10">
        <v>44713</v>
      </c>
      <c r="DS4" s="10">
        <v>44743</v>
      </c>
      <c r="DT4" s="10">
        <v>44774</v>
      </c>
      <c r="DU4" s="10">
        <v>44805</v>
      </c>
      <c r="DV4" s="10">
        <v>44835</v>
      </c>
      <c r="DW4" s="10">
        <v>44866</v>
      </c>
      <c r="DX4" s="10">
        <v>44896</v>
      </c>
      <c r="DY4" s="40" t="s">
        <v>117</v>
      </c>
      <c r="DZ4" s="40" t="s">
        <v>77</v>
      </c>
      <c r="EB4" s="1"/>
      <c r="ED4" s="210">
        <v>44136</v>
      </c>
      <c r="EE4" s="210">
        <v>44166</v>
      </c>
      <c r="EF4" s="214">
        <v>44197</v>
      </c>
      <c r="EG4" s="212">
        <v>44228</v>
      </c>
      <c r="EH4" s="10">
        <v>44256</v>
      </c>
      <c r="EI4" s="10">
        <v>44287</v>
      </c>
      <c r="EJ4" s="211">
        <v>44317</v>
      </c>
      <c r="EK4" s="210">
        <v>44348</v>
      </c>
      <c r="EL4" s="212">
        <v>44378</v>
      </c>
      <c r="EM4" s="10">
        <v>44409</v>
      </c>
      <c r="EN4" s="10">
        <v>44440</v>
      </c>
      <c r="EO4" s="211">
        <v>44470</v>
      </c>
      <c r="EP4" s="210">
        <v>44501</v>
      </c>
      <c r="EQ4" s="220">
        <v>44531</v>
      </c>
      <c r="ER4" s="210">
        <v>44562</v>
      </c>
      <c r="ES4" s="212">
        <v>44593</v>
      </c>
      <c r="ET4" s="10">
        <v>44621</v>
      </c>
      <c r="EU4" s="10">
        <v>44652</v>
      </c>
      <c r="EV4" s="10">
        <v>44682</v>
      </c>
      <c r="EW4" s="10">
        <v>44713</v>
      </c>
      <c r="EX4" s="10">
        <v>44743</v>
      </c>
      <c r="EY4" s="211">
        <v>44774</v>
      </c>
      <c r="EZ4" s="210">
        <v>44805</v>
      </c>
      <c r="FA4" s="212">
        <v>44835</v>
      </c>
      <c r="FB4" s="10">
        <v>44866</v>
      </c>
      <c r="FC4" s="10">
        <v>44896</v>
      </c>
      <c r="FD4" s="211">
        <v>44927</v>
      </c>
      <c r="FE4" s="210">
        <v>44958</v>
      </c>
      <c r="FI4" s="1"/>
      <c r="FK4" s="212">
        <v>45017</v>
      </c>
      <c r="FL4" s="212">
        <v>45047</v>
      </c>
      <c r="FM4" s="212">
        <v>45078</v>
      </c>
      <c r="FN4" s="221">
        <v>45108</v>
      </c>
      <c r="FO4" s="222">
        <v>45139</v>
      </c>
      <c r="FP4" s="222">
        <v>45170</v>
      </c>
    </row>
    <row r="5" spans="1:175" ht="15" customHeight="1" thickBot="1" x14ac:dyDescent="0.3">
      <c r="C5" s="10">
        <v>43525</v>
      </c>
      <c r="D5" s="10">
        <v>43556</v>
      </c>
      <c r="E5" s="10">
        <v>43586</v>
      </c>
      <c r="F5" s="10">
        <v>43617</v>
      </c>
      <c r="G5" s="10">
        <v>43677</v>
      </c>
      <c r="H5" s="10">
        <v>43708</v>
      </c>
      <c r="I5" s="10">
        <v>43738</v>
      </c>
      <c r="J5" s="10">
        <v>43769</v>
      </c>
      <c r="O5" s="48"/>
      <c r="AC5" s="279" t="s">
        <v>0</v>
      </c>
      <c r="AD5" s="5"/>
      <c r="AE5" s="25"/>
      <c r="AF5" s="25"/>
      <c r="AG5" s="25"/>
      <c r="AH5" s="25"/>
      <c r="AI5" s="25"/>
      <c r="AJ5" s="25"/>
      <c r="AK5" s="25"/>
      <c r="AL5" s="25"/>
      <c r="AM5" s="25"/>
      <c r="AN5" s="7"/>
      <c r="AO5" s="25"/>
      <c r="AP5" s="25"/>
      <c r="AQ5" s="25"/>
      <c r="AR5" s="25"/>
      <c r="AS5" s="25"/>
      <c r="AT5" s="25"/>
      <c r="AU5" s="25"/>
      <c r="AV5" s="25"/>
      <c r="AW5" s="25"/>
      <c r="AX5" s="25"/>
      <c r="AY5" s="25"/>
      <c r="AZ5" s="25"/>
      <c r="BA5" s="25"/>
      <c r="BB5" s="25"/>
      <c r="BC5" s="25"/>
      <c r="BG5" s="162" t="s">
        <v>95</v>
      </c>
      <c r="BH5" s="49">
        <v>55359.71</v>
      </c>
      <c r="BI5" s="49">
        <v>5108</v>
      </c>
      <c r="BJ5" s="49">
        <v>60467.71</v>
      </c>
      <c r="BL5" s="290"/>
      <c r="BM5" s="286"/>
      <c r="BN5" s="286"/>
      <c r="BO5" s="286"/>
      <c r="BP5" s="286"/>
      <c r="BQ5" s="286"/>
      <c r="BR5" s="286"/>
      <c r="BS5" s="287"/>
      <c r="BT5" s="175"/>
      <c r="BZ5" s="276"/>
      <c r="CA5" s="14" t="s">
        <v>27</v>
      </c>
      <c r="CB5" s="191">
        <v>1693340.1593012405</v>
      </c>
      <c r="CC5" s="191">
        <v>2043834.5150522972</v>
      </c>
      <c r="CD5" s="191">
        <v>2546894.0685010902</v>
      </c>
      <c r="CE5" s="191">
        <v>2089616.4766016018</v>
      </c>
      <c r="CF5" s="191">
        <v>912247.85076541686</v>
      </c>
      <c r="CG5" s="191">
        <v>846334.21711913729</v>
      </c>
      <c r="CH5" s="191">
        <v>1066637.678205363</v>
      </c>
      <c r="CK5" s="276"/>
      <c r="CL5" s="14" t="s">
        <v>27</v>
      </c>
      <c r="CM5" s="191">
        <v>1693340.1593012405</v>
      </c>
      <c r="CN5" s="191">
        <v>2043834.5150522967</v>
      </c>
      <c r="CO5" s="191">
        <v>2546894.0685010906</v>
      </c>
      <c r="CP5" s="191">
        <v>2089616.4766016016</v>
      </c>
      <c r="CQ5" s="191">
        <v>912247.85076541686</v>
      </c>
      <c r="CR5" s="191">
        <v>846334.21711913729</v>
      </c>
      <c r="CS5" s="191">
        <v>1066637.678205363</v>
      </c>
      <c r="CX5" s="279" t="s">
        <v>0</v>
      </c>
      <c r="CY5" s="5"/>
      <c r="CZ5" s="25"/>
      <c r="DA5" s="25"/>
      <c r="DB5" s="25"/>
      <c r="DC5" s="134">
        <v>-21982.399999997611</v>
      </c>
      <c r="DD5" s="25"/>
      <c r="DE5" s="25"/>
      <c r="DF5" s="25"/>
      <c r="DG5" s="25"/>
      <c r="DH5" s="25"/>
      <c r="DI5" s="25"/>
      <c r="DJ5" s="25"/>
      <c r="DK5" s="186">
        <v>-60592.04</v>
      </c>
      <c r="DL5" s="25"/>
      <c r="DM5" s="25"/>
      <c r="DN5" s="189">
        <v>-696108.1955235654</v>
      </c>
      <c r="DO5" s="25"/>
      <c r="DP5" s="25"/>
      <c r="DQ5" s="25"/>
      <c r="DR5" s="25"/>
      <c r="DS5" s="25"/>
      <c r="DT5" s="25"/>
      <c r="DU5" s="25"/>
      <c r="DV5" s="25"/>
      <c r="DW5" s="25"/>
      <c r="DX5" s="25"/>
      <c r="EB5" s="279" t="s">
        <v>0</v>
      </c>
      <c r="EC5" s="5"/>
      <c r="ED5" s="25"/>
      <c r="EE5" s="25"/>
      <c r="EF5" s="25"/>
      <c r="EG5" s="25"/>
      <c r="EH5" s="134">
        <v>-21982.399999997611</v>
      </c>
      <c r="EI5" s="25"/>
      <c r="EJ5" s="25"/>
      <c r="EK5" s="25"/>
      <c r="EL5" s="25"/>
      <c r="EM5" s="25"/>
      <c r="EN5" s="25"/>
      <c r="EO5" s="25"/>
      <c r="EP5" s="186">
        <v>-60592.04</v>
      </c>
      <c r="EQ5" s="25"/>
      <c r="ER5" s="25"/>
      <c r="ES5" s="189">
        <v>-696083.55703392881</v>
      </c>
      <c r="ET5" s="25"/>
      <c r="EU5" s="25"/>
      <c r="EV5" s="25"/>
      <c r="EW5" s="25"/>
      <c r="EX5" s="25"/>
      <c r="EY5" s="25"/>
      <c r="EZ5" s="25"/>
      <c r="FA5" s="25"/>
      <c r="FB5" s="25"/>
      <c r="FC5" s="25"/>
      <c r="FD5" s="186">
        <v>-558.33848963666242</v>
      </c>
      <c r="FE5" s="202"/>
      <c r="FI5" s="279" t="s">
        <v>0</v>
      </c>
      <c r="FJ5" s="5"/>
      <c r="FK5" s="25"/>
      <c r="FL5" s="25"/>
      <c r="FM5" s="25"/>
      <c r="FN5" s="25"/>
      <c r="FO5" s="135"/>
      <c r="FP5" s="25"/>
      <c r="FQ5" s="4" t="s">
        <v>117</v>
      </c>
      <c r="FR5" s="4" t="s">
        <v>77</v>
      </c>
    </row>
    <row r="6" spans="1:175" s="4" customFormat="1" ht="15" customHeight="1" outlineLevel="1" thickBot="1" x14ac:dyDescent="0.3">
      <c r="A6" s="276" t="s">
        <v>19</v>
      </c>
      <c r="B6" s="14"/>
      <c r="C6" s="7"/>
      <c r="D6" s="7"/>
      <c r="E6" s="7"/>
      <c r="F6" s="7"/>
      <c r="G6" s="7"/>
      <c r="H6" s="7"/>
      <c r="I6" s="7"/>
      <c r="J6" s="7"/>
      <c r="M6" s="132"/>
      <c r="N6" s="132"/>
      <c r="O6" s="1"/>
      <c r="P6"/>
      <c r="Q6" s="25"/>
      <c r="R6" s="25"/>
      <c r="S6" s="25"/>
      <c r="T6" s="25"/>
      <c r="U6" s="25"/>
      <c r="V6" s="25"/>
      <c r="W6" s="25"/>
      <c r="X6" s="25"/>
      <c r="Y6" s="25"/>
      <c r="Z6" s="25"/>
      <c r="AA6" s="25"/>
      <c r="AB6" s="139"/>
      <c r="AC6" s="279"/>
      <c r="AD6" s="5" t="s">
        <v>8</v>
      </c>
      <c r="AE6" s="101">
        <v>3252815.75</v>
      </c>
      <c r="AF6" s="101">
        <v>1422986.87</v>
      </c>
      <c r="AG6" s="101">
        <v>2645551.35</v>
      </c>
      <c r="AH6" s="101">
        <v>3088690.25</v>
      </c>
      <c r="AI6" s="101">
        <v>3806682.5</v>
      </c>
      <c r="AJ6" s="20">
        <v>5667444.0099999998</v>
      </c>
      <c r="AK6" s="108">
        <v>4672438.71</v>
      </c>
      <c r="AL6" s="21">
        <v>4693766.1500000032</v>
      </c>
      <c r="AM6" s="101">
        <v>7981786.4500000002</v>
      </c>
      <c r="AN6" s="108">
        <v>14291134.550000001</v>
      </c>
      <c r="AO6" s="108">
        <v>2300283.0099999998</v>
      </c>
      <c r="AP6" s="101">
        <v>3259237</v>
      </c>
      <c r="AQ6" s="20">
        <v>4668387.1399999997</v>
      </c>
      <c r="AR6" s="101">
        <v>3350399.73</v>
      </c>
      <c r="AS6" s="101">
        <v>3508689.71</v>
      </c>
      <c r="AT6" s="20">
        <v>4570550.08</v>
      </c>
      <c r="AU6" s="101">
        <v>4337315.05</v>
      </c>
      <c r="AV6" s="101">
        <v>5131582.76</v>
      </c>
      <c r="AW6" s="101">
        <v>6881479.9699999997</v>
      </c>
      <c r="AX6" s="20">
        <v>5075926.8299999991</v>
      </c>
      <c r="AY6" s="20">
        <v>8226323.5899999999</v>
      </c>
      <c r="AZ6" s="20">
        <v>17050986.669999998</v>
      </c>
      <c r="BA6" s="20">
        <v>3390691.4000000004</v>
      </c>
      <c r="BB6" s="20">
        <v>3040542.4899999993</v>
      </c>
      <c r="BC6" s="20">
        <v>6776151.4500000002</v>
      </c>
      <c r="BF6" s="132"/>
      <c r="BG6" s="172" t="s">
        <v>43</v>
      </c>
      <c r="BH6" s="173">
        <v>55359.71</v>
      </c>
      <c r="BI6" s="173">
        <v>5108</v>
      </c>
      <c r="BJ6" s="173">
        <v>60467.71</v>
      </c>
      <c r="BK6" s="48" t="s">
        <v>41</v>
      </c>
      <c r="BL6" s="176"/>
      <c r="BM6" s="175"/>
      <c r="BN6" s="175"/>
      <c r="BO6" s="175"/>
      <c r="BP6" s="175"/>
      <c r="BQ6" s="175"/>
      <c r="BR6" s="175"/>
      <c r="BS6" s="175"/>
      <c r="BT6" s="175"/>
      <c r="BY6" s="132"/>
      <c r="BZ6" s="276"/>
      <c r="CA6" s="15" t="s">
        <v>25</v>
      </c>
      <c r="CB6" s="191">
        <v>2313567.6800000002</v>
      </c>
      <c r="CC6" s="191">
        <v>2791286.27</v>
      </c>
      <c r="CD6" s="191">
        <v>3345196.33</v>
      </c>
      <c r="CE6" s="191">
        <v>2693584.13</v>
      </c>
      <c r="CF6" s="191">
        <v>1313029.4300000002</v>
      </c>
      <c r="CG6" s="191">
        <v>1059088.8899999999</v>
      </c>
      <c r="CH6" s="191">
        <v>1067990.67</v>
      </c>
      <c r="CK6" s="276"/>
      <c r="CL6" s="15" t="s">
        <v>25</v>
      </c>
      <c r="CM6" s="191">
        <v>2313567.6799999997</v>
      </c>
      <c r="CN6" s="191">
        <v>2791286.27</v>
      </c>
      <c r="CO6" s="191">
        <v>3345196.33</v>
      </c>
      <c r="CP6" s="191">
        <v>2693584.13</v>
      </c>
      <c r="CQ6" s="191">
        <v>1313029.43</v>
      </c>
      <c r="CR6" s="191">
        <v>1059088.8899999999</v>
      </c>
      <c r="CS6" s="191">
        <v>1067990.67</v>
      </c>
      <c r="CW6" s="132"/>
      <c r="CX6" s="279"/>
      <c r="CY6" s="5" t="s">
        <v>8</v>
      </c>
      <c r="CZ6" s="20">
        <v>17050986.669999998</v>
      </c>
      <c r="DA6" s="20">
        <v>3390691.4000000004</v>
      </c>
      <c r="DB6" s="20">
        <v>3040542.4899999993</v>
      </c>
      <c r="DC6" s="20">
        <v>6776151.4500000002</v>
      </c>
      <c r="DD6" s="147">
        <v>3593096.5983472401</v>
      </c>
      <c r="DE6" s="147">
        <v>3249816.752362628</v>
      </c>
      <c r="DF6" s="158">
        <v>6101138.4180074409</v>
      </c>
      <c r="DG6" s="158">
        <v>5074049.6564757768</v>
      </c>
      <c r="DH6" s="147">
        <v>6150752.0389186945</v>
      </c>
      <c r="DI6" s="147">
        <v>4538886.177325543</v>
      </c>
      <c r="DJ6" s="147">
        <v>5908069.5179605344</v>
      </c>
      <c r="DK6" s="147">
        <v>11097280.277224224</v>
      </c>
      <c r="DL6" s="147">
        <v>21856497.240487527</v>
      </c>
      <c r="DM6" s="147">
        <v>-1206005.0706461675</v>
      </c>
      <c r="DN6" s="147">
        <v>3292003.067914797</v>
      </c>
      <c r="DO6" s="158">
        <v>3848947.3665742185</v>
      </c>
      <c r="DP6" s="158">
        <v>4452149.213101591</v>
      </c>
      <c r="DQ6" s="158">
        <v>3309739.301438381</v>
      </c>
      <c r="DR6" s="158">
        <v>6747915.2307812814</v>
      </c>
      <c r="DS6" s="158">
        <v>3534427.1880222401</v>
      </c>
      <c r="DT6" s="158">
        <v>5677135.2112908112</v>
      </c>
      <c r="DU6" s="158">
        <v>6241030.1127156857</v>
      </c>
      <c r="DV6" s="158">
        <v>4203952.8957806081</v>
      </c>
      <c r="DW6" s="158">
        <v>6030542.0242398335</v>
      </c>
      <c r="DX6" s="158">
        <v>20772311.523251541</v>
      </c>
      <c r="DY6" s="187"/>
      <c r="DZ6" s="187"/>
      <c r="EA6" s="132"/>
      <c r="EB6" s="279"/>
      <c r="EC6" s="5" t="s">
        <v>8</v>
      </c>
      <c r="ED6" s="209">
        <f>8226323.59-600</f>
        <v>8225723.5899999999</v>
      </c>
      <c r="EE6" s="209">
        <f>17050986.67-700</f>
        <v>17050286.670000002</v>
      </c>
      <c r="EF6" s="209">
        <f>3390691.4-200</f>
        <v>3390491.4</v>
      </c>
      <c r="EG6" s="207">
        <v>3040542.4899999993</v>
      </c>
      <c r="EH6" s="20">
        <v>6776151.4500000002</v>
      </c>
      <c r="EI6" s="147">
        <v>3593096.5983472401</v>
      </c>
      <c r="EJ6" s="215">
        <v>3249816.752362628</v>
      </c>
      <c r="EK6" s="209">
        <f>6101138.41800744-50</f>
        <v>6101088.4180074399</v>
      </c>
      <c r="EL6" s="216">
        <v>5074049.6564757768</v>
      </c>
      <c r="EM6" s="147">
        <v>6150752.0389186945</v>
      </c>
      <c r="EN6" s="147">
        <v>4538886.177325543</v>
      </c>
      <c r="EO6" s="215">
        <v>5908069.5179605344</v>
      </c>
      <c r="EP6" s="209">
        <f>11097280.2772242-34998.7</f>
        <v>11062281.577224201</v>
      </c>
      <c r="EQ6" s="219">
        <v>21856497.240487527</v>
      </c>
      <c r="ER6" s="209">
        <f>-1206005.07064617-50+562.24</f>
        <v>-1205492.8306461701</v>
      </c>
      <c r="ES6" s="218">
        <v>3292003.067914797</v>
      </c>
      <c r="ET6" s="158">
        <v>3848947.3665742185</v>
      </c>
      <c r="EU6" s="158">
        <v>4452149.213101591</v>
      </c>
      <c r="EV6" s="158">
        <v>3309739.301438381</v>
      </c>
      <c r="EW6" s="158">
        <v>6747915.2307812814</v>
      </c>
      <c r="EX6" s="158">
        <v>3534427.1880222401</v>
      </c>
      <c r="EY6" s="217">
        <v>5677135.2112908112</v>
      </c>
      <c r="EZ6" s="209">
        <f>6241030.11271569-50</f>
        <v>6240980.1127156904</v>
      </c>
      <c r="FA6" s="216">
        <v>4203952.8957806081</v>
      </c>
      <c r="FB6" s="158">
        <v>6030542.0242398335</v>
      </c>
      <c r="FC6" s="158">
        <v>20772311.523251541</v>
      </c>
      <c r="FD6" s="217">
        <v>2818085.4973094049</v>
      </c>
      <c r="FE6" s="209">
        <f>4550893.02178579+1650+34998.7-562.24</f>
        <v>4586979.4817857901</v>
      </c>
      <c r="FH6" s="132"/>
      <c r="FI6" s="279"/>
      <c r="FJ6" s="5" t="s">
        <v>8</v>
      </c>
      <c r="FK6" s="147">
        <v>3635955.4282210199</v>
      </c>
      <c r="FL6" s="147">
        <v>5940478.5337780621</v>
      </c>
      <c r="FM6" s="147">
        <v>4864955.095925808</v>
      </c>
      <c r="FN6" s="223">
        <v>6176070.0560897402</v>
      </c>
      <c r="FO6" s="223">
        <v>4736206.0668771267</v>
      </c>
      <c r="FP6" s="223">
        <v>4816670.9585450059</v>
      </c>
      <c r="FQ6" s="187">
        <f>SUM('MEEIA 3 calcs'!BF6:BH6)</f>
        <v>15728605.894832086</v>
      </c>
      <c r="FR6" s="185">
        <f>SUM(FN6:FP6)-FQ6</f>
        <v>341.18667978793383</v>
      </c>
      <c r="FS6" s="4" t="s">
        <v>123</v>
      </c>
    </row>
    <row r="7" spans="1:175" s="2" customFormat="1" ht="15" customHeight="1" outlineLevel="1" thickBot="1" x14ac:dyDescent="0.3">
      <c r="A7" s="276"/>
      <c r="B7" s="14" t="s">
        <v>27</v>
      </c>
      <c r="C7" s="19">
        <f>C87</f>
        <v>0</v>
      </c>
      <c r="D7" s="19">
        <f t="shared" ref="D7:J7" si="0">D87</f>
        <v>3542.7066619947968</v>
      </c>
      <c r="E7" s="19">
        <f t="shared" si="0"/>
        <v>26593.748856903429</v>
      </c>
      <c r="F7" s="19">
        <f t="shared" si="0"/>
        <v>243363.92907678595</v>
      </c>
      <c r="G7" s="19">
        <f t="shared" si="0"/>
        <v>441129.8099540461</v>
      </c>
      <c r="H7" s="19">
        <f t="shared" si="0"/>
        <v>538094.32023088727</v>
      </c>
      <c r="I7" s="19">
        <f t="shared" si="0"/>
        <v>374963.26089269412</v>
      </c>
      <c r="J7" s="19">
        <f t="shared" si="0"/>
        <v>137835.66546242539</v>
      </c>
      <c r="M7" s="133"/>
      <c r="N7" s="133"/>
      <c r="O7" s="127" t="s">
        <v>0</v>
      </c>
      <c r="P7" s="120"/>
      <c r="Q7" s="25"/>
      <c r="R7" s="25"/>
      <c r="S7" s="25"/>
      <c r="T7" s="25"/>
      <c r="U7" s="25"/>
      <c r="V7" s="25"/>
      <c r="W7" s="25"/>
      <c r="X7" s="25"/>
      <c r="Y7" s="25"/>
      <c r="Z7" s="106"/>
      <c r="AA7" s="25"/>
      <c r="AB7" s="139"/>
      <c r="AC7" s="279"/>
      <c r="AD7" s="5" t="s">
        <v>9</v>
      </c>
      <c r="AE7" s="21">
        <v>0</v>
      </c>
      <c r="AF7" s="21">
        <v>0</v>
      </c>
      <c r="AG7" s="21">
        <v>453008.63</v>
      </c>
      <c r="AH7" s="21">
        <v>6131398.7699999996</v>
      </c>
      <c r="AI7" s="21">
        <v>7440020.2300000004</v>
      </c>
      <c r="AJ7" s="21">
        <v>7787637.1200000001</v>
      </c>
      <c r="AK7" s="20">
        <v>7415530.5499999998</v>
      </c>
      <c r="AL7" s="21">
        <v>6393806.0300000003</v>
      </c>
      <c r="AM7" s="21">
        <v>5729648.6699999999</v>
      </c>
      <c r="AN7" s="20">
        <v>7016994.2000000002</v>
      </c>
      <c r="AO7" s="21">
        <v>7580344.1500000004</v>
      </c>
      <c r="AP7" s="21">
        <v>6780583.4199999999</v>
      </c>
      <c r="AQ7" s="21">
        <v>5258818.8899999997</v>
      </c>
      <c r="AR7" s="21">
        <v>4379338.6900000004</v>
      </c>
      <c r="AS7" s="21">
        <v>4010923.17</v>
      </c>
      <c r="AT7" s="21">
        <v>4897738.25</v>
      </c>
      <c r="AU7" s="21">
        <v>6248757.4000000004</v>
      </c>
      <c r="AV7" s="21">
        <v>6053644.0300000003</v>
      </c>
      <c r="AW7" s="21">
        <v>5708518.8099999996</v>
      </c>
      <c r="AX7" s="21">
        <v>4362797.6900000004</v>
      </c>
      <c r="AY7" s="21">
        <v>4453895.6900000004</v>
      </c>
      <c r="AZ7" s="21">
        <v>5320333.05</v>
      </c>
      <c r="BA7" s="21">
        <v>6316759.2699999996</v>
      </c>
      <c r="BB7" s="21">
        <v>7583892.4100000001</v>
      </c>
      <c r="BC7" s="21">
        <v>7418563.8899999997</v>
      </c>
      <c r="BF7" s="133"/>
      <c r="BG7"/>
      <c r="BH7"/>
      <c r="BI7"/>
      <c r="BJ7"/>
      <c r="BK7"/>
      <c r="BL7" s="176"/>
      <c r="BM7" s="175"/>
      <c r="BN7" s="175"/>
      <c r="BO7" s="175"/>
      <c r="BP7" s="175"/>
      <c r="BQ7" s="175"/>
      <c r="BR7" s="175"/>
      <c r="BS7" s="175"/>
      <c r="BT7" s="175"/>
      <c r="BY7" s="133"/>
      <c r="BZ7" s="276"/>
      <c r="CA7" s="15" t="s">
        <v>45</v>
      </c>
      <c r="CB7" s="191">
        <v>-281268.86</v>
      </c>
      <c r="CC7" s="191">
        <v>-341119.99</v>
      </c>
      <c r="CD7" s="191">
        <v>-424246.17</v>
      </c>
      <c r="CE7" s="191">
        <v>-37488.600000000006</v>
      </c>
      <c r="CF7" s="191">
        <v>-16454.500000000015</v>
      </c>
      <c r="CG7" s="191">
        <v>-60641.26999999999</v>
      </c>
      <c r="CH7" s="191">
        <v>8124.2599999999948</v>
      </c>
      <c r="CK7" s="276"/>
      <c r="CL7" s="15" t="s">
        <v>45</v>
      </c>
      <c r="CM7" s="191">
        <v>-281268.86</v>
      </c>
      <c r="CN7" s="191">
        <v>-341119.99</v>
      </c>
      <c r="CO7" s="191">
        <v>-424246.17</v>
      </c>
      <c r="CP7" s="191">
        <v>-37488.600000000006</v>
      </c>
      <c r="CQ7" s="191">
        <v>-16454.500000000015</v>
      </c>
      <c r="CR7" s="191">
        <v>-60641.26999999999</v>
      </c>
      <c r="CS7" s="191">
        <v>8124.2599999999948</v>
      </c>
      <c r="CW7" s="133"/>
      <c r="CX7" s="279"/>
      <c r="CY7" s="5" t="s">
        <v>9</v>
      </c>
      <c r="CZ7" s="21">
        <v>5320333.05</v>
      </c>
      <c r="DA7" s="21">
        <v>6316759.2699999996</v>
      </c>
      <c r="DB7" s="21">
        <v>7583892.4100000001</v>
      </c>
      <c r="DC7" s="21">
        <v>7418563.8899999997</v>
      </c>
      <c r="DD7" s="21">
        <v>5953301.3499999996</v>
      </c>
      <c r="DE7" s="21">
        <v>5846801.6900000004</v>
      </c>
      <c r="DF7" s="21">
        <v>6866409.0999999996</v>
      </c>
      <c r="DG7" s="21">
        <v>8666483.5800000001</v>
      </c>
      <c r="DH7" s="21">
        <v>8626819.1899999995</v>
      </c>
      <c r="DI7" s="21">
        <v>8648916.9199999999</v>
      </c>
      <c r="DJ7" s="21">
        <v>6801979.5499999998</v>
      </c>
      <c r="DK7" s="21">
        <v>6087767.6399999997</v>
      </c>
      <c r="DL7" s="21">
        <v>7335343.4299999997</v>
      </c>
      <c r="DM7" s="21">
        <v>8532489.0299999993</v>
      </c>
      <c r="DN7" s="21">
        <v>8009630.25</v>
      </c>
      <c r="DO7" s="21">
        <v>5791599.6900000004</v>
      </c>
      <c r="DP7" s="21">
        <v>4647344.92</v>
      </c>
      <c r="DQ7" s="21">
        <v>4780045.8499999996</v>
      </c>
      <c r="DR7" s="21">
        <v>5750871.1299999999</v>
      </c>
      <c r="DS7" s="21">
        <v>7180666.5599999996</v>
      </c>
      <c r="DT7" s="21">
        <v>6958397.0999999996</v>
      </c>
      <c r="DU7" s="21">
        <v>6191523.1299999999</v>
      </c>
      <c r="DV7" s="21">
        <v>4873657.1900000004</v>
      </c>
      <c r="DW7" s="21">
        <v>4698871.1399999997</v>
      </c>
      <c r="DX7" s="21">
        <v>6121032.0199999996</v>
      </c>
      <c r="DY7" s="198"/>
      <c r="DZ7" s="198"/>
      <c r="EA7" s="133"/>
      <c r="EB7" s="279"/>
      <c r="EC7" s="5" t="s">
        <v>9</v>
      </c>
      <c r="ED7" s="208">
        <v>4453895.6900000004</v>
      </c>
      <c r="EE7" s="208">
        <v>5320333.05</v>
      </c>
      <c r="EF7" s="208">
        <v>6316759.2699999996</v>
      </c>
      <c r="EG7" s="21">
        <v>7583892.4100000001</v>
      </c>
      <c r="EH7" s="21">
        <v>7418563.8899999997</v>
      </c>
      <c r="EI7" s="21">
        <v>5953301.3499999996</v>
      </c>
      <c r="EJ7" s="21">
        <v>5846801.6900000004</v>
      </c>
      <c r="EK7" s="208">
        <v>6866409.0999999996</v>
      </c>
      <c r="EL7" s="21">
        <v>8666483.5800000001</v>
      </c>
      <c r="EM7" s="21">
        <v>8626819.1899999995</v>
      </c>
      <c r="EN7" s="21">
        <v>8648916.9199999999</v>
      </c>
      <c r="EO7" s="21">
        <v>6801979.5499999998</v>
      </c>
      <c r="EP7" s="208">
        <v>6087767.6399999997</v>
      </c>
      <c r="EQ7" s="21">
        <v>7335343.4299999997</v>
      </c>
      <c r="ER7" s="208">
        <v>8532489.0299999993</v>
      </c>
      <c r="ES7" s="21">
        <v>8009630.25</v>
      </c>
      <c r="ET7" s="21">
        <v>5791599.6900000004</v>
      </c>
      <c r="EU7" s="21">
        <v>4647344.92</v>
      </c>
      <c r="EV7" s="21">
        <v>4780045.8499999996</v>
      </c>
      <c r="EW7" s="21">
        <v>5750871.1299999999</v>
      </c>
      <c r="EX7" s="21">
        <v>7180666.5599999996</v>
      </c>
      <c r="EY7" s="21">
        <v>6958397.0999999996</v>
      </c>
      <c r="EZ7" s="208">
        <v>6191523.1299999999</v>
      </c>
      <c r="FA7" s="21">
        <v>4873657.1900000004</v>
      </c>
      <c r="FB7" s="21">
        <v>4698871.1399999997</v>
      </c>
      <c r="FC7" s="21">
        <v>6121032.0199999996</v>
      </c>
      <c r="FD7" s="21">
        <v>6865628.9100000001</v>
      </c>
      <c r="FE7" s="208">
        <v>5890167.4000000004</v>
      </c>
      <c r="FH7" s="133"/>
      <c r="FI7" s="279"/>
      <c r="FJ7" s="5" t="s">
        <v>9</v>
      </c>
      <c r="FK7" s="21">
        <v>4647331.4400000004</v>
      </c>
      <c r="FL7" s="21">
        <v>4309653.22</v>
      </c>
      <c r="FM7" s="21">
        <v>5155063.0199999996</v>
      </c>
      <c r="FN7" s="21">
        <v>6058263.3600000003</v>
      </c>
      <c r="FO7" s="21">
        <v>6335389.6200000001</v>
      </c>
      <c r="FP7" s="21">
        <v>6078515.6699999999</v>
      </c>
    </row>
    <row r="8" spans="1:175" s="4" customFormat="1" ht="15" customHeight="1" outlineLevel="1" x14ac:dyDescent="0.25">
      <c r="A8" s="276"/>
      <c r="B8" s="15" t="s">
        <v>25</v>
      </c>
      <c r="C8" s="19">
        <f>IF('M3 Allocations - TD'!D51="","",'M3 Allocations - TD'!D69)</f>
        <v>0</v>
      </c>
      <c r="D8" s="19">
        <f>IF('M3 Allocations - TD'!E51="","",'M3 Allocations - TD'!E69)</f>
        <v>0</v>
      </c>
      <c r="E8" s="19">
        <f>IF('M3 Allocations - TD'!F51="","",'M3 Allocations - TD'!F69)</f>
        <v>28636.335868779192</v>
      </c>
      <c r="F8" s="19">
        <f>IF('M3 Allocations - TD'!G51="","",'M3 Allocations - TD'!G69)</f>
        <v>344669.92129031231</v>
      </c>
      <c r="G8" s="19">
        <f>IF('M3 Allocations - TD'!H51="","",'M3 Allocations - TD'!H69)</f>
        <v>437739.69493695599</v>
      </c>
      <c r="H8" s="19">
        <f>IF('M3 Allocations - TD'!I51="","",'M3 Allocations - TD'!I69)</f>
        <v>461093.89388914994</v>
      </c>
      <c r="I8" s="19">
        <f>IF('M3 Allocations - TD'!J51="","",'M3 Allocations - TD'!J69)</f>
        <v>425531.99443758972</v>
      </c>
      <c r="J8" s="19">
        <f>IF('M3 Allocations - TD'!K51="","",'M3 Allocations - TD'!K69)</f>
        <v>350101.97926152864</v>
      </c>
      <c r="M8" s="132"/>
      <c r="N8" s="132"/>
      <c r="O8" s="127"/>
      <c r="P8" s="120"/>
      <c r="Q8" s="115"/>
      <c r="R8" s="115"/>
      <c r="S8" s="115"/>
      <c r="T8" s="115"/>
      <c r="U8" s="115"/>
      <c r="V8" s="115"/>
      <c r="W8" s="106"/>
      <c r="X8" s="106"/>
      <c r="Y8" s="115"/>
      <c r="Z8" s="106"/>
      <c r="AA8" s="106"/>
      <c r="AB8" s="140"/>
      <c r="AC8" s="279"/>
      <c r="AD8" s="5" t="s">
        <v>10</v>
      </c>
      <c r="AE8" s="7">
        <v>3252815.75</v>
      </c>
      <c r="AF8" s="7">
        <v>1422986.87</v>
      </c>
      <c r="AG8" s="7">
        <v>2192542.7200000002</v>
      </c>
      <c r="AH8" s="8">
        <v>-3042708.5199999996</v>
      </c>
      <c r="AI8" s="8">
        <v>-3633337.7300000004</v>
      </c>
      <c r="AJ8" s="8">
        <v>-2120193.1100000003</v>
      </c>
      <c r="AK8" s="8">
        <v>-2743091.84</v>
      </c>
      <c r="AL8" s="8">
        <v>-1700039.8799999971</v>
      </c>
      <c r="AM8" s="8">
        <v>2252137.7800000003</v>
      </c>
      <c r="AN8" s="8">
        <v>7274140.3500000006</v>
      </c>
      <c r="AO8" s="8">
        <v>-5280061.1400000006</v>
      </c>
      <c r="AP8" s="8">
        <v>-3521346.42</v>
      </c>
      <c r="AQ8" s="8">
        <v>-590431.75</v>
      </c>
      <c r="AR8" s="8">
        <v>-1028938.9600000004</v>
      </c>
      <c r="AS8" s="8">
        <v>-502233.45999999996</v>
      </c>
      <c r="AT8" s="8">
        <v>-327188.16999999993</v>
      </c>
      <c r="AU8" s="8">
        <v>-1911442.3500000006</v>
      </c>
      <c r="AV8" s="8">
        <v>-922061.27000000048</v>
      </c>
      <c r="AW8" s="8">
        <v>1172961.1600000001</v>
      </c>
      <c r="AX8" s="8">
        <v>713129.13999999873</v>
      </c>
      <c r="AY8" s="8">
        <v>3772427.8999999994</v>
      </c>
      <c r="AZ8" s="8">
        <v>11730653.619999997</v>
      </c>
      <c r="BA8" s="8">
        <v>-2926067.8699999992</v>
      </c>
      <c r="BB8" s="8">
        <v>-4543349.9200000009</v>
      </c>
      <c r="BC8" s="8">
        <v>-642412.43999999948</v>
      </c>
      <c r="BF8" s="132"/>
      <c r="BG8" s="163" t="s">
        <v>96</v>
      </c>
      <c r="BH8" s="164" t="s">
        <v>97</v>
      </c>
      <c r="BI8" s="164" t="s">
        <v>98</v>
      </c>
      <c r="BJ8" s="165" t="s">
        <v>99</v>
      </c>
      <c r="BK8"/>
      <c r="BL8" s="176"/>
      <c r="BM8" s="175"/>
      <c r="BN8" s="175"/>
      <c r="BO8" s="175"/>
      <c r="BP8" s="175"/>
      <c r="BQ8" s="175"/>
      <c r="BR8" s="175"/>
      <c r="BS8" s="175"/>
      <c r="BT8" s="175"/>
      <c r="BY8" s="132"/>
      <c r="BZ8" s="276"/>
      <c r="CA8" s="15" t="s">
        <v>46</v>
      </c>
      <c r="CB8" s="191">
        <v>2032298.8200000003</v>
      </c>
      <c r="CC8" s="191">
        <v>2450166.2800000003</v>
      </c>
      <c r="CD8" s="191">
        <v>2920950.16</v>
      </c>
      <c r="CE8" s="191">
        <v>2656095.5300000003</v>
      </c>
      <c r="CF8" s="191">
        <v>1296574.93</v>
      </c>
      <c r="CG8" s="191">
        <v>998447.61999999988</v>
      </c>
      <c r="CH8" s="191">
        <v>1076114.93</v>
      </c>
      <c r="CK8" s="276"/>
      <c r="CL8" s="15" t="s">
        <v>46</v>
      </c>
      <c r="CM8" s="191">
        <v>2032298.82</v>
      </c>
      <c r="CN8" s="191">
        <v>2450166.2800000003</v>
      </c>
      <c r="CO8" s="191">
        <v>2920950.16</v>
      </c>
      <c r="CP8" s="191">
        <v>2656095.5300000003</v>
      </c>
      <c r="CQ8" s="191">
        <v>1296574.9300000002</v>
      </c>
      <c r="CR8" s="191">
        <v>998447.61999999988</v>
      </c>
      <c r="CS8" s="191">
        <v>1076114.93</v>
      </c>
      <c r="CW8" s="132"/>
      <c r="CX8" s="279"/>
      <c r="CY8" s="5" t="s">
        <v>10</v>
      </c>
      <c r="CZ8" s="8">
        <v>11730653.619999997</v>
      </c>
      <c r="DA8" s="8">
        <v>-2926067.8699999992</v>
      </c>
      <c r="DB8" s="8">
        <v>-4543349.9200000009</v>
      </c>
      <c r="DC8" s="8">
        <v>-642412.43999999948</v>
      </c>
      <c r="DD8" s="8">
        <v>-2360204.7516527595</v>
      </c>
      <c r="DE8" s="8">
        <v>-2596984.9376373724</v>
      </c>
      <c r="DF8" s="8">
        <v>-765270.68199255876</v>
      </c>
      <c r="DG8" s="8">
        <v>-3592433.9235242233</v>
      </c>
      <c r="DH8" s="8">
        <v>-2476067.151081305</v>
      </c>
      <c r="DI8" s="8">
        <v>-4110030.7426744569</v>
      </c>
      <c r="DJ8" s="8">
        <v>-893910.03203946538</v>
      </c>
      <c r="DK8" s="8">
        <v>5009512.6372242244</v>
      </c>
      <c r="DL8" s="8">
        <v>14521153.810487527</v>
      </c>
      <c r="DM8" s="8">
        <v>-9738494.1006461661</v>
      </c>
      <c r="DN8" s="8">
        <v>-4717627.182085203</v>
      </c>
      <c r="DO8" s="8">
        <v>-1942652.3234257819</v>
      </c>
      <c r="DP8" s="8">
        <v>-195195.70689840894</v>
      </c>
      <c r="DQ8" s="8">
        <v>-1470306.5485616187</v>
      </c>
      <c r="DR8" s="8">
        <v>997044.10078128148</v>
      </c>
      <c r="DS8" s="8">
        <v>-3646239.3719777595</v>
      </c>
      <c r="DT8" s="8">
        <v>-1281261.8887091884</v>
      </c>
      <c r="DU8" s="8">
        <v>49506.982715685852</v>
      </c>
      <c r="DV8" s="8">
        <v>-669704.29421939235</v>
      </c>
      <c r="DW8" s="8">
        <v>1331670.8842398338</v>
      </c>
      <c r="DX8" s="8">
        <v>14651279.503251541</v>
      </c>
      <c r="DY8" s="187"/>
      <c r="DZ8" s="187"/>
      <c r="EA8" s="132"/>
      <c r="EB8" s="279"/>
      <c r="EC8" s="5" t="s">
        <v>10</v>
      </c>
      <c r="ED8" s="8">
        <v>3771827.8999999994</v>
      </c>
      <c r="EE8" s="8">
        <v>11729953.620000001</v>
      </c>
      <c r="EF8" s="8">
        <v>-2926267.8699999996</v>
      </c>
      <c r="EG8" s="8">
        <v>-4543349.9200000009</v>
      </c>
      <c r="EH8" s="8">
        <v>-642412.43999999948</v>
      </c>
      <c r="EI8" s="8">
        <v>-2360204.7516527595</v>
      </c>
      <c r="EJ8" s="8">
        <v>-2596984.9376373724</v>
      </c>
      <c r="EK8" s="8">
        <v>-765320.68199255876</v>
      </c>
      <c r="EL8" s="8">
        <v>-3592433.9235242233</v>
      </c>
      <c r="EM8" s="8">
        <v>-2476067.151081305</v>
      </c>
      <c r="EN8" s="8">
        <v>-4110030.7426744569</v>
      </c>
      <c r="EO8" s="8">
        <v>-893910.03203946538</v>
      </c>
      <c r="EP8" s="8">
        <v>4974513.9372242251</v>
      </c>
      <c r="EQ8" s="8">
        <v>14521153.810487527</v>
      </c>
      <c r="ER8" s="8">
        <v>-9737981.8606461659</v>
      </c>
      <c r="ES8" s="8">
        <v>-4717627.182085203</v>
      </c>
      <c r="ET8" s="8">
        <v>-1942652.3234257819</v>
      </c>
      <c r="EU8" s="8">
        <v>-195195.70689840894</v>
      </c>
      <c r="EV8" s="8">
        <v>-1470306.5485616187</v>
      </c>
      <c r="EW8" s="8">
        <v>997044.10078128148</v>
      </c>
      <c r="EX8" s="8">
        <v>-3646239.3719777595</v>
      </c>
      <c r="EY8" s="8">
        <v>-1281261.8887091884</v>
      </c>
      <c r="EZ8" s="8">
        <v>49456.982715685852</v>
      </c>
      <c r="FA8" s="8">
        <v>-669704.29421939235</v>
      </c>
      <c r="FB8" s="8">
        <v>1331670.8842398338</v>
      </c>
      <c r="FC8" s="8">
        <v>14651279.503251541</v>
      </c>
      <c r="FD8" s="8">
        <v>-4047543.4126905953</v>
      </c>
      <c r="FE8" s="8">
        <v>-1303187.9182142103</v>
      </c>
      <c r="FH8" s="132"/>
      <c r="FI8" s="279"/>
      <c r="FJ8" s="5" t="s">
        <v>10</v>
      </c>
      <c r="FK8" s="8">
        <v>-1011376.0117789805</v>
      </c>
      <c r="FL8" s="8">
        <v>1630825.3137780624</v>
      </c>
      <c r="FM8" s="8">
        <v>-290107.9240741916</v>
      </c>
      <c r="FN8" s="8">
        <v>117806.69608973991</v>
      </c>
      <c r="FO8" s="8">
        <v>-1599183.5531228734</v>
      </c>
      <c r="FP8" s="8">
        <v>-1261844.711454994</v>
      </c>
    </row>
    <row r="9" spans="1:175" s="4" customFormat="1" ht="15" customHeight="1" outlineLevel="1" thickBot="1" x14ac:dyDescent="0.3">
      <c r="A9" s="276"/>
      <c r="B9" s="15" t="s">
        <v>45</v>
      </c>
      <c r="C9" s="19">
        <f>IF(C8="","",0)</f>
        <v>0</v>
      </c>
      <c r="D9" s="19">
        <f t="shared" ref="D9:J9" si="1">IF(D8="","",0)</f>
        <v>0</v>
      </c>
      <c r="E9" s="19">
        <f t="shared" si="1"/>
        <v>0</v>
      </c>
      <c r="F9" s="19">
        <f t="shared" si="1"/>
        <v>0</v>
      </c>
      <c r="G9" s="19">
        <f t="shared" si="1"/>
        <v>0</v>
      </c>
      <c r="H9" s="19">
        <f t="shared" si="1"/>
        <v>0</v>
      </c>
      <c r="I9" s="19">
        <f t="shared" si="1"/>
        <v>0</v>
      </c>
      <c r="J9" s="19">
        <f t="shared" si="1"/>
        <v>0</v>
      </c>
      <c r="M9" s="132"/>
      <c r="N9" s="132"/>
      <c r="O9" s="127"/>
      <c r="P9" s="120"/>
      <c r="Q9" s="106"/>
      <c r="R9" s="106"/>
      <c r="S9" s="106"/>
      <c r="T9" s="106"/>
      <c r="U9" s="106"/>
      <c r="V9" s="106"/>
      <c r="W9" s="115"/>
      <c r="X9" s="106"/>
      <c r="Y9" s="106"/>
      <c r="Z9" s="115"/>
      <c r="AA9" s="106"/>
      <c r="AB9" s="141"/>
      <c r="AC9" s="279"/>
      <c r="AD9" s="5" t="s">
        <v>3</v>
      </c>
      <c r="AE9" s="22">
        <v>2.7878150000000001E-2</v>
      </c>
      <c r="AF9" s="22">
        <v>2.6622739999999999E-2</v>
      </c>
      <c r="AG9" s="22">
        <v>2.677361E-2</v>
      </c>
      <c r="AH9" s="22">
        <v>2.6500570000000001E-2</v>
      </c>
      <c r="AI9" s="22">
        <v>2.594869E-2</v>
      </c>
      <c r="AJ9" s="22">
        <v>2.3511899999999999E-2</v>
      </c>
      <c r="AK9" s="22">
        <v>2.21687E-2</v>
      </c>
      <c r="AL9" s="22">
        <v>2.113932E-2</v>
      </c>
      <c r="AM9" s="22">
        <v>1.8159890000000001E-2</v>
      </c>
      <c r="AN9" s="22">
        <v>1.9151990000000001E-2</v>
      </c>
      <c r="AO9" s="22">
        <v>1.8890779999999999E-2</v>
      </c>
      <c r="AP9" s="22">
        <v>1.8035829999999999E-2</v>
      </c>
      <c r="AQ9" s="22">
        <v>1.888592E-2</v>
      </c>
      <c r="AR9" s="22">
        <v>9.3845999999999999E-3</v>
      </c>
      <c r="AS9" s="22">
        <v>1.2906700000000001E-3</v>
      </c>
      <c r="AT9" s="22">
        <v>1.2563100000000001E-3</v>
      </c>
      <c r="AU9" s="22">
        <v>1.9366299999999999E-3</v>
      </c>
      <c r="AV9" s="22">
        <v>1.3658500000000001E-3</v>
      </c>
      <c r="AW9" s="22">
        <v>1.23916E-3</v>
      </c>
      <c r="AX9" s="22">
        <v>2E-3</v>
      </c>
      <c r="AY9" s="22">
        <v>2.5244400000000002E-3</v>
      </c>
      <c r="AZ9" s="22">
        <v>2.8469900000000002E-3</v>
      </c>
      <c r="BA9" s="22">
        <v>2.0613900000000002E-3</v>
      </c>
      <c r="BB9" s="22">
        <v>2.3221700000000001E-3</v>
      </c>
      <c r="BC9" s="22">
        <v>2.1367399999999998E-3</v>
      </c>
      <c r="BF9" s="132"/>
      <c r="BG9" s="166" t="s">
        <v>40</v>
      </c>
      <c r="BH9" s="167">
        <v>-60467.71</v>
      </c>
      <c r="BI9" s="168">
        <v>1</v>
      </c>
      <c r="BJ9" s="169">
        <v>-124.32999999999993</v>
      </c>
      <c r="BK9"/>
      <c r="BL9" s="176"/>
      <c r="BM9" s="175"/>
      <c r="BN9" s="175"/>
      <c r="BO9" s="175"/>
      <c r="BP9" s="175"/>
      <c r="BQ9" s="175"/>
      <c r="BR9" s="175"/>
      <c r="BS9" s="175"/>
      <c r="BT9" s="175"/>
      <c r="BY9" s="132"/>
      <c r="BZ9" s="276"/>
      <c r="CA9" s="15" t="s">
        <v>12</v>
      </c>
      <c r="CB9" s="191">
        <v>-338958.66069875972</v>
      </c>
      <c r="CC9" s="191">
        <v>-406331.76494770299</v>
      </c>
      <c r="CD9" s="191">
        <v>-374056.09149891004</v>
      </c>
      <c r="CE9" s="191">
        <v>-566479.05339839845</v>
      </c>
      <c r="CF9" s="191">
        <v>-384327.07923458319</v>
      </c>
      <c r="CG9" s="191">
        <v>-152113.4028808627</v>
      </c>
      <c r="CH9" s="191">
        <v>-9477.251794636868</v>
      </c>
      <c r="CK9" s="276"/>
      <c r="CL9" s="15" t="s">
        <v>12</v>
      </c>
      <c r="CM9" s="191">
        <v>-338958.6606987596</v>
      </c>
      <c r="CN9" s="191">
        <v>-406331.76494770328</v>
      </c>
      <c r="CO9" s="191">
        <v>-374056.09149890981</v>
      </c>
      <c r="CP9" s="191">
        <v>-566479.05339839868</v>
      </c>
      <c r="CQ9" s="191">
        <v>-384327.07923458319</v>
      </c>
      <c r="CR9" s="191">
        <v>-152113.40288086259</v>
      </c>
      <c r="CS9" s="191">
        <v>-9477.2517946368826</v>
      </c>
      <c r="CW9" s="132"/>
      <c r="CX9" s="279"/>
      <c r="CY9" s="5" t="s">
        <v>3</v>
      </c>
      <c r="CZ9" s="197">
        <v>2E-3</v>
      </c>
      <c r="DA9" s="22">
        <v>2.0613900000000002E-3</v>
      </c>
      <c r="DB9" s="22">
        <v>2.3221700000000001E-3</v>
      </c>
      <c r="DC9" s="22">
        <v>2.1367399999999998E-3</v>
      </c>
      <c r="DD9" s="22">
        <v>2.2512299999999999E-3</v>
      </c>
      <c r="DE9" s="22">
        <v>2.2427200000000001E-3</v>
      </c>
      <c r="DF9" s="22">
        <v>2.01659E-3</v>
      </c>
      <c r="DG9" s="22">
        <v>1.3954900000000001E-3</v>
      </c>
      <c r="DH9" s="22">
        <v>2.0509899999999999E-3</v>
      </c>
      <c r="DI9" s="22">
        <v>1.9323299999999999E-3</v>
      </c>
      <c r="DJ9" s="22">
        <v>1.5E-3</v>
      </c>
      <c r="DK9" s="22">
        <v>1.5320900000000001E-3</v>
      </c>
      <c r="DL9" s="22">
        <v>2.6046400000000001E-3</v>
      </c>
      <c r="DM9" s="22">
        <v>2.3444999999999998E-3</v>
      </c>
      <c r="DN9" s="22">
        <v>2.9584899999999998E-3</v>
      </c>
      <c r="DO9" s="22">
        <v>6.8829599999999996E-3</v>
      </c>
      <c r="DP9" s="22">
        <v>6.0041599999999997E-3</v>
      </c>
      <c r="DQ9" s="22">
        <v>9.4970499999999999E-3</v>
      </c>
      <c r="DR9" s="22">
        <v>1.4858659999999999E-2</v>
      </c>
      <c r="DS9" s="22">
        <v>2.0566899999999999E-2</v>
      </c>
      <c r="DT9" s="22">
        <v>2.564054E-2</v>
      </c>
      <c r="DU9" s="22">
        <v>2.8416960000000002E-2</v>
      </c>
      <c r="DV9" s="22">
        <v>3.4701200000000001E-2</v>
      </c>
      <c r="DW9" s="22">
        <v>4.286098E-2</v>
      </c>
      <c r="DX9" s="22">
        <v>4.617603E-2</v>
      </c>
      <c r="DY9" s="187"/>
      <c r="DZ9" s="187"/>
      <c r="EA9" s="132"/>
      <c r="EB9" s="279"/>
      <c r="EC9" s="5" t="s">
        <v>3</v>
      </c>
      <c r="ED9" s="22">
        <v>2.5244400000000002E-3</v>
      </c>
      <c r="EE9" s="22">
        <v>2.8469900000000002E-3</v>
      </c>
      <c r="EF9" s="22">
        <v>2.0613900000000002E-3</v>
      </c>
      <c r="EG9" s="22">
        <v>2.3221700000000001E-3</v>
      </c>
      <c r="EH9" s="22">
        <v>2.1367399999999998E-3</v>
      </c>
      <c r="EI9" s="22">
        <v>2.2512299999999999E-3</v>
      </c>
      <c r="EJ9" s="22">
        <v>2.2427200000000001E-3</v>
      </c>
      <c r="EK9" s="22">
        <v>2.01659E-3</v>
      </c>
      <c r="EL9" s="22">
        <v>1.3954900000000001E-3</v>
      </c>
      <c r="EM9" s="22">
        <v>2.0509899999999999E-3</v>
      </c>
      <c r="EN9" s="22">
        <v>1.9323299999999999E-3</v>
      </c>
      <c r="EO9" s="22">
        <v>1.5E-3</v>
      </c>
      <c r="EP9" s="22">
        <v>1.5320900000000001E-3</v>
      </c>
      <c r="EQ9" s="22">
        <v>2.6046400000000001E-3</v>
      </c>
      <c r="ER9" s="22">
        <v>2.3444999999999998E-3</v>
      </c>
      <c r="ES9" s="22">
        <v>2.9584899999999998E-3</v>
      </c>
      <c r="ET9" s="22">
        <v>6.8829599999999996E-3</v>
      </c>
      <c r="EU9" s="22">
        <v>6.0041599999999997E-3</v>
      </c>
      <c r="EV9" s="22">
        <v>9.4970499999999999E-3</v>
      </c>
      <c r="EW9" s="22">
        <v>1.4858659999999999E-2</v>
      </c>
      <c r="EX9" s="22">
        <v>2.0566899999999999E-2</v>
      </c>
      <c r="EY9" s="22">
        <v>2.564054E-2</v>
      </c>
      <c r="EZ9" s="22">
        <v>2.8416960000000002E-2</v>
      </c>
      <c r="FA9" s="22">
        <v>3.4701200000000001E-2</v>
      </c>
      <c r="FB9" s="22">
        <v>4.286098E-2</v>
      </c>
      <c r="FC9" s="22">
        <v>4.617603E-2</v>
      </c>
      <c r="FD9" s="22">
        <v>4.7842519999999999E-2</v>
      </c>
      <c r="FE9" s="22">
        <v>4.847945E-2</v>
      </c>
      <c r="FH9" s="132"/>
      <c r="FI9" s="279"/>
      <c r="FJ9" s="5" t="s">
        <v>3</v>
      </c>
      <c r="FK9" s="22">
        <v>5.2487209999999999E-2</v>
      </c>
      <c r="FL9" s="22">
        <v>5.3267839534246943E-2</v>
      </c>
      <c r="FM9" s="22">
        <v>5.3948219999999998E-2</v>
      </c>
      <c r="FN9" s="22">
        <v>5.4426639999999998E-2</v>
      </c>
      <c r="FO9" s="22">
        <v>5.5204789999999997E-2</v>
      </c>
      <c r="FP9" s="22">
        <v>5.5351270000000001E-2</v>
      </c>
    </row>
    <row r="10" spans="1:175" s="4" customFormat="1" ht="15" customHeight="1" outlineLevel="1" x14ac:dyDescent="0.25">
      <c r="A10" s="276"/>
      <c r="B10" s="15" t="s">
        <v>46</v>
      </c>
      <c r="C10" s="7">
        <f>IF(OR(C9="",C8=""),"",C8+C9)</f>
        <v>0</v>
      </c>
      <c r="D10" s="7">
        <f t="shared" ref="D10:I10" si="2">IF(OR(D9="",D8=""),"",D8+D9)</f>
        <v>0</v>
      </c>
      <c r="E10" s="7">
        <f t="shared" si="2"/>
        <v>28636.335868779192</v>
      </c>
      <c r="F10" s="7">
        <f t="shared" si="2"/>
        <v>344669.92129031231</v>
      </c>
      <c r="G10" s="7">
        <f t="shared" si="2"/>
        <v>437739.69493695599</v>
      </c>
      <c r="H10" s="7">
        <f t="shared" si="2"/>
        <v>461093.89388914994</v>
      </c>
      <c r="I10" s="7">
        <f t="shared" si="2"/>
        <v>425531.99443758972</v>
      </c>
      <c r="J10" s="7">
        <f>IF(OR(J9="",J8=""),"",J8+J9)</f>
        <v>350101.97926152864</v>
      </c>
      <c r="M10" s="132"/>
      <c r="N10" s="132"/>
      <c r="O10" s="127"/>
      <c r="P10" s="120"/>
      <c r="Q10" s="106"/>
      <c r="R10" s="106"/>
      <c r="S10" s="106"/>
      <c r="T10" s="106"/>
      <c r="U10" s="106"/>
      <c r="V10" s="106"/>
      <c r="W10" s="106"/>
      <c r="X10" s="106"/>
      <c r="Y10" s="106"/>
      <c r="Z10" s="106"/>
      <c r="AA10" s="106"/>
      <c r="AB10" s="141"/>
      <c r="AC10" s="279"/>
      <c r="AD10" s="5" t="s">
        <v>4</v>
      </c>
      <c r="AE10" s="8">
        <v>9649.86</v>
      </c>
      <c r="AF10" s="8">
        <v>12393.7</v>
      </c>
      <c r="AG10" s="8">
        <v>17383.439999999999</v>
      </c>
      <c r="AH10" s="8">
        <v>10525.09</v>
      </c>
      <c r="AI10" s="8">
        <v>2471.9699999999998</v>
      </c>
      <c r="AJ10" s="8">
        <v>-1909.47</v>
      </c>
      <c r="AK10" s="8">
        <v>-6871.48</v>
      </c>
      <c r="AL10" s="8">
        <v>-9559.32</v>
      </c>
      <c r="AM10" s="8">
        <v>-4818.26</v>
      </c>
      <c r="AN10" s="8">
        <v>6520.35</v>
      </c>
      <c r="AO10" s="8">
        <v>-1870.36</v>
      </c>
      <c r="AP10" s="8">
        <v>-7081.06</v>
      </c>
      <c r="AQ10" s="8">
        <v>-8355.19</v>
      </c>
      <c r="AR10" s="8">
        <v>-4962.99</v>
      </c>
      <c r="AS10" s="8">
        <v>-737.12</v>
      </c>
      <c r="AT10" s="8">
        <v>-751.82</v>
      </c>
      <c r="AU10" s="8">
        <v>-1467.55</v>
      </c>
      <c r="AV10" s="8">
        <v>-1140.1400000000001</v>
      </c>
      <c r="AW10" s="8">
        <v>-913.38</v>
      </c>
      <c r="AX10" s="8">
        <v>-1355.49</v>
      </c>
      <c r="AY10" s="8">
        <v>-917.61</v>
      </c>
      <c r="AZ10" s="8">
        <v>1748.02</v>
      </c>
      <c r="BA10" s="8">
        <v>763.32</v>
      </c>
      <c r="BB10" s="8">
        <v>-19.170000000000002</v>
      </c>
      <c r="BC10" s="8">
        <v>-132.03</v>
      </c>
      <c r="BD10" s="89" t="s">
        <v>78</v>
      </c>
      <c r="BE10" s="89" t="s">
        <v>77</v>
      </c>
      <c r="BF10" s="132"/>
      <c r="BG10" s="170"/>
      <c r="BH10" s="43" t="s">
        <v>41</v>
      </c>
      <c r="BI10" s="171"/>
      <c r="BJ10" s="43" t="s">
        <v>41</v>
      </c>
      <c r="BK10"/>
      <c r="BY10" s="132"/>
      <c r="BZ10" s="276"/>
      <c r="CA10" s="16" t="s">
        <v>7</v>
      </c>
      <c r="CB10" s="191">
        <v>227.64</v>
      </c>
      <c r="CC10" s="191">
        <v>224.82999999999998</v>
      </c>
      <c r="CD10" s="191">
        <v>46.440000000000026</v>
      </c>
      <c r="CE10" s="191">
        <v>-90.289999999999992</v>
      </c>
      <c r="CF10" s="191">
        <v>-440.00000000000011</v>
      </c>
      <c r="CG10" s="191">
        <v>-490.49</v>
      </c>
      <c r="CH10" s="191">
        <v>-777.29</v>
      </c>
      <c r="CK10" s="276"/>
      <c r="CL10" s="16" t="s">
        <v>7</v>
      </c>
      <c r="CM10" s="191">
        <v>227.64</v>
      </c>
      <c r="CN10" s="191">
        <v>224.82</v>
      </c>
      <c r="CO10" s="191">
        <v>46.430000000000007</v>
      </c>
      <c r="CP10" s="191">
        <v>-90.289999999999964</v>
      </c>
      <c r="CQ10" s="191">
        <v>-440.00000000000006</v>
      </c>
      <c r="CR10" s="191">
        <v>-490.50000000000006</v>
      </c>
      <c r="CS10" s="191">
        <v>-777.29</v>
      </c>
      <c r="CW10" s="132"/>
      <c r="CX10" s="279"/>
      <c r="CY10" s="5" t="s">
        <v>4</v>
      </c>
      <c r="CZ10" s="8">
        <v>1231.6400000000001</v>
      </c>
      <c r="DA10" s="8">
        <v>767.01</v>
      </c>
      <c r="DB10" s="8">
        <v>-15.01</v>
      </c>
      <c r="DC10" s="8">
        <v>-624.07999999999549</v>
      </c>
      <c r="DD10" s="8">
        <v>-582</v>
      </c>
      <c r="DE10" s="8">
        <v>-1065.27</v>
      </c>
      <c r="DF10" s="8">
        <v>-1086.6400000000001</v>
      </c>
      <c r="DG10" s="8">
        <v>-1169.8599999999999</v>
      </c>
      <c r="DH10" s="8">
        <v>-2142.77</v>
      </c>
      <c r="DI10" s="8">
        <v>-2680.97</v>
      </c>
      <c r="DJ10" s="8">
        <v>-2193.2199999999998</v>
      </c>
      <c r="DK10" s="8">
        <v>-1732.8999999999999</v>
      </c>
      <c r="DL10" s="8">
        <v>416.86</v>
      </c>
      <c r="DM10" s="8">
        <v>-1527.36</v>
      </c>
      <c r="DN10" s="8">
        <v>-3262.43</v>
      </c>
      <c r="DO10" s="8">
        <v>-8706.2199999999993</v>
      </c>
      <c r="DP10" s="8">
        <v>-7696.65</v>
      </c>
      <c r="DQ10" s="8">
        <v>-13343.86</v>
      </c>
      <c r="DR10" s="8">
        <v>-19659.169999999998</v>
      </c>
      <c r="DS10" s="8">
        <v>-33494.629999999997</v>
      </c>
      <c r="DT10" s="8">
        <v>-44566.67</v>
      </c>
      <c r="DU10" s="8">
        <v>-49380.76</v>
      </c>
      <c r="DV10" s="8">
        <v>-62380.44</v>
      </c>
      <c r="DW10" s="8">
        <v>-72515.240000000005</v>
      </c>
      <c r="DX10" s="8">
        <v>-22024.76</v>
      </c>
      <c r="DY10" s="187"/>
      <c r="DZ10" s="187"/>
      <c r="EA10" s="132"/>
      <c r="EB10" s="279"/>
      <c r="EC10" s="5" t="s">
        <v>4</v>
      </c>
      <c r="ED10" s="8">
        <v>-913.11</v>
      </c>
      <c r="EE10" s="8">
        <v>1752.92</v>
      </c>
      <c r="EF10" s="8">
        <v>766.84</v>
      </c>
      <c r="EG10" s="8">
        <v>-15.2</v>
      </c>
      <c r="EH10" s="8">
        <v>-624.24999999999545</v>
      </c>
      <c r="EI10" s="8">
        <v>-582.19000000000005</v>
      </c>
      <c r="EJ10" s="8">
        <v>-1065.46</v>
      </c>
      <c r="EK10" s="8">
        <v>-1086.82</v>
      </c>
      <c r="EL10" s="8">
        <v>-1169.98</v>
      </c>
      <c r="EM10" s="8">
        <v>-2142.9499999999998</v>
      </c>
      <c r="EN10" s="8">
        <v>-2681.14</v>
      </c>
      <c r="EO10" s="8">
        <v>-2193.35</v>
      </c>
      <c r="EP10" s="8">
        <v>-1737.5</v>
      </c>
      <c r="EQ10" s="8">
        <v>409.03</v>
      </c>
      <c r="ER10" s="8">
        <v>-1534.3</v>
      </c>
      <c r="ES10" s="8">
        <v>-3271.19</v>
      </c>
      <c r="ET10" s="8">
        <v>-8726.59</v>
      </c>
      <c r="EU10" s="8">
        <v>-7714.43</v>
      </c>
      <c r="EV10" s="8">
        <v>-13372</v>
      </c>
      <c r="EW10" s="8">
        <v>-19703.240000000002</v>
      </c>
      <c r="EX10" s="8">
        <v>-33555.699999999997</v>
      </c>
      <c r="EY10" s="8">
        <v>-44642.93</v>
      </c>
      <c r="EZ10" s="8">
        <v>-49465.58</v>
      </c>
      <c r="FA10" s="8">
        <v>-62484.26</v>
      </c>
      <c r="FB10" s="8">
        <v>-72643.850000000006</v>
      </c>
      <c r="FC10" s="8">
        <v>-22163.81</v>
      </c>
      <c r="FD10" s="8">
        <v>-39749.678489636659</v>
      </c>
      <c r="FE10" s="8">
        <v>-45136.25</v>
      </c>
      <c r="FF10" s="4" t="s">
        <v>117</v>
      </c>
      <c r="FG10" s="4" t="s">
        <v>77</v>
      </c>
      <c r="FH10" s="132"/>
      <c r="FI10" s="279"/>
      <c r="FJ10" s="5" t="s">
        <v>4</v>
      </c>
      <c r="FK10" s="8">
        <v>-56364.87</v>
      </c>
      <c r="FL10" s="8">
        <v>-50214.16</v>
      </c>
      <c r="FM10" s="8">
        <v>-52385.52</v>
      </c>
      <c r="FN10" s="8">
        <v>-52553.36</v>
      </c>
      <c r="FO10" s="8">
        <v>-60903.37</v>
      </c>
      <c r="FP10" s="8">
        <v>-67166.289999999994</v>
      </c>
      <c r="FQ10" s="4" t="s">
        <v>117</v>
      </c>
      <c r="FR10" s="4" t="s">
        <v>77</v>
      </c>
    </row>
    <row r="11" spans="1:175" s="4" customFormat="1" ht="15" outlineLevel="1" x14ac:dyDescent="0.25">
      <c r="A11" s="276"/>
      <c r="B11" s="15" t="s">
        <v>12</v>
      </c>
      <c r="C11" s="7">
        <f>IF(OR(C8="",C7=""),"",C7-C8)</f>
        <v>0</v>
      </c>
      <c r="D11" s="7">
        <f>IF(OR(D8="",D7=""),"",D7-D8)</f>
        <v>3542.7066619947968</v>
      </c>
      <c r="E11" s="7">
        <f t="shared" ref="E11:I11" si="3">IF(OR(E8="",E7=""),"",E7-E8)</f>
        <v>-2042.587011875763</v>
      </c>
      <c r="F11" s="7">
        <f t="shared" si="3"/>
        <v>-101305.99221352636</v>
      </c>
      <c r="G11" s="7">
        <f t="shared" si="3"/>
        <v>3390.1150170901092</v>
      </c>
      <c r="H11" s="7">
        <f t="shared" si="3"/>
        <v>77000.426341737329</v>
      </c>
      <c r="I11" s="7">
        <f t="shared" si="3"/>
        <v>-50568.7335448956</v>
      </c>
      <c r="J11" s="7">
        <f>IF(OR(J8="",J7=""),"",J7-J8)</f>
        <v>-212266.31379910326</v>
      </c>
      <c r="K11" s="89" t="s">
        <v>72</v>
      </c>
      <c r="L11" s="89" t="s">
        <v>73</v>
      </c>
      <c r="M11" s="132"/>
      <c r="N11" s="132"/>
      <c r="O11" s="127"/>
      <c r="P11" s="120"/>
      <c r="Q11" s="116"/>
      <c r="R11" s="116"/>
      <c r="S11" s="116"/>
      <c r="T11" s="116"/>
      <c r="U11" s="116"/>
      <c r="V11" s="116"/>
      <c r="W11" s="116"/>
      <c r="X11" s="116"/>
      <c r="Y11" s="116"/>
      <c r="Z11" s="116"/>
      <c r="AA11" s="116"/>
      <c r="AB11" s="142"/>
      <c r="AC11" s="279"/>
      <c r="AD11" s="6" t="s">
        <v>5</v>
      </c>
      <c r="AE11" s="8">
        <v>9649.86</v>
      </c>
      <c r="AF11" s="8">
        <v>22043.56</v>
      </c>
      <c r="AG11" s="8">
        <v>39427</v>
      </c>
      <c r="AH11" s="8">
        <v>49952.09</v>
      </c>
      <c r="AI11" s="8">
        <v>52424.06</v>
      </c>
      <c r="AJ11" s="8">
        <v>50514.59</v>
      </c>
      <c r="AK11" s="8">
        <v>43643.11</v>
      </c>
      <c r="AL11" s="8">
        <v>34083.79</v>
      </c>
      <c r="AM11" s="8">
        <v>29265.53</v>
      </c>
      <c r="AN11" s="8">
        <v>35785.879999999997</v>
      </c>
      <c r="AO11" s="8">
        <v>33915.519999999997</v>
      </c>
      <c r="AP11" s="8">
        <v>26834.459999999995</v>
      </c>
      <c r="AQ11" s="8">
        <v>18479.269999999997</v>
      </c>
      <c r="AR11" s="8">
        <v>13516.279999999997</v>
      </c>
      <c r="AS11" s="8">
        <v>12779.159999999996</v>
      </c>
      <c r="AT11" s="8">
        <v>12027.339999999997</v>
      </c>
      <c r="AU11" s="8">
        <v>10559.789999999997</v>
      </c>
      <c r="AV11" s="8">
        <v>9419.6499999999978</v>
      </c>
      <c r="AW11" s="8">
        <v>8506.2699999999986</v>
      </c>
      <c r="AX11" s="8">
        <v>7150.7799999999988</v>
      </c>
      <c r="AY11" s="8">
        <v>6233.1699999999992</v>
      </c>
      <c r="AZ11" s="8">
        <v>7981.1899999999987</v>
      </c>
      <c r="BA11" s="8">
        <v>8744.5099999999984</v>
      </c>
      <c r="BB11" s="8">
        <v>8725.3399999999983</v>
      </c>
      <c r="BC11" s="8">
        <v>8593.3099999999977</v>
      </c>
      <c r="BD11" s="144">
        <f>'MEEIA 3 calcs'!AC11</f>
        <v>9217.2999999999938</v>
      </c>
      <c r="BE11" s="145">
        <f>BB11-BD11</f>
        <v>-491.95999999999549</v>
      </c>
      <c r="BF11" s="132"/>
      <c r="BY11" s="132"/>
      <c r="BZ11" s="276"/>
      <c r="CA11" s="16" t="s">
        <v>26</v>
      </c>
      <c r="CB11" s="191">
        <v>-4668.5399999999981</v>
      </c>
      <c r="CC11" s="191">
        <v>-4443.7099999999982</v>
      </c>
      <c r="CD11" s="191">
        <v>-4397.2699999999986</v>
      </c>
      <c r="CE11" s="191">
        <v>-4487.5599999999986</v>
      </c>
      <c r="CF11" s="191">
        <v>-4927.5599999999986</v>
      </c>
      <c r="CG11" s="191">
        <v>-5418.0499999999984</v>
      </c>
      <c r="CH11" s="191">
        <v>-6195.3399999999983</v>
      </c>
      <c r="CK11" s="276"/>
      <c r="CL11" s="16" t="s">
        <v>26</v>
      </c>
      <c r="CM11" s="191">
        <v>-4668.5399999999981</v>
      </c>
      <c r="CN11" s="191">
        <v>-4443.7199999999984</v>
      </c>
      <c r="CO11" s="191">
        <v>-4397.2899999999981</v>
      </c>
      <c r="CP11" s="191">
        <v>-4487.5799999999981</v>
      </c>
      <c r="CQ11" s="191">
        <v>-4927.5799999999981</v>
      </c>
      <c r="CR11" s="191">
        <v>-5418.0799999999981</v>
      </c>
      <c r="CS11" s="191">
        <v>-6195.3699999999981</v>
      </c>
      <c r="CW11" s="132"/>
      <c r="CX11" s="279"/>
      <c r="CY11" s="6" t="s">
        <v>5</v>
      </c>
      <c r="CZ11" s="8">
        <v>7943.5199999999941</v>
      </c>
      <c r="DA11" s="8">
        <v>8710.5299999999934</v>
      </c>
      <c r="DB11" s="8">
        <v>8695.5199999999932</v>
      </c>
      <c r="DC11" s="8">
        <v>8071.4399999999978</v>
      </c>
      <c r="DD11" s="8">
        <v>7489.4399999999978</v>
      </c>
      <c r="DE11" s="8">
        <v>6424.1699999999983</v>
      </c>
      <c r="DF11" s="8">
        <v>5337.5299999999979</v>
      </c>
      <c r="DG11" s="8">
        <v>4167.6699999999983</v>
      </c>
      <c r="DH11" s="8">
        <v>2024.8999999999983</v>
      </c>
      <c r="DI11" s="8">
        <v>-656.07000000000153</v>
      </c>
      <c r="DJ11" s="8">
        <v>-2849.2900000000013</v>
      </c>
      <c r="DK11" s="8">
        <v>-4582.1900000000014</v>
      </c>
      <c r="DL11" s="8">
        <v>-4165.3300000000017</v>
      </c>
      <c r="DM11" s="8">
        <v>-5692.6900000000014</v>
      </c>
      <c r="DN11" s="8">
        <v>-8955.1200000000008</v>
      </c>
      <c r="DO11" s="8">
        <v>-17661.34</v>
      </c>
      <c r="DP11" s="8">
        <v>-25357.989999999998</v>
      </c>
      <c r="DQ11" s="8">
        <v>-38701.85</v>
      </c>
      <c r="DR11" s="8">
        <v>-58361.02</v>
      </c>
      <c r="DS11" s="8">
        <v>-91855.65</v>
      </c>
      <c r="DT11" s="8">
        <v>-136422.32</v>
      </c>
      <c r="DU11" s="8">
        <v>-185803.08000000002</v>
      </c>
      <c r="DV11" s="8">
        <v>-248183.52000000002</v>
      </c>
      <c r="DW11" s="8">
        <v>-320698.76</v>
      </c>
      <c r="DX11" s="8">
        <v>-342723.52</v>
      </c>
      <c r="DY11" s="187">
        <f>'MEEIA 3 calcs'!AY11</f>
        <v>-342189.81999999995</v>
      </c>
      <c r="DZ11" s="200">
        <f>DX11-DY11</f>
        <v>-533.70000000006985</v>
      </c>
      <c r="EA11" s="132"/>
      <c r="EB11" s="279"/>
      <c r="EC11" s="6" t="s">
        <v>5</v>
      </c>
      <c r="ED11" s="8">
        <v>6711.7599999999939</v>
      </c>
      <c r="EE11" s="8">
        <v>8464.679999999993</v>
      </c>
      <c r="EF11" s="8">
        <v>9231.5199999999932</v>
      </c>
      <c r="EG11" s="8">
        <v>9216.3199999999924</v>
      </c>
      <c r="EH11" s="8">
        <v>8592.0699999999961</v>
      </c>
      <c r="EI11" s="8">
        <v>8009.8799999999956</v>
      </c>
      <c r="EJ11" s="8">
        <v>6944.4199999999955</v>
      </c>
      <c r="EK11" s="8">
        <v>5857.5999999999958</v>
      </c>
      <c r="EL11" s="8">
        <v>4687.6199999999953</v>
      </c>
      <c r="EM11" s="8">
        <v>2544.6699999999955</v>
      </c>
      <c r="EN11" s="8">
        <v>-136.47000000000435</v>
      </c>
      <c r="EO11" s="8">
        <v>-2329.8200000000043</v>
      </c>
      <c r="EP11" s="8">
        <v>-4067.3200000000043</v>
      </c>
      <c r="EQ11" s="8">
        <v>-3658.2900000000045</v>
      </c>
      <c r="ER11" s="8">
        <v>-5192.5900000000047</v>
      </c>
      <c r="ES11" s="8">
        <v>-8463.7800000000043</v>
      </c>
      <c r="ET11" s="8">
        <v>-17190.370000000003</v>
      </c>
      <c r="EU11" s="8">
        <v>-24904.800000000003</v>
      </c>
      <c r="EV11" s="8">
        <v>-38276.800000000003</v>
      </c>
      <c r="EW11" s="8">
        <v>-57980.040000000008</v>
      </c>
      <c r="EX11" s="8">
        <v>-91535.74</v>
      </c>
      <c r="EY11" s="8">
        <v>-136178.67000000001</v>
      </c>
      <c r="EZ11" s="8">
        <v>-185644.25</v>
      </c>
      <c r="FA11" s="8">
        <v>-248128.51</v>
      </c>
      <c r="FB11" s="8">
        <v>-320772.36</v>
      </c>
      <c r="FC11" s="8">
        <v>-342936.17</v>
      </c>
      <c r="FD11" s="8">
        <v>-382685.84848963667</v>
      </c>
      <c r="FE11" s="8">
        <v>-427822.09848963667</v>
      </c>
      <c r="FF11" s="187">
        <f>'MEEIA 3 calcs'!BA11</f>
        <v>-426925.30000000005</v>
      </c>
      <c r="FG11" s="185">
        <f>FE11-FF11</f>
        <v>-896.79848963662516</v>
      </c>
      <c r="FH11" s="132"/>
      <c r="FI11" s="279"/>
      <c r="FJ11" s="6" t="s">
        <v>5</v>
      </c>
      <c r="FK11" s="8">
        <v>-533357.60848963668</v>
      </c>
      <c r="FL11" s="8">
        <v>-583571.76848963671</v>
      </c>
      <c r="FM11" s="8">
        <v>-635957.28848963673</v>
      </c>
      <c r="FN11" s="100">
        <v>-688510.64848963672</v>
      </c>
      <c r="FO11" s="100">
        <v>-749414.01848963671</v>
      </c>
      <c r="FP11" s="100">
        <v>-816580.30848963675</v>
      </c>
      <c r="FQ11" s="187">
        <f>SUM('MEEIA 3 calcs'!BF11:BH11)</f>
        <v>-2254509.7054689103</v>
      </c>
      <c r="FR11" s="185">
        <f>SUM(FN11:FP11)-FQ11</f>
        <v>4.7299999999813735</v>
      </c>
      <c r="FS11" s="4" t="s">
        <v>124</v>
      </c>
    </row>
    <row r="12" spans="1:175" s="4" customFormat="1" ht="15" outlineLevel="1" x14ac:dyDescent="0.25">
      <c r="A12" s="276"/>
      <c r="B12" s="16" t="s">
        <v>7</v>
      </c>
      <c r="C12" s="7">
        <f>ROUND((C11+0)*'MEEIA 3 calcs'!F9/12,2)</f>
        <v>0</v>
      </c>
      <c r="D12" s="7">
        <f>ROUND((D11+C14)*'MEEIA 3 calcs'!G9/12,2)</f>
        <v>7.86</v>
      </c>
      <c r="E12" s="7">
        <f>ROUND((E11+D14)*'MEEIA 3 calcs'!H9/12,2)</f>
        <v>3.36</v>
      </c>
      <c r="F12" s="7">
        <f>ROUND((F11+E14)*'MEEIA 3 calcs'!I9/12,2)</f>
        <v>-220.38</v>
      </c>
      <c r="G12" s="7">
        <f>ROUND((G11+F14)*'MEEIA 3 calcs'!J9/12,2)</f>
        <v>-208.94</v>
      </c>
      <c r="H12" s="7">
        <f>ROUND((H11+G14)*'MEEIA 3 calcs'!K9/12,2)</f>
        <v>-38.86</v>
      </c>
      <c r="I12" s="7">
        <f>ROUND((I11+H14)*'MEEIA 3 calcs'!L9/12,2)</f>
        <v>-130.13</v>
      </c>
      <c r="J12" s="7">
        <f>ROUND((J11+I14)*'MEEIA 3 calcs'!M9/12,2)</f>
        <v>-498.25</v>
      </c>
      <c r="K12" s="90">
        <f>SUM('MEEIA 3 calcs'!F32:M32)</f>
        <v>-1085.43</v>
      </c>
      <c r="L12" s="96">
        <f>SUM(C12:J12)-K12</f>
        <v>8.9999999999918145E-2</v>
      </c>
      <c r="M12" s="132"/>
      <c r="N12" s="132"/>
      <c r="O12" s="127"/>
      <c r="P12" s="120"/>
      <c r="Q12" s="106"/>
      <c r="R12" s="106"/>
      <c r="S12" s="106"/>
      <c r="T12" s="106"/>
      <c r="U12" s="106"/>
      <c r="V12" s="106"/>
      <c r="W12" s="106"/>
      <c r="X12" s="106"/>
      <c r="Y12" s="106"/>
      <c r="Z12" s="106"/>
      <c r="AA12" s="106"/>
      <c r="AB12" s="141"/>
      <c r="AC12" s="279"/>
      <c r="AD12" s="5" t="s">
        <v>11</v>
      </c>
      <c r="AE12" s="8">
        <v>3262465.61</v>
      </c>
      <c r="AF12" s="8">
        <v>1435380.57</v>
      </c>
      <c r="AG12" s="8">
        <v>2209926.16</v>
      </c>
      <c r="AH12" s="8">
        <v>-3032183.4299999997</v>
      </c>
      <c r="AI12" s="8">
        <v>-3630865.7600000002</v>
      </c>
      <c r="AJ12" s="8">
        <v>-2122102.5800000005</v>
      </c>
      <c r="AK12" s="8">
        <v>-2749963.32</v>
      </c>
      <c r="AL12" s="8">
        <v>-1709599.1999999972</v>
      </c>
      <c r="AM12" s="8">
        <v>2247319.5200000005</v>
      </c>
      <c r="AN12" s="8">
        <v>7280660.7000000002</v>
      </c>
      <c r="AO12" s="8">
        <v>-5281931.5000000009</v>
      </c>
      <c r="AP12" s="8">
        <v>-3528427.48</v>
      </c>
      <c r="AQ12" s="8">
        <v>-598786.93999999994</v>
      </c>
      <c r="AR12" s="8">
        <v>-1033901.9500000004</v>
      </c>
      <c r="AS12" s="8">
        <v>-502970.57999999996</v>
      </c>
      <c r="AT12" s="8">
        <v>-327939.98999999993</v>
      </c>
      <c r="AU12" s="8">
        <v>-1912909.9000000006</v>
      </c>
      <c r="AV12" s="8">
        <v>-923201.4100000005</v>
      </c>
      <c r="AW12" s="8">
        <v>1172047.7800000003</v>
      </c>
      <c r="AX12" s="8">
        <v>711773.64999999874</v>
      </c>
      <c r="AY12" s="8">
        <v>3771510.2899999996</v>
      </c>
      <c r="AZ12" s="8">
        <v>11732401.639999997</v>
      </c>
      <c r="BA12" s="8">
        <v>-2925304.5499999993</v>
      </c>
      <c r="BB12" s="8">
        <v>-4543369.0900000008</v>
      </c>
      <c r="BC12" s="8">
        <v>-642544.46999999951</v>
      </c>
      <c r="BF12" s="132"/>
      <c r="BG12" s="42" t="s">
        <v>101</v>
      </c>
      <c r="BH12"/>
      <c r="BI12"/>
      <c r="BJ12"/>
      <c r="BK12"/>
      <c r="BL12"/>
      <c r="BM12"/>
      <c r="BN12"/>
      <c r="BO12"/>
      <c r="BP12"/>
      <c r="BQ12"/>
      <c r="BR12"/>
      <c r="BS12"/>
      <c r="BT12"/>
      <c r="BU12"/>
      <c r="BY12" s="132"/>
      <c r="BZ12" s="276"/>
      <c r="CA12" s="15" t="s">
        <v>13</v>
      </c>
      <c r="CB12" s="191">
        <v>-338731.02069875965</v>
      </c>
      <c r="CC12" s="191">
        <v>-406106.93494770303</v>
      </c>
      <c r="CD12" s="191">
        <v>-374009.65149891004</v>
      </c>
      <c r="CE12" s="191">
        <v>-566569.34339839849</v>
      </c>
      <c r="CF12" s="191">
        <v>-384767.07923458319</v>
      </c>
      <c r="CG12" s="191">
        <v>-152603.89288086267</v>
      </c>
      <c r="CH12" s="191">
        <v>-10254.541794636869</v>
      </c>
      <c r="CK12" s="276"/>
      <c r="CL12" s="15" t="s">
        <v>13</v>
      </c>
      <c r="CM12" s="191">
        <v>-338731.02069875965</v>
      </c>
      <c r="CN12" s="191">
        <v>-406106.94494770333</v>
      </c>
      <c r="CO12" s="191">
        <v>-374009.66149890982</v>
      </c>
      <c r="CP12" s="191">
        <v>-566569.34339839872</v>
      </c>
      <c r="CQ12" s="191">
        <v>-384767.07923458319</v>
      </c>
      <c r="CR12" s="191">
        <v>-152603.90288086259</v>
      </c>
      <c r="CS12" s="191">
        <v>-10254.54179463688</v>
      </c>
      <c r="CW12" s="132"/>
      <c r="CX12" s="279"/>
      <c r="CY12" s="5" t="s">
        <v>11</v>
      </c>
      <c r="CZ12" s="8">
        <v>11731885.259999998</v>
      </c>
      <c r="DA12" s="8">
        <v>-2925300.8599999994</v>
      </c>
      <c r="DB12" s="8">
        <v>-4543364.9300000006</v>
      </c>
      <c r="DC12" s="8">
        <v>-664526.95999999705</v>
      </c>
      <c r="DD12" s="8">
        <v>-2360786.7516527595</v>
      </c>
      <c r="DE12" s="8">
        <v>-2598050.2076373724</v>
      </c>
      <c r="DF12" s="8">
        <v>-766357.32199255878</v>
      </c>
      <c r="DG12" s="8">
        <v>-3593603.7835242231</v>
      </c>
      <c r="DH12" s="8">
        <v>-2478209.921081305</v>
      </c>
      <c r="DI12" s="8">
        <v>-4112711.7126744571</v>
      </c>
      <c r="DJ12" s="8">
        <v>-896103.25203946535</v>
      </c>
      <c r="DK12" s="8">
        <v>4947312.0272242241</v>
      </c>
      <c r="DL12" s="8">
        <v>14521570.670487527</v>
      </c>
      <c r="DM12" s="8">
        <v>-9740021.4606461655</v>
      </c>
      <c r="DN12" s="8">
        <v>-4720889.6120852027</v>
      </c>
      <c r="DO12" s="8">
        <v>-1951358.5434257819</v>
      </c>
      <c r="DP12" s="8">
        <v>-202892.35689840894</v>
      </c>
      <c r="DQ12" s="8">
        <v>-1483650.4085616188</v>
      </c>
      <c r="DR12" s="8">
        <v>977384.93078128144</v>
      </c>
      <c r="DS12" s="8">
        <v>-3679734.0019777594</v>
      </c>
      <c r="DT12" s="8">
        <v>-1325828.5587091884</v>
      </c>
      <c r="DU12" s="8">
        <v>126.22271568584983</v>
      </c>
      <c r="DV12" s="8">
        <v>-732084.7342193923</v>
      </c>
      <c r="DW12" s="8">
        <v>1259155.6442398338</v>
      </c>
      <c r="DX12" s="8">
        <v>14629254.743251542</v>
      </c>
      <c r="DY12" s="187"/>
      <c r="DZ12" s="187"/>
      <c r="EA12" s="132"/>
      <c r="EB12" s="279"/>
      <c r="EC12" s="5" t="s">
        <v>11</v>
      </c>
      <c r="ED12" s="8">
        <v>3770914.7899999996</v>
      </c>
      <c r="EE12" s="8">
        <v>11731706.540000001</v>
      </c>
      <c r="EF12" s="8">
        <v>-2925501.03</v>
      </c>
      <c r="EG12" s="8">
        <v>-4543365.120000001</v>
      </c>
      <c r="EH12" s="8">
        <v>-664527.12999999709</v>
      </c>
      <c r="EI12" s="8">
        <v>-2360786.9416527594</v>
      </c>
      <c r="EJ12" s="8">
        <v>-2598050.3976373724</v>
      </c>
      <c r="EK12" s="8">
        <v>-766407.50199255871</v>
      </c>
      <c r="EL12" s="8">
        <v>-3593603.9035242232</v>
      </c>
      <c r="EM12" s="8">
        <v>-2478210.1010813052</v>
      </c>
      <c r="EN12" s="8">
        <v>-4112711.882674457</v>
      </c>
      <c r="EO12" s="8">
        <v>-896103.38203946536</v>
      </c>
      <c r="EP12" s="8">
        <v>4912308.7272242252</v>
      </c>
      <c r="EQ12" s="8">
        <v>14521562.840487527</v>
      </c>
      <c r="ER12" s="8">
        <v>-9739516.1606461667</v>
      </c>
      <c r="ES12" s="8">
        <v>-4720898.3720852034</v>
      </c>
      <c r="ET12" s="8">
        <v>-1951378.913425782</v>
      </c>
      <c r="EU12" s="8">
        <v>-202910.13689840893</v>
      </c>
      <c r="EV12" s="8">
        <v>-1483678.5485616187</v>
      </c>
      <c r="EW12" s="8">
        <v>977340.86078128149</v>
      </c>
      <c r="EX12" s="8">
        <v>-3679795.0719777597</v>
      </c>
      <c r="EY12" s="8">
        <v>-1325904.8187091884</v>
      </c>
      <c r="EZ12" s="8">
        <v>-8.5972843141498743</v>
      </c>
      <c r="FA12" s="8">
        <v>-732188.55421939236</v>
      </c>
      <c r="FB12" s="8">
        <v>1259027.0342398337</v>
      </c>
      <c r="FC12" s="8">
        <v>14629115.693251541</v>
      </c>
      <c r="FD12" s="8">
        <v>-4087293.0911802319</v>
      </c>
      <c r="FE12" s="8">
        <v>-1348324.1682142103</v>
      </c>
      <c r="FH12" s="132"/>
      <c r="FI12" s="279"/>
      <c r="FJ12" s="5" t="s">
        <v>11</v>
      </c>
      <c r="FK12" s="8">
        <v>-1067740.8817789806</v>
      </c>
      <c r="FL12" s="8">
        <v>1580611.1537780624</v>
      </c>
      <c r="FM12" s="8">
        <v>-342493.44407419162</v>
      </c>
      <c r="FN12" s="8">
        <v>65253.336089739911</v>
      </c>
      <c r="FO12" s="8">
        <v>-1660086.9231228735</v>
      </c>
      <c r="FP12" s="8">
        <v>-1329011.0014549941</v>
      </c>
    </row>
    <row r="13" spans="1:175" s="4" customFormat="1" ht="15" outlineLevel="1" x14ac:dyDescent="0.25">
      <c r="A13" s="276"/>
      <c r="B13" s="15" t="s">
        <v>13</v>
      </c>
      <c r="C13" s="7">
        <f>IF(OR(C11="",C12=""),"",C11+C12)</f>
        <v>0</v>
      </c>
      <c r="D13" s="7">
        <f>IF(OR(D11="",D12=""),"",D11+D12)</f>
        <v>3550.566661994797</v>
      </c>
      <c r="E13" s="7">
        <f t="shared" ref="E13:I13" si="4">IF(OR(E11="",E12=""),"",E11+E12)</f>
        <v>-2039.2270118757631</v>
      </c>
      <c r="F13" s="7">
        <f t="shared" si="4"/>
        <v>-101526.37221352637</v>
      </c>
      <c r="G13" s="7">
        <f t="shared" si="4"/>
        <v>3181.1750170901091</v>
      </c>
      <c r="H13" s="7">
        <f t="shared" si="4"/>
        <v>76961.566341737329</v>
      </c>
      <c r="I13" s="7">
        <f t="shared" si="4"/>
        <v>-50698.863544895597</v>
      </c>
      <c r="J13" s="7">
        <f>IF(OR(J11="",J12=""),"",J11+J12)</f>
        <v>-212764.56379910326</v>
      </c>
      <c r="M13" s="132"/>
      <c r="N13" s="132"/>
      <c r="O13" s="127"/>
      <c r="P13" s="48"/>
      <c r="Q13" s="106"/>
      <c r="R13" s="106"/>
      <c r="S13" s="106"/>
      <c r="T13" s="106"/>
      <c r="U13" s="106"/>
      <c r="V13" s="106"/>
      <c r="W13" s="106"/>
      <c r="X13" s="106"/>
      <c r="Y13" s="106"/>
      <c r="Z13" s="106"/>
      <c r="AA13" s="106"/>
      <c r="AB13" s="141"/>
      <c r="AC13" s="279"/>
      <c r="AD13" s="9" t="s">
        <v>2</v>
      </c>
      <c r="AE13" s="8">
        <v>4163379.87</v>
      </c>
      <c r="AF13" s="8">
        <v>5598760.4400000004</v>
      </c>
      <c r="AG13" s="8">
        <v>7808686.6000000006</v>
      </c>
      <c r="AH13" s="8">
        <v>4776503.1700000009</v>
      </c>
      <c r="AI13" s="8">
        <v>1145637.4100000006</v>
      </c>
      <c r="AJ13" s="8">
        <v>-976465.16999999993</v>
      </c>
      <c r="AK13" s="8">
        <v>-3726428.4899999998</v>
      </c>
      <c r="AL13" s="8">
        <v>-5436027.6899999967</v>
      </c>
      <c r="AM13" s="8">
        <v>-3188708.1699999962</v>
      </c>
      <c r="AN13" s="8">
        <v>4091952.530000004</v>
      </c>
      <c r="AO13" s="8">
        <v>-1189978.9699999969</v>
      </c>
      <c r="AP13" s="8">
        <v>-4718406.4499999974</v>
      </c>
      <c r="AQ13" s="8">
        <v>-5317193.3899999969</v>
      </c>
      <c r="AR13" s="8">
        <v>-6351095.3399999971</v>
      </c>
      <c r="AS13" s="8">
        <v>-6854065.9199999971</v>
      </c>
      <c r="AT13" s="8">
        <v>-7182005.9099999974</v>
      </c>
      <c r="AU13" s="8">
        <v>-9094915.8099999987</v>
      </c>
      <c r="AV13" s="8">
        <v>-10018117.219999999</v>
      </c>
      <c r="AW13" s="8">
        <v>-8846069.4399999976</v>
      </c>
      <c r="AX13" s="8">
        <v>-8134295.7899999991</v>
      </c>
      <c r="AY13" s="8">
        <v>-4362785.5</v>
      </c>
      <c r="AZ13" s="8">
        <v>7369616.1399999969</v>
      </c>
      <c r="BA13" s="8">
        <v>4444311.589999998</v>
      </c>
      <c r="BB13" s="8">
        <v>-99057.500000002794</v>
      </c>
      <c r="BC13" s="8">
        <v>-741601.9700000023</v>
      </c>
      <c r="BF13" s="132"/>
      <c r="BG13"/>
      <c r="BH13"/>
      <c r="BI13" s="10">
        <v>44105</v>
      </c>
      <c r="BJ13" s="10">
        <v>44136</v>
      </c>
      <c r="BK13" s="10">
        <v>44166</v>
      </c>
      <c r="BL13" s="10">
        <v>44197</v>
      </c>
      <c r="BM13" s="10">
        <v>44228</v>
      </c>
      <c r="BN13" s="10">
        <v>44256</v>
      </c>
      <c r="BO13" s="10">
        <v>44287</v>
      </c>
      <c r="BP13" s="10">
        <v>44317</v>
      </c>
      <c r="BQ13" s="10">
        <v>44348</v>
      </c>
      <c r="BR13" s="10">
        <v>44378</v>
      </c>
      <c r="BS13" s="10">
        <v>44409</v>
      </c>
      <c r="BT13" s="10">
        <v>44440</v>
      </c>
      <c r="BU13" s="10">
        <v>44470</v>
      </c>
      <c r="BY13" s="132"/>
      <c r="BZ13" s="276"/>
      <c r="CA13" s="17" t="s">
        <v>1</v>
      </c>
      <c r="CB13" s="191">
        <v>1783212.1718906779</v>
      </c>
      <c r="CC13" s="191">
        <v>1035985.2469429747</v>
      </c>
      <c r="CD13" s="191">
        <v>237729.42544406466</v>
      </c>
      <c r="CE13" s="191">
        <v>-366328.51795433403</v>
      </c>
      <c r="CF13" s="191">
        <v>-767550.09718891722</v>
      </c>
      <c r="CG13" s="191">
        <v>-980795.26006977982</v>
      </c>
      <c r="CH13" s="191">
        <v>-982925.54186441668</v>
      </c>
      <c r="CK13" s="276"/>
      <c r="CL13" s="17" t="s">
        <v>1</v>
      </c>
      <c r="CM13" s="191">
        <v>1783212.1718906779</v>
      </c>
      <c r="CN13" s="191">
        <v>1035985.2369429746</v>
      </c>
      <c r="CO13" s="191">
        <v>237729.40544406488</v>
      </c>
      <c r="CP13" s="191">
        <v>-366328.53795433382</v>
      </c>
      <c r="CQ13" s="191">
        <v>-767550.11718891724</v>
      </c>
      <c r="CR13" s="191">
        <v>-980795.29006977985</v>
      </c>
      <c r="CS13" s="191">
        <v>-982925.57186441682</v>
      </c>
      <c r="CW13" s="132"/>
      <c r="CX13" s="279"/>
      <c r="CY13" s="9" t="s">
        <v>2</v>
      </c>
      <c r="CZ13" s="8">
        <v>7391068.9099999992</v>
      </c>
      <c r="DA13" s="7">
        <v>4465768.05</v>
      </c>
      <c r="DB13" s="7">
        <v>-77596.88000000082</v>
      </c>
      <c r="DC13" s="8">
        <v>-742123.83999999787</v>
      </c>
      <c r="DD13" s="8">
        <v>-3102910.5916527575</v>
      </c>
      <c r="DE13" s="8">
        <v>-5700960.7992901299</v>
      </c>
      <c r="DF13" s="8">
        <v>-6467318.1212826883</v>
      </c>
      <c r="DG13" s="8">
        <v>-10060921.904806912</v>
      </c>
      <c r="DH13" s="8">
        <v>-12539131.825888216</v>
      </c>
      <c r="DI13" s="8">
        <v>-16651843.538562674</v>
      </c>
      <c r="DJ13" s="8">
        <v>-17547946.79060214</v>
      </c>
      <c r="DK13" s="8">
        <v>-12600634.763377916</v>
      </c>
      <c r="DL13" s="8">
        <v>1920935.9071096107</v>
      </c>
      <c r="DM13" s="8">
        <v>-7819085.5535365548</v>
      </c>
      <c r="DN13" s="8">
        <v>-13236083.361145323</v>
      </c>
      <c r="DO13" s="8">
        <v>-15187441.904571105</v>
      </c>
      <c r="DP13" s="8">
        <v>-15390334.261469513</v>
      </c>
      <c r="DQ13" s="8">
        <v>-16873984.67003113</v>
      </c>
      <c r="DR13" s="8">
        <v>-15896599.73924985</v>
      </c>
      <c r="DS13" s="8">
        <v>-19576333.741227608</v>
      </c>
      <c r="DT13" s="8">
        <v>-20902162.299936797</v>
      </c>
      <c r="DU13" s="8">
        <v>-20902036.07722111</v>
      </c>
      <c r="DV13" s="8">
        <v>-21634120.811440501</v>
      </c>
      <c r="DW13" s="8">
        <v>-20374965.167200666</v>
      </c>
      <c r="DX13" s="8">
        <v>-5745710.4239491243</v>
      </c>
      <c r="DY13" s="187"/>
      <c r="DZ13" s="187"/>
      <c r="EA13" s="132"/>
      <c r="EB13" s="279"/>
      <c r="EC13" s="9" t="s">
        <v>2</v>
      </c>
      <c r="ED13" s="8">
        <v>-4341416.4699999988</v>
      </c>
      <c r="EE13" s="8">
        <v>7390290.0700000022</v>
      </c>
      <c r="EF13" s="7">
        <v>4464789.0400000028</v>
      </c>
      <c r="EG13" s="7">
        <v>-78576.079999998212</v>
      </c>
      <c r="EH13" s="8">
        <v>-743103.20999999531</v>
      </c>
      <c r="EI13" s="8">
        <v>-3103890.1516527548</v>
      </c>
      <c r="EJ13" s="8">
        <v>-5701940.5492901271</v>
      </c>
      <c r="EK13" s="8">
        <v>-6468348.0512826862</v>
      </c>
      <c r="EL13" s="8">
        <v>-10061951.954806909</v>
      </c>
      <c r="EM13" s="8">
        <v>-12540162.055888213</v>
      </c>
      <c r="EN13" s="8">
        <v>-16652873.938562671</v>
      </c>
      <c r="EO13" s="8">
        <v>-17548977.320602138</v>
      </c>
      <c r="EP13" s="8">
        <v>-12636668.593377912</v>
      </c>
      <c r="EQ13" s="8">
        <v>1884894.2471096143</v>
      </c>
      <c r="ER13" s="8">
        <v>-7854621.9135365523</v>
      </c>
      <c r="ES13" s="8">
        <v>-13271603.842655683</v>
      </c>
      <c r="ET13" s="8">
        <v>-15222982.756081466</v>
      </c>
      <c r="EU13" s="8">
        <v>-15425892.892979875</v>
      </c>
      <c r="EV13" s="8">
        <v>-16909571.441541493</v>
      </c>
      <c r="EW13" s="8">
        <v>-15932230.580760211</v>
      </c>
      <c r="EX13" s="8">
        <v>-19612025.652737971</v>
      </c>
      <c r="EY13" s="8">
        <v>-20937930.471447159</v>
      </c>
      <c r="EZ13" s="8">
        <v>-20937939.068731472</v>
      </c>
      <c r="FA13" s="8">
        <v>-21670127.622950863</v>
      </c>
      <c r="FB13" s="8">
        <v>-20411100.588711031</v>
      </c>
      <c r="FC13" s="8">
        <v>-5781984.8954594899</v>
      </c>
      <c r="FD13" s="8">
        <v>-9869277.9866397213</v>
      </c>
      <c r="FE13" s="8">
        <v>-11217602.154853933</v>
      </c>
      <c r="FH13" s="132"/>
      <c r="FI13" s="279"/>
      <c r="FJ13" s="9" t="s">
        <v>2</v>
      </c>
      <c r="FK13" s="7">
        <v>-12942902.3312224</v>
      </c>
      <c r="FL13" s="7">
        <v>-11362291.177444337</v>
      </c>
      <c r="FM13" s="7">
        <v>-11704784.621518528</v>
      </c>
      <c r="FN13" s="7">
        <v>-11639531.285428789</v>
      </c>
      <c r="FO13" s="8">
        <v>-13299618.208551662</v>
      </c>
      <c r="FP13" s="8">
        <v>-14628629.210006656</v>
      </c>
    </row>
    <row r="14" spans="1:175" s="4" customFormat="1" ht="15" outlineLevel="1" x14ac:dyDescent="0.25">
      <c r="A14" s="276"/>
      <c r="B14" s="17" t="s">
        <v>14</v>
      </c>
      <c r="C14" s="7">
        <f>IF(OR(C13=""),"",C13)</f>
        <v>0</v>
      </c>
      <c r="D14" s="7">
        <f>IF(OR(D13="",C14=""),"",D13+C14)</f>
        <v>3550.566661994797</v>
      </c>
      <c r="E14" s="7">
        <f t="shared" ref="E14:J14" si="5">IF(OR(E13="",D14=""),"",E13+D14)</f>
        <v>1511.3396501190339</v>
      </c>
      <c r="F14" s="7">
        <f t="shared" si="5"/>
        <v>-100015.03256340734</v>
      </c>
      <c r="G14" s="7">
        <f t="shared" si="5"/>
        <v>-96833.857546317231</v>
      </c>
      <c r="H14" s="7">
        <f t="shared" si="5"/>
        <v>-19872.291204579902</v>
      </c>
      <c r="I14" s="7">
        <f t="shared" si="5"/>
        <v>-70571.154749475507</v>
      </c>
      <c r="J14" s="7">
        <f t="shared" si="5"/>
        <v>-283335.71854857879</v>
      </c>
      <c r="M14" s="132"/>
      <c r="N14" s="132"/>
      <c r="O14" s="127"/>
      <c r="P14" s="120"/>
      <c r="Q14" s="122">
        <v>43862</v>
      </c>
      <c r="R14" s="122">
        <v>43891</v>
      </c>
      <c r="S14" s="122">
        <v>43922</v>
      </c>
      <c r="T14" s="122">
        <v>43952</v>
      </c>
      <c r="U14" s="122">
        <v>43983</v>
      </c>
      <c r="V14" s="122">
        <v>44013</v>
      </c>
      <c r="W14" s="122">
        <v>44044</v>
      </c>
      <c r="X14" s="122">
        <v>44075</v>
      </c>
      <c r="Y14" s="123">
        <v>44105</v>
      </c>
      <c r="Z14" s="106"/>
      <c r="AA14" s="106"/>
      <c r="AB14" s="141"/>
      <c r="AC14" s="106"/>
      <c r="AD14" s="106"/>
      <c r="AE14" s="106"/>
      <c r="AF14" s="106"/>
      <c r="AG14" s="106"/>
      <c r="AH14" s="106"/>
      <c r="AI14" s="106"/>
      <c r="AJ14" s="106"/>
      <c r="AK14" s="3"/>
      <c r="BF14" s="132"/>
      <c r="BG14" s="279" t="s">
        <v>0</v>
      </c>
      <c r="BH14" s="5"/>
      <c r="BI14"/>
      <c r="BJ14"/>
      <c r="BK14"/>
      <c r="BL14"/>
      <c r="BM14"/>
      <c r="BN14" s="177">
        <v>-21982.399999997608</v>
      </c>
      <c r="BO14"/>
      <c r="BP14"/>
      <c r="BQ14"/>
      <c r="BR14"/>
      <c r="BS14"/>
      <c r="BT14"/>
      <c r="BU14"/>
      <c r="BY14" s="132"/>
      <c r="BZ14" s="35"/>
      <c r="CA14" s="11"/>
      <c r="CB14" s="2"/>
      <c r="CC14" s="2"/>
      <c r="CD14" s="2"/>
      <c r="CE14" s="2"/>
      <c r="CF14" s="2"/>
      <c r="CG14" s="2"/>
      <c r="CH14" s="2"/>
      <c r="CK14" s="35"/>
      <c r="CL14" s="11"/>
      <c r="CM14" s="2"/>
      <c r="CN14" s="2"/>
      <c r="CO14" s="2"/>
      <c r="CP14" s="2"/>
      <c r="CQ14" s="2"/>
      <c r="CR14" s="2"/>
      <c r="CS14" s="2"/>
      <c r="CW14" s="132"/>
      <c r="CX14" s="35"/>
      <c r="CY14" s="11"/>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87"/>
      <c r="DZ14" s="187"/>
      <c r="EA14" s="132"/>
      <c r="FH14" s="132"/>
    </row>
    <row r="15" spans="1:175" s="4" customFormat="1" ht="15" customHeight="1" outlineLevel="1" x14ac:dyDescent="0.25">
      <c r="A15" s="35"/>
      <c r="B15" s="11"/>
      <c r="C15" s="12"/>
      <c r="D15" s="12"/>
      <c r="E15" s="12"/>
      <c r="F15" s="12"/>
      <c r="G15" s="12"/>
      <c r="H15" s="12"/>
      <c r="I15" s="12"/>
      <c r="J15" s="12"/>
      <c r="M15" s="132"/>
      <c r="N15" s="132"/>
      <c r="O15" s="127"/>
      <c r="P15" s="80"/>
      <c r="Q15" s="106"/>
      <c r="R15" s="106"/>
      <c r="S15" s="106"/>
      <c r="T15" s="106"/>
      <c r="U15" s="106"/>
      <c r="V15" s="106"/>
      <c r="W15" s="106"/>
      <c r="X15" s="106"/>
      <c r="Y15" s="106"/>
      <c r="Z15" s="106"/>
      <c r="AA15" s="106"/>
      <c r="AB15" s="141"/>
      <c r="AC15" s="106"/>
      <c r="AD15" s="106"/>
      <c r="AE15" s="106"/>
      <c r="AF15" s="106"/>
      <c r="AG15" s="106"/>
      <c r="AH15" s="106"/>
      <c r="AI15" s="106"/>
      <c r="AJ15" s="106"/>
      <c r="AK15" s="3"/>
      <c r="BF15" s="132"/>
      <c r="BG15" s="279"/>
      <c r="BH15" s="5" t="s">
        <v>8</v>
      </c>
      <c r="BI15" s="178">
        <v>5075926.8299999991</v>
      </c>
      <c r="BJ15" s="179">
        <f>8226323.59-BH5</f>
        <v>8170963.8799999999</v>
      </c>
      <c r="BK15" s="178">
        <v>17050986.669999998</v>
      </c>
      <c r="BL15" s="178">
        <v>3390691.4000000004</v>
      </c>
      <c r="BM15" s="179">
        <f>3040542.49-BI5</f>
        <v>3035434.49</v>
      </c>
      <c r="BN15" s="178">
        <v>6776151.4500000002</v>
      </c>
      <c r="BO15" s="178">
        <v>3593096.5983472401</v>
      </c>
      <c r="BP15" s="178">
        <v>3249816.752362628</v>
      </c>
      <c r="BQ15" s="178">
        <v>6101138.4180074409</v>
      </c>
      <c r="BR15" s="178">
        <v>5074049.6564757768</v>
      </c>
      <c r="BS15" s="178">
        <v>6150752.0389186945</v>
      </c>
      <c r="BT15" s="178">
        <v>4538886.177325543</v>
      </c>
      <c r="BU15" s="178">
        <v>5908069.5179605344</v>
      </c>
      <c r="BY15" s="132"/>
      <c r="BZ15" s="276" t="s">
        <v>19</v>
      </c>
      <c r="CA15" s="14"/>
      <c r="CB15" s="2"/>
      <c r="CC15" s="2"/>
      <c r="CD15" s="2"/>
      <c r="CE15" s="2"/>
      <c r="CF15" s="2"/>
      <c r="CG15" s="2"/>
      <c r="CH15" s="2"/>
      <c r="CK15" s="276" t="s">
        <v>19</v>
      </c>
      <c r="CL15" s="14"/>
      <c r="CM15" s="2"/>
      <c r="CN15" s="2"/>
      <c r="CO15" s="2"/>
      <c r="CP15" s="2"/>
      <c r="CQ15" s="2"/>
      <c r="CR15" s="2"/>
      <c r="CS15" s="2"/>
      <c r="CW15" s="132"/>
      <c r="CX15" s="276" t="s">
        <v>24</v>
      </c>
      <c r="CY15" s="14"/>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187"/>
      <c r="DZ15" s="187"/>
      <c r="EA15" s="132"/>
      <c r="EB15" s="4" t="s">
        <v>120</v>
      </c>
      <c r="EM15" s="4" t="s">
        <v>121</v>
      </c>
      <c r="EX15" s="4" t="s">
        <v>122</v>
      </c>
      <c r="FH15" s="132"/>
    </row>
    <row r="16" spans="1:175" s="4" customFormat="1" ht="15" customHeight="1" outlineLevel="1" thickBot="1" x14ac:dyDescent="0.3">
      <c r="A16" s="276" t="s">
        <v>20</v>
      </c>
      <c r="B16" s="14"/>
      <c r="C16" s="7"/>
      <c r="D16" s="7"/>
      <c r="E16" s="7"/>
      <c r="F16" s="7"/>
      <c r="G16" s="7"/>
      <c r="H16" s="7"/>
      <c r="I16" s="7"/>
      <c r="J16" s="7"/>
      <c r="M16" s="132"/>
      <c r="N16" s="132"/>
      <c r="O16" s="35"/>
      <c r="P16" s="11"/>
      <c r="Q16" s="124"/>
      <c r="R16" s="125"/>
      <c r="S16" s="125"/>
      <c r="T16" s="125"/>
      <c r="U16" s="125"/>
      <c r="V16" s="125"/>
      <c r="W16" s="125"/>
      <c r="X16" s="125"/>
      <c r="Y16" s="126"/>
      <c r="Z16" s="106"/>
      <c r="AA16" s="106"/>
      <c r="AB16" s="141"/>
      <c r="AC16" s="106"/>
      <c r="AD16" s="106"/>
      <c r="AE16" s="106"/>
      <c r="AF16" s="106"/>
      <c r="AG16" s="106"/>
      <c r="AH16" s="106"/>
      <c r="AI16" s="106"/>
      <c r="AJ16" s="106"/>
      <c r="BF16" s="132"/>
      <c r="BG16" s="279"/>
      <c r="BH16" s="5" t="s">
        <v>9</v>
      </c>
      <c r="BI16" s="178">
        <v>4362797.6900000004</v>
      </c>
      <c r="BJ16" s="178">
        <v>4453895.6900000004</v>
      </c>
      <c r="BK16" s="178">
        <v>5320333.05</v>
      </c>
      <c r="BL16" s="178">
        <v>6316759.2699999996</v>
      </c>
      <c r="BM16" s="178">
        <v>7583892.4100000001</v>
      </c>
      <c r="BN16" s="178">
        <v>7418563.8899999997</v>
      </c>
      <c r="BO16" s="178">
        <v>5953301.3499999996</v>
      </c>
      <c r="BP16" s="178">
        <v>5846801.6900000004</v>
      </c>
      <c r="BQ16" s="178">
        <v>6866409.0999999996</v>
      </c>
      <c r="BR16" s="178">
        <v>8666483.5800000001</v>
      </c>
      <c r="BS16" s="178">
        <v>8626819.1899999995</v>
      </c>
      <c r="BT16" s="178">
        <v>8648916.9199999999</v>
      </c>
      <c r="BU16" s="178">
        <v>6801979.5499999998</v>
      </c>
      <c r="BY16" s="132"/>
      <c r="BZ16" s="276"/>
      <c r="CA16" s="14" t="s">
        <v>27</v>
      </c>
      <c r="CB16" s="192">
        <v>1017970.7346454827</v>
      </c>
      <c r="CC16" s="192">
        <v>1252923.0225376603</v>
      </c>
      <c r="CD16" s="192">
        <v>1434652.1574546397</v>
      </c>
      <c r="CE16" s="192">
        <v>1242256.6900827016</v>
      </c>
      <c r="CF16" s="192">
        <v>466704.19082447694</v>
      </c>
      <c r="CG16" s="192">
        <v>411086.64598257263</v>
      </c>
      <c r="CH16" s="192">
        <v>460606.66199414816</v>
      </c>
      <c r="CK16" s="276"/>
      <c r="CL16" s="14" t="s">
        <v>27</v>
      </c>
      <c r="CM16" s="192">
        <v>1011793.2887044745</v>
      </c>
      <c r="CN16" s="192">
        <v>1239697.3927115593</v>
      </c>
      <c r="CO16" s="192">
        <v>1413139.8181276456</v>
      </c>
      <c r="CP16" s="192">
        <v>1222383.3115222841</v>
      </c>
      <c r="CQ16" s="192">
        <v>459531.31527281163</v>
      </c>
      <c r="CR16" s="192">
        <v>407298.77814346319</v>
      </c>
      <c r="CS16" s="192">
        <v>460066.17977211718</v>
      </c>
      <c r="CW16" s="132"/>
      <c r="CX16" s="276"/>
      <c r="CY16" s="14" t="s">
        <v>27</v>
      </c>
      <c r="CZ16" s="18">
        <v>1120062.8565557792</v>
      </c>
      <c r="DA16" s="18">
        <v>1377220.6643166305</v>
      </c>
      <c r="DB16" s="18">
        <v>1195166.5723548159</v>
      </c>
      <c r="DC16" s="18">
        <v>1300632.3993987506</v>
      </c>
      <c r="DD16" s="18">
        <v>1205822.8207733985</v>
      </c>
      <c r="DE16" s="18">
        <v>1472551.2785682739</v>
      </c>
      <c r="DF16" s="18">
        <v>3602609.9103061222</v>
      </c>
      <c r="DG16" s="18">
        <v>4524979.9029475963</v>
      </c>
      <c r="DH16" s="18">
        <v>4557691.9623519126</v>
      </c>
      <c r="DI16" s="18">
        <v>3395133.6257571932</v>
      </c>
      <c r="DJ16" s="18">
        <v>1618999.5517252116</v>
      </c>
      <c r="DK16" s="18">
        <v>1693340.1593012405</v>
      </c>
      <c r="DL16" s="18">
        <v>2043834.5150522972</v>
      </c>
      <c r="DM16" s="18">
        <v>2546894.0685010902</v>
      </c>
      <c r="DN16" s="18">
        <v>2089616.4766016018</v>
      </c>
      <c r="DO16" s="18">
        <v>912247.85076541686</v>
      </c>
      <c r="DP16" s="18">
        <v>846334.21711913729</v>
      </c>
      <c r="DQ16" s="18">
        <v>1066637.678205363</v>
      </c>
      <c r="DR16" s="18">
        <v>2863352.6421243409</v>
      </c>
      <c r="DS16" s="18">
        <v>3675557.5237109675</v>
      </c>
      <c r="DT16" s="18">
        <v>3342039.9312423691</v>
      </c>
      <c r="DU16" s="18">
        <v>2373846.5851787962</v>
      </c>
      <c r="DV16" s="18">
        <v>1051178.3111241481</v>
      </c>
      <c r="DW16" s="18">
        <v>1105092.1759465141</v>
      </c>
      <c r="DX16" s="18">
        <v>1381965.5186848878</v>
      </c>
      <c r="DY16" s="187"/>
      <c r="DZ16" s="187"/>
      <c r="EA16" s="132"/>
      <c r="FH16" s="132"/>
      <c r="FK16" s="224" t="s">
        <v>128</v>
      </c>
    </row>
    <row r="17" spans="1:175" s="2" customFormat="1" ht="15" customHeight="1" outlineLevel="1" x14ac:dyDescent="0.25">
      <c r="A17" s="276"/>
      <c r="B17" s="14" t="s">
        <v>27</v>
      </c>
      <c r="C17" s="19">
        <f>C88</f>
        <v>0.34412602678174997</v>
      </c>
      <c r="D17" s="19">
        <f t="shared" ref="D17:J17" si="6">D88</f>
        <v>593.85341007321881</v>
      </c>
      <c r="E17" s="19">
        <f t="shared" si="6"/>
        <v>8368.5225960071712</v>
      </c>
      <c r="F17" s="19">
        <f t="shared" si="6"/>
        <v>23641.814181406706</v>
      </c>
      <c r="G17" s="19">
        <f t="shared" si="6"/>
        <v>47663.861231335664</v>
      </c>
      <c r="H17" s="19">
        <f t="shared" si="6"/>
        <v>53423.137293371561</v>
      </c>
      <c r="I17" s="19">
        <f t="shared" si="6"/>
        <v>71954.397236201956</v>
      </c>
      <c r="J17" s="19">
        <f t="shared" si="6"/>
        <v>61965.752554031846</v>
      </c>
      <c r="M17" s="133"/>
      <c r="N17" s="133"/>
      <c r="O17" s="276" t="s">
        <v>24</v>
      </c>
      <c r="P17" s="14"/>
      <c r="Q17" s="7"/>
      <c r="R17" s="7"/>
      <c r="S17" s="7"/>
      <c r="T17" s="7"/>
      <c r="U17" s="7"/>
      <c r="V17" s="7"/>
      <c r="W17" s="7"/>
      <c r="X17" s="7"/>
      <c r="Y17" s="111"/>
      <c r="Z17" s="4"/>
      <c r="AA17" s="4"/>
      <c r="AB17" s="141"/>
      <c r="AC17" s="106"/>
      <c r="AD17" s="106"/>
      <c r="AE17" s="106"/>
      <c r="AF17" s="106"/>
      <c r="AG17" s="106"/>
      <c r="AH17" s="106"/>
      <c r="AI17" s="106"/>
      <c r="AJ17" s="106"/>
      <c r="AK17" s="4"/>
      <c r="BF17" s="133"/>
      <c r="BG17" s="279"/>
      <c r="BH17" s="5" t="s">
        <v>10</v>
      </c>
      <c r="BI17" s="180">
        <v>713129.13999999873</v>
      </c>
      <c r="BJ17" s="181">
        <f t="shared" ref="BJ17:BU17" si="7">IF(OR(BJ15="",BJ16=""),"",BJ15-BJ16)</f>
        <v>3717068.1899999995</v>
      </c>
      <c r="BK17" s="181">
        <f t="shared" si="7"/>
        <v>11730653.619999997</v>
      </c>
      <c r="BL17" s="181">
        <f t="shared" si="7"/>
        <v>-2926067.8699999992</v>
      </c>
      <c r="BM17" s="181">
        <f t="shared" si="7"/>
        <v>-4548457.92</v>
      </c>
      <c r="BN17" s="181">
        <f t="shared" si="7"/>
        <v>-642412.43999999948</v>
      </c>
      <c r="BO17" s="181">
        <f t="shared" si="7"/>
        <v>-2360204.7516527595</v>
      </c>
      <c r="BP17" s="181">
        <f t="shared" si="7"/>
        <v>-2596984.9376373724</v>
      </c>
      <c r="BQ17" s="181">
        <f t="shared" si="7"/>
        <v>-765270.68199255876</v>
      </c>
      <c r="BR17" s="181">
        <f t="shared" si="7"/>
        <v>-3592433.9235242233</v>
      </c>
      <c r="BS17" s="181">
        <f t="shared" si="7"/>
        <v>-2476067.151081305</v>
      </c>
      <c r="BT17" s="181">
        <f t="shared" si="7"/>
        <v>-4110030.7426744569</v>
      </c>
      <c r="BU17" s="181">
        <f t="shared" si="7"/>
        <v>-893910.03203946538</v>
      </c>
      <c r="BY17" s="133"/>
      <c r="BZ17" s="276"/>
      <c r="CA17" s="15" t="s">
        <v>25</v>
      </c>
      <c r="CB17" s="192">
        <v>1278047.5437683114</v>
      </c>
      <c r="CC17" s="192">
        <v>1599362.0545714868</v>
      </c>
      <c r="CD17" s="192">
        <v>2061688.4651608262</v>
      </c>
      <c r="CE17" s="192">
        <v>1660014.398272939</v>
      </c>
      <c r="CF17" s="192">
        <v>727343.38262135477</v>
      </c>
      <c r="CG17" s="192">
        <v>558489.16557480057</v>
      </c>
      <c r="CH17" s="192">
        <v>521512.93435668247</v>
      </c>
      <c r="CK17" s="276"/>
      <c r="CL17" s="15" t="s">
        <v>25</v>
      </c>
      <c r="CM17" s="192">
        <v>1281347.3500728621</v>
      </c>
      <c r="CN17" s="192">
        <v>1606180.5544486165</v>
      </c>
      <c r="CO17" s="192">
        <v>2073694.4195104088</v>
      </c>
      <c r="CP17" s="192">
        <v>1671524.4079852232</v>
      </c>
      <c r="CQ17" s="192">
        <v>731304.04769213265</v>
      </c>
      <c r="CR17" s="192">
        <v>560620.84130505682</v>
      </c>
      <c r="CS17" s="192">
        <v>521764.12904962653</v>
      </c>
      <c r="CW17" s="133"/>
      <c r="CX17" s="276"/>
      <c r="CY17" s="15" t="s">
        <v>25</v>
      </c>
      <c r="CZ17" s="18">
        <v>664038.72</v>
      </c>
      <c r="DA17" s="18">
        <v>811016.92</v>
      </c>
      <c r="DB17" s="18">
        <v>2076902.76</v>
      </c>
      <c r="DC17" s="18">
        <v>2924297.21</v>
      </c>
      <c r="DD17" s="18">
        <v>2229866.6</v>
      </c>
      <c r="DE17" s="18">
        <v>2168254.38</v>
      </c>
      <c r="DF17" s="18">
        <v>2621890.16</v>
      </c>
      <c r="DG17" s="18">
        <v>3329515.52</v>
      </c>
      <c r="DH17" s="18">
        <v>3339633.92</v>
      </c>
      <c r="DI17" s="18">
        <v>3328981</v>
      </c>
      <c r="DJ17" s="18">
        <v>2544745.08</v>
      </c>
      <c r="DK17" s="18">
        <v>2313567.6800000002</v>
      </c>
      <c r="DL17" s="18">
        <v>2791286.27</v>
      </c>
      <c r="DM17" s="18">
        <v>3345196.33</v>
      </c>
      <c r="DN17" s="18">
        <v>2693584.13</v>
      </c>
      <c r="DO17" s="18">
        <v>1313029.4300000002</v>
      </c>
      <c r="DP17" s="18">
        <v>1059088.8899999999</v>
      </c>
      <c r="DQ17" s="18">
        <v>1067990.67</v>
      </c>
      <c r="DR17" s="18">
        <v>1283730.6599999999</v>
      </c>
      <c r="DS17" s="18">
        <v>1612267.41</v>
      </c>
      <c r="DT17" s="18">
        <v>1561342.09</v>
      </c>
      <c r="DU17" s="18">
        <v>1380925.98</v>
      </c>
      <c r="DV17" s="18">
        <v>1082294.4100000001</v>
      </c>
      <c r="DW17" s="18">
        <v>1039274.52</v>
      </c>
      <c r="DX17" s="18">
        <v>1374184.39</v>
      </c>
      <c r="DY17" s="198"/>
      <c r="DZ17" s="198"/>
      <c r="EA17" s="133"/>
      <c r="FH17" s="133"/>
      <c r="FK17" s="225">
        <v>45017</v>
      </c>
      <c r="FL17" s="226">
        <v>45047</v>
      </c>
      <c r="FM17" s="226">
        <v>45078</v>
      </c>
      <c r="FN17" s="226">
        <v>45108</v>
      </c>
      <c r="FO17" s="226">
        <v>45139</v>
      </c>
      <c r="FP17" s="226">
        <v>45170</v>
      </c>
      <c r="FQ17" s="213"/>
      <c r="FR17" s="227"/>
      <c r="FS17" s="228"/>
    </row>
    <row r="18" spans="1:175" s="4" customFormat="1" ht="15" customHeight="1" outlineLevel="1" x14ac:dyDescent="0.25">
      <c r="A18" s="276"/>
      <c r="B18" s="15" t="s">
        <v>25</v>
      </c>
      <c r="C18" s="19">
        <f>IF('M3 Allocations - TD'!D52="","",'M3 Allocations - TD'!D70)</f>
        <v>0</v>
      </c>
      <c r="D18" s="19">
        <f>IF('M3 Allocations - TD'!E52="","",'M3 Allocations - TD'!E70)</f>
        <v>0</v>
      </c>
      <c r="E18" s="19">
        <f>IF('M3 Allocations - TD'!F52="","",'M3 Allocations - TD'!F70)</f>
        <v>4662.874879564878</v>
      </c>
      <c r="F18" s="19">
        <f>IF('M3 Allocations - TD'!G52="","",'M3 Allocations - TD'!G70)</f>
        <v>60575.806014450071</v>
      </c>
      <c r="G18" s="19">
        <f>IF('M3 Allocations - TD'!H52="","",'M3 Allocations - TD'!H70)</f>
        <v>69235.226705339766</v>
      </c>
      <c r="H18" s="19">
        <f>IF('M3 Allocations - TD'!I52="","",'M3 Allocations - TD'!I70)</f>
        <v>71132.268141530934</v>
      </c>
      <c r="I18" s="19">
        <f>IF('M3 Allocations - TD'!J52="","",'M3 Allocations - TD'!J70)</f>
        <v>68766.003213137257</v>
      </c>
      <c r="J18" s="19">
        <f>IF('M3 Allocations - TD'!K52="","",'M3 Allocations - TD'!K70)</f>
        <v>61936.863591354115</v>
      </c>
      <c r="M18" s="132"/>
      <c r="N18" s="132"/>
      <c r="O18" s="276"/>
      <c r="P18" s="14" t="s">
        <v>27</v>
      </c>
      <c r="Q18" s="18">
        <v>921069.68539476907</v>
      </c>
      <c r="R18" s="18">
        <v>727242.36549864151</v>
      </c>
      <c r="S18" s="18">
        <v>330495.27100759087</v>
      </c>
      <c r="T18" s="18">
        <v>448514.38010054693</v>
      </c>
      <c r="U18" s="18">
        <v>1166466.8526526124</v>
      </c>
      <c r="V18" s="18">
        <v>1596902.1714481553</v>
      </c>
      <c r="W18" s="18">
        <v>1748272.4117888492</v>
      </c>
      <c r="X18" s="18">
        <v>1519471.01623757</v>
      </c>
      <c r="Y18" s="112">
        <v>764880.45368540613</v>
      </c>
      <c r="Z18" s="2"/>
      <c r="AA18" s="2"/>
      <c r="AB18" s="140"/>
      <c r="AC18" s="115"/>
      <c r="AD18" s="115"/>
      <c r="AE18" s="115"/>
      <c r="AF18" s="115"/>
      <c r="AG18" s="115"/>
      <c r="AH18" s="115"/>
      <c r="AI18" s="115"/>
      <c r="AJ18" s="115"/>
      <c r="AK18" s="2"/>
      <c r="BF18" s="132"/>
      <c r="BG18" s="279"/>
      <c r="BH18" s="5" t="s">
        <v>3</v>
      </c>
      <c r="BI18" s="182">
        <v>2E-3</v>
      </c>
      <c r="BJ18" s="183">
        <v>2.5244400000000002E-3</v>
      </c>
      <c r="BK18" s="183">
        <v>2.8469900000000002E-3</v>
      </c>
      <c r="BL18" s="183">
        <v>2.0613900000000002E-3</v>
      </c>
      <c r="BM18" s="183">
        <v>2.3221700000000001E-3</v>
      </c>
      <c r="BN18" s="22">
        <v>2.1367399999999998E-3</v>
      </c>
      <c r="BO18" s="22">
        <v>2.2512299999999999E-3</v>
      </c>
      <c r="BP18" s="22">
        <v>2.2427200000000001E-3</v>
      </c>
      <c r="BQ18" s="22">
        <v>2.01659E-3</v>
      </c>
      <c r="BR18" s="22">
        <v>1.3954900000000001E-3</v>
      </c>
      <c r="BS18" s="22">
        <v>2.0509899999999999E-3</v>
      </c>
      <c r="BT18" s="22">
        <v>1.9323299999999999E-3</v>
      </c>
      <c r="BU18" s="22">
        <v>1.5E-3</v>
      </c>
      <c r="BV18" s="89" t="s">
        <v>72</v>
      </c>
      <c r="BW18" s="89" t="s">
        <v>75</v>
      </c>
      <c r="BY18" s="132"/>
      <c r="BZ18" s="276"/>
      <c r="CA18" s="15" t="s">
        <v>45</v>
      </c>
      <c r="CB18" s="192">
        <v>-198628.63</v>
      </c>
      <c r="CC18" s="192">
        <v>-248528.93</v>
      </c>
      <c r="CD18" s="192">
        <v>-321239.03999999998</v>
      </c>
      <c r="CE18" s="192">
        <v>-270175.45</v>
      </c>
      <c r="CF18" s="192">
        <v>-118232.21</v>
      </c>
      <c r="CG18" s="192">
        <v>-90604.87</v>
      </c>
      <c r="CH18" s="192">
        <v>-84722.21</v>
      </c>
      <c r="CK18" s="276"/>
      <c r="CL18" s="15" t="s">
        <v>45</v>
      </c>
      <c r="CM18" s="192">
        <v>-198628.63</v>
      </c>
      <c r="CN18" s="192">
        <v>-248528.93</v>
      </c>
      <c r="CO18" s="192">
        <v>-321239.03999999998</v>
      </c>
      <c r="CP18" s="192">
        <v>-270175.45</v>
      </c>
      <c r="CQ18" s="192">
        <v>-118232.21</v>
      </c>
      <c r="CR18" s="192">
        <v>-90604.87</v>
      </c>
      <c r="CS18" s="192">
        <v>-84722.21</v>
      </c>
      <c r="CW18" s="132"/>
      <c r="CX18" s="276"/>
      <c r="CY18" s="15" t="s">
        <v>45</v>
      </c>
      <c r="CZ18" s="18">
        <v>183380.12</v>
      </c>
      <c r="DA18" s="18">
        <v>220797.02</v>
      </c>
      <c r="DB18" s="18">
        <v>-269418.96999999997</v>
      </c>
      <c r="DC18" s="18">
        <v>-372580.93</v>
      </c>
      <c r="DD18" s="18">
        <v>-266557.01</v>
      </c>
      <c r="DE18" s="18">
        <v>-255479.12</v>
      </c>
      <c r="DF18" s="18">
        <v>-321252.77</v>
      </c>
      <c r="DG18" s="18">
        <v>-412310.44999999995</v>
      </c>
      <c r="DH18" s="18">
        <v>-417357.26</v>
      </c>
      <c r="DI18" s="18">
        <v>-413042.95</v>
      </c>
      <c r="DJ18" s="18">
        <v>-303496.26</v>
      </c>
      <c r="DK18" s="18">
        <v>-281268.86</v>
      </c>
      <c r="DL18" s="18">
        <v>-341119.99</v>
      </c>
      <c r="DM18" s="18">
        <v>-424246.17</v>
      </c>
      <c r="DN18" s="18">
        <v>-37488.600000000006</v>
      </c>
      <c r="DO18" s="18">
        <v>-16454.500000000015</v>
      </c>
      <c r="DP18" s="18">
        <v>-60641.26999999999</v>
      </c>
      <c r="DQ18" s="18">
        <v>8124.2599999999948</v>
      </c>
      <c r="DR18" s="18">
        <v>-761.50999999999476</v>
      </c>
      <c r="DS18" s="18">
        <v>-28136.840000000011</v>
      </c>
      <c r="DT18" s="18">
        <v>-22606.089999999997</v>
      </c>
      <c r="DU18" s="18">
        <v>-3873.9199999999837</v>
      </c>
      <c r="DV18" s="18">
        <v>12650.119999999995</v>
      </c>
      <c r="DW18" s="18">
        <v>15417.529999999984</v>
      </c>
      <c r="DX18" s="18">
        <v>-16235.439999999988</v>
      </c>
      <c r="DY18" s="187"/>
      <c r="DZ18" s="187"/>
      <c r="EA18" s="132"/>
      <c r="FH18" s="132"/>
      <c r="FK18" s="229">
        <v>780659.54894832708</v>
      </c>
      <c r="FL18" s="156">
        <v>800698.45677987696</v>
      </c>
      <c r="FM18" s="156">
        <v>814182.7547070767</v>
      </c>
      <c r="FN18" s="156">
        <v>827306.14447455411</v>
      </c>
      <c r="FO18" s="156">
        <v>194342.81553892637</v>
      </c>
      <c r="FP18" s="156">
        <v>252530.28392805366</v>
      </c>
      <c r="FQ18"/>
      <c r="FS18" s="230"/>
    </row>
    <row r="19" spans="1:175" s="4" customFormat="1" ht="15" customHeight="1" outlineLevel="1" x14ac:dyDescent="0.25">
      <c r="A19" s="276"/>
      <c r="B19" s="15" t="s">
        <v>45</v>
      </c>
      <c r="C19" s="19">
        <f>IF(C18="","",0)</f>
        <v>0</v>
      </c>
      <c r="D19" s="19">
        <f t="shared" ref="D19:J19" si="8">IF(D18="","",0)</f>
        <v>0</v>
      </c>
      <c r="E19" s="19">
        <f t="shared" si="8"/>
        <v>0</v>
      </c>
      <c r="F19" s="19">
        <f t="shared" si="8"/>
        <v>0</v>
      </c>
      <c r="G19" s="19">
        <f t="shared" si="8"/>
        <v>0</v>
      </c>
      <c r="H19" s="19">
        <f t="shared" si="8"/>
        <v>0</v>
      </c>
      <c r="I19" s="19">
        <f t="shared" si="8"/>
        <v>0</v>
      </c>
      <c r="J19" s="19">
        <f t="shared" si="8"/>
        <v>0</v>
      </c>
      <c r="M19" s="132"/>
      <c r="N19" s="132"/>
      <c r="O19" s="276"/>
      <c r="P19" s="15" t="s">
        <v>25</v>
      </c>
      <c r="Q19" s="18">
        <v>705379.12999999989</v>
      </c>
      <c r="R19" s="18">
        <v>656045.5</v>
      </c>
      <c r="S19" s="18">
        <v>537519.55000000005</v>
      </c>
      <c r="T19" s="18">
        <v>488973.88</v>
      </c>
      <c r="U19" s="18">
        <v>614590.80000000005</v>
      </c>
      <c r="V19" s="18">
        <v>791820.69</v>
      </c>
      <c r="W19" s="18">
        <v>759797.67</v>
      </c>
      <c r="X19" s="18">
        <v>707202.3</v>
      </c>
      <c r="Y19" s="112">
        <v>523078.24999999994</v>
      </c>
      <c r="AB19" s="140"/>
      <c r="AC19" s="115"/>
      <c r="AD19" s="115"/>
      <c r="AE19" s="115"/>
      <c r="AF19" s="115"/>
      <c r="AG19" s="115"/>
      <c r="AH19" s="115"/>
      <c r="AI19" s="115"/>
      <c r="AJ19" s="115"/>
      <c r="BF19" s="132"/>
      <c r="BG19" s="279"/>
      <c r="BH19" s="5" t="s">
        <v>4</v>
      </c>
      <c r="BI19" s="180">
        <v>-1351.83</v>
      </c>
      <c r="BJ19" s="184">
        <f t="shared" ref="BJ19:BL19" si="9">IF(OR(BJ18="",BJ17="",BI22=""),"",ROUND(((BI22+BJ17)*BJ18)/12,2))</f>
        <v>-924.63</v>
      </c>
      <c r="BK19" s="8">
        <f t="shared" si="9"/>
        <v>1740.1</v>
      </c>
      <c r="BL19" s="8">
        <f t="shared" si="9"/>
        <v>757.58</v>
      </c>
      <c r="BM19" s="8">
        <f>IF(OR(BM18="",BM17="",BL22=""),"",ROUND(((BL22+BM17)*BM18)/12,2))</f>
        <v>-26.62</v>
      </c>
      <c r="BN19" s="8">
        <f>IF(OR(BN18="",BN17="",BM22=""),"",ROUND(((BM22+BN17+BN14)*BN18)/12,2))+BE11</f>
        <v>-634.75999999999544</v>
      </c>
      <c r="BO19" s="8">
        <f>IF(OR(BO18="",BO17="",BN22=""),"",ROUND(((BN22+BO17)*BO18)/12,2))</f>
        <v>-593.26</v>
      </c>
      <c r="BP19" s="8">
        <f>IF(OR(BP18="",BP17="",BO22=""),"",ROUND(((BO22+BP17)*BP18)/12,2))</f>
        <v>-1076.49</v>
      </c>
      <c r="BQ19" s="8">
        <f t="shared" ref="BQ19:BU19" si="10">IF(OR(BQ18="",BQ17="",BP22=""),"",ROUND(((BP22+BQ17)*BQ18)/12,2))</f>
        <v>-1096.73</v>
      </c>
      <c r="BR19" s="8">
        <f t="shared" si="10"/>
        <v>-1176.8399999999999</v>
      </c>
      <c r="BS19" s="8">
        <f t="shared" si="10"/>
        <v>-2153.0300000000002</v>
      </c>
      <c r="BT19" s="8">
        <f t="shared" si="10"/>
        <v>-2690.64</v>
      </c>
      <c r="BU19" s="8">
        <f t="shared" si="10"/>
        <v>-2200.73</v>
      </c>
      <c r="BV19" s="187">
        <f>SUM('MEEIA 3 calcs'!$Z$10:$AK$10)</f>
        <v>-9951.7199999999939</v>
      </c>
      <c r="BW19" s="185">
        <f>SUM(BJ19:BU19)-BV19</f>
        <v>-124.32999999999993</v>
      </c>
      <c r="BY19" s="132"/>
      <c r="BZ19" s="276"/>
      <c r="CA19" s="15" t="s">
        <v>46</v>
      </c>
      <c r="CB19" s="192">
        <v>1079418.9137683115</v>
      </c>
      <c r="CC19" s="192">
        <v>1350833.1245714868</v>
      </c>
      <c r="CD19" s="192">
        <v>1740449.4251608262</v>
      </c>
      <c r="CE19" s="192">
        <v>1389838.9482729391</v>
      </c>
      <c r="CF19" s="192">
        <v>609111.17262135481</v>
      </c>
      <c r="CG19" s="192">
        <v>467884.29557480058</v>
      </c>
      <c r="CH19" s="192">
        <v>436790.72435668245</v>
      </c>
      <c r="CK19" s="276"/>
      <c r="CL19" s="15" t="s">
        <v>46</v>
      </c>
      <c r="CM19" s="192">
        <v>1082718.7200728622</v>
      </c>
      <c r="CN19" s="192">
        <v>1357651.6244486165</v>
      </c>
      <c r="CO19" s="192">
        <v>1752455.3795104087</v>
      </c>
      <c r="CP19" s="192">
        <v>1401348.9579852233</v>
      </c>
      <c r="CQ19" s="192">
        <v>613071.83769213269</v>
      </c>
      <c r="CR19" s="192">
        <v>470015.97130505682</v>
      </c>
      <c r="CS19" s="192">
        <v>437041.91904962651</v>
      </c>
      <c r="CT19" s="4" t="s">
        <v>105</v>
      </c>
      <c r="CU19" s="4" t="s">
        <v>106</v>
      </c>
      <c r="CV19" s="4" t="s">
        <v>107</v>
      </c>
      <c r="CW19" s="132"/>
      <c r="CX19" s="276"/>
      <c r="CY19" s="15" t="s">
        <v>46</v>
      </c>
      <c r="CZ19" s="18">
        <v>847418.84</v>
      </c>
      <c r="DA19" s="18">
        <v>1031813.9400000001</v>
      </c>
      <c r="DB19" s="18">
        <v>1807483.79</v>
      </c>
      <c r="DC19" s="18">
        <v>2551716.2800000003</v>
      </c>
      <c r="DD19" s="18">
        <v>1963309.5900000003</v>
      </c>
      <c r="DE19" s="18">
        <v>1912775.2599999998</v>
      </c>
      <c r="DF19" s="18">
        <v>2300637.39</v>
      </c>
      <c r="DG19" s="18">
        <v>2917205.0700000003</v>
      </c>
      <c r="DH19" s="18">
        <v>2922276.66</v>
      </c>
      <c r="DI19" s="18">
        <v>2915938.05</v>
      </c>
      <c r="DJ19" s="18">
        <v>2241248.8199999998</v>
      </c>
      <c r="DK19" s="18">
        <v>2032298.8200000003</v>
      </c>
      <c r="DL19" s="18">
        <v>2450166.2800000003</v>
      </c>
      <c r="DM19" s="18">
        <v>2920950.16</v>
      </c>
      <c r="DN19" s="18">
        <v>2656095.5300000003</v>
      </c>
      <c r="DO19" s="18">
        <v>1296574.93</v>
      </c>
      <c r="DP19" s="18">
        <v>998447.61999999988</v>
      </c>
      <c r="DQ19" s="18">
        <v>1076114.93</v>
      </c>
      <c r="DR19" s="18">
        <v>1282969.1499999999</v>
      </c>
      <c r="DS19" s="18">
        <v>1584130.5699999998</v>
      </c>
      <c r="DT19" s="18">
        <v>1538736</v>
      </c>
      <c r="DU19" s="18">
        <v>1377052.06</v>
      </c>
      <c r="DV19" s="18">
        <v>1094944.53</v>
      </c>
      <c r="DW19" s="18">
        <v>1054692.0499999998</v>
      </c>
      <c r="DX19" s="18">
        <v>1357948.95</v>
      </c>
      <c r="DY19" s="187"/>
      <c r="DZ19" s="187"/>
      <c r="EA19" s="132"/>
      <c r="FH19" s="132"/>
      <c r="FK19" s="231">
        <v>23110.13</v>
      </c>
      <c r="FL19" s="49">
        <v>19987.060000000001</v>
      </c>
      <c r="FM19" s="49">
        <v>19388.829999999998</v>
      </c>
      <c r="FN19" s="49">
        <v>54028.06</v>
      </c>
      <c r="FO19" s="49">
        <v>60059.490000000005</v>
      </c>
      <c r="FP19" s="49">
        <v>38128.49</v>
      </c>
      <c r="FQ19"/>
      <c r="FS19" s="230"/>
    </row>
    <row r="20" spans="1:175" s="4" customFormat="1" ht="15" customHeight="1" outlineLevel="1" x14ac:dyDescent="0.25">
      <c r="A20" s="276"/>
      <c r="B20" s="15" t="s">
        <v>46</v>
      </c>
      <c r="C20" s="7">
        <f t="shared" ref="C20:I20" si="11">IF(OR(C19="",C18=""),"",C18+C19)</f>
        <v>0</v>
      </c>
      <c r="D20" s="7">
        <f t="shared" si="11"/>
        <v>0</v>
      </c>
      <c r="E20" s="7">
        <f t="shared" si="11"/>
        <v>4662.874879564878</v>
      </c>
      <c r="F20" s="7">
        <f t="shared" si="11"/>
        <v>60575.806014450071</v>
      </c>
      <c r="G20" s="7">
        <f t="shared" si="11"/>
        <v>69235.226705339766</v>
      </c>
      <c r="H20" s="7">
        <f t="shared" si="11"/>
        <v>71132.268141530934</v>
      </c>
      <c r="I20" s="7">
        <f t="shared" si="11"/>
        <v>68766.003213137257</v>
      </c>
      <c r="J20" s="7">
        <f>IF(OR(J19="",J18=""),"",J18+J19)</f>
        <v>61936.863591354115</v>
      </c>
      <c r="M20" s="132"/>
      <c r="N20" s="132"/>
      <c r="O20" s="276"/>
      <c r="P20" s="15" t="s">
        <v>45</v>
      </c>
      <c r="Q20" s="18">
        <v>196554.22</v>
      </c>
      <c r="R20" s="18">
        <v>181274.15000000002</v>
      </c>
      <c r="S20" s="18">
        <v>149642.01999999999</v>
      </c>
      <c r="T20" s="18">
        <v>136362.22</v>
      </c>
      <c r="U20" s="18">
        <v>171212.22</v>
      </c>
      <c r="V20" s="18">
        <v>216757.82</v>
      </c>
      <c r="W20" s="18">
        <v>209115.01</v>
      </c>
      <c r="X20" s="18">
        <v>195955.65999999997</v>
      </c>
      <c r="Y20" s="112">
        <v>147507.93</v>
      </c>
      <c r="AB20" s="140"/>
      <c r="AC20" s="115"/>
      <c r="AD20" s="115"/>
      <c r="AE20" s="115"/>
      <c r="AF20" s="115"/>
      <c r="AG20" s="115"/>
      <c r="AH20" s="115"/>
      <c r="AI20" s="115"/>
      <c r="AJ20" s="115"/>
      <c r="BF20" s="132"/>
      <c r="BG20" s="279"/>
      <c r="BH20" s="6" t="s">
        <v>5</v>
      </c>
      <c r="BI20" s="180">
        <v>7624.8699999999935</v>
      </c>
      <c r="BJ20" s="184">
        <f t="shared" ref="BJ20:BM20" si="12">IF(OR(BI20="",BJ19=""),"",BI20+BJ19)</f>
        <v>6700.2399999999934</v>
      </c>
      <c r="BK20" s="8">
        <f t="shared" si="12"/>
        <v>8440.3399999999929</v>
      </c>
      <c r="BL20" s="8">
        <f t="shared" si="12"/>
        <v>9197.9199999999928</v>
      </c>
      <c r="BM20" s="8">
        <f t="shared" si="12"/>
        <v>9171.299999999992</v>
      </c>
      <c r="BN20" s="8">
        <f>IF(OR(BM20="",BN19=""),"",BM20+BN19)</f>
        <v>8536.5399999999972</v>
      </c>
      <c r="BO20" s="8">
        <f t="shared" ref="BO20:BU20" si="13">IF(OR(BN20="",BO19=""),"",BN20+BO19)</f>
        <v>7943.279999999997</v>
      </c>
      <c r="BP20" s="8">
        <f t="shared" si="13"/>
        <v>6866.7899999999972</v>
      </c>
      <c r="BQ20" s="8">
        <f t="shared" si="13"/>
        <v>5770.0599999999977</v>
      </c>
      <c r="BR20" s="8">
        <f>IF(OR(BQ20="",BR19=""),"",BQ20+BR19)</f>
        <v>4593.2199999999975</v>
      </c>
      <c r="BS20" s="8">
        <f t="shared" si="13"/>
        <v>2440.1899999999973</v>
      </c>
      <c r="BT20" s="8">
        <f t="shared" si="13"/>
        <v>-250.45000000000255</v>
      </c>
      <c r="BU20" s="8">
        <f t="shared" si="13"/>
        <v>-2451.1800000000026</v>
      </c>
      <c r="BY20" s="132"/>
      <c r="BZ20" s="276"/>
      <c r="CA20" s="15" t="s">
        <v>12</v>
      </c>
      <c r="CB20" s="192">
        <v>-61448.179122828762</v>
      </c>
      <c r="CC20" s="192">
        <v>-97910.102033826523</v>
      </c>
      <c r="CD20" s="192">
        <v>-305797.26770618651</v>
      </c>
      <c r="CE20" s="192">
        <v>-147582.25819023745</v>
      </c>
      <c r="CF20" s="192">
        <v>-142406.98179687787</v>
      </c>
      <c r="CG20" s="192">
        <v>-56797.649592227943</v>
      </c>
      <c r="CH20" s="192">
        <v>23815.937637465715</v>
      </c>
      <c r="CK20" s="276"/>
      <c r="CL20" s="15" t="s">
        <v>12</v>
      </c>
      <c r="CM20" s="192">
        <v>-70925.43136838777</v>
      </c>
      <c r="CN20" s="192">
        <v>-117954.23173705721</v>
      </c>
      <c r="CO20" s="192">
        <v>-339315.56138276309</v>
      </c>
      <c r="CP20" s="192">
        <v>-178965.64646293921</v>
      </c>
      <c r="CQ20" s="192">
        <v>-153540.52241932106</v>
      </c>
      <c r="CR20" s="192">
        <v>-62717.193161593634</v>
      </c>
      <c r="CS20" s="192">
        <v>23024.260722490668</v>
      </c>
      <c r="CT20" s="193">
        <f>SUM(CM20:CS20)</f>
        <v>-900394.32580957143</v>
      </c>
      <c r="CU20" s="193">
        <f>SUM(CB20:CH20)</f>
        <v>-788126.50080471928</v>
      </c>
      <c r="CV20" s="193">
        <f>CT20-CU20</f>
        <v>-112267.82500485214</v>
      </c>
      <c r="CW20" s="132"/>
      <c r="CX20" s="276"/>
      <c r="CY20" s="15" t="s">
        <v>12</v>
      </c>
      <c r="CZ20" s="18">
        <v>272644.01655577932</v>
      </c>
      <c r="DA20" s="18">
        <v>345406.72431663051</v>
      </c>
      <c r="DB20" s="18">
        <v>-612317.2176451839</v>
      </c>
      <c r="DC20" s="18">
        <v>-1251083.8806012496</v>
      </c>
      <c r="DD20" s="18">
        <v>-757486.76922660158</v>
      </c>
      <c r="DE20" s="18">
        <v>-440223.98143172619</v>
      </c>
      <c r="DF20" s="18">
        <v>1301972.520306122</v>
      </c>
      <c r="DG20" s="18">
        <v>1607774.8329475964</v>
      </c>
      <c r="DH20" s="18">
        <v>1635415.3023519127</v>
      </c>
      <c r="DI20" s="18">
        <v>479195.57575719332</v>
      </c>
      <c r="DJ20" s="18">
        <v>-622249.26827478828</v>
      </c>
      <c r="DK20" s="18">
        <v>-338958.66069875972</v>
      </c>
      <c r="DL20" s="18">
        <v>-406331.76494770299</v>
      </c>
      <c r="DM20" s="18">
        <v>-374056.09149891004</v>
      </c>
      <c r="DN20" s="18">
        <v>-566479.05339839845</v>
      </c>
      <c r="DO20" s="18">
        <v>-384327.07923458319</v>
      </c>
      <c r="DP20" s="18">
        <v>-152113.4028808627</v>
      </c>
      <c r="DQ20" s="18">
        <v>-9477.251794636868</v>
      </c>
      <c r="DR20" s="18">
        <v>1580383.492124341</v>
      </c>
      <c r="DS20" s="18">
        <v>2091426.9537109674</v>
      </c>
      <c r="DT20" s="18">
        <v>1803303.9312423691</v>
      </c>
      <c r="DU20" s="18">
        <v>996794.52517879615</v>
      </c>
      <c r="DV20" s="18">
        <v>-43766.218875852297</v>
      </c>
      <c r="DW20" s="18">
        <v>50400.12594651409</v>
      </c>
      <c r="DX20" s="18">
        <v>24016.56868488781</v>
      </c>
      <c r="DY20" s="187"/>
      <c r="DZ20" s="187"/>
      <c r="EA20" s="132"/>
      <c r="FH20" s="132"/>
      <c r="FK20" s="231"/>
      <c r="FL20" s="49"/>
      <c r="FM20" s="49"/>
      <c r="FN20" s="49">
        <v>-685363.89284558839</v>
      </c>
      <c r="FO20" s="49">
        <v>0</v>
      </c>
      <c r="FP20" s="49">
        <v>0</v>
      </c>
      <c r="FQ20"/>
      <c r="FS20" s="230"/>
    </row>
    <row r="21" spans="1:175" s="4" customFormat="1" ht="15" outlineLevel="1" x14ac:dyDescent="0.25">
      <c r="A21" s="276"/>
      <c r="B21" s="15" t="s">
        <v>12</v>
      </c>
      <c r="C21" s="7">
        <f t="shared" ref="C21:I21" si="14">IF(OR(C18="",C17=""),"",C17-C18)</f>
        <v>0.34412602678174997</v>
      </c>
      <c r="D21" s="7">
        <f t="shared" si="14"/>
        <v>593.85341007321881</v>
      </c>
      <c r="E21" s="7">
        <f t="shared" si="14"/>
        <v>3705.6477164422931</v>
      </c>
      <c r="F21" s="7">
        <f t="shared" si="14"/>
        <v>-36933.991833043365</v>
      </c>
      <c r="G21" s="7">
        <f t="shared" si="14"/>
        <v>-21571.365474004102</v>
      </c>
      <c r="H21" s="7">
        <f t="shared" si="14"/>
        <v>-17709.130848159373</v>
      </c>
      <c r="I21" s="7">
        <f t="shared" si="14"/>
        <v>3188.3940230646986</v>
      </c>
      <c r="J21" s="7">
        <f>IF(OR(J18="",J17=""),"",J17-J18)</f>
        <v>28.888962677730888</v>
      </c>
      <c r="K21" s="89" t="s">
        <v>72</v>
      </c>
      <c r="L21" s="89" t="s">
        <v>74</v>
      </c>
      <c r="M21" s="132"/>
      <c r="N21" s="132"/>
      <c r="O21" s="276"/>
      <c r="P21" s="15" t="s">
        <v>46</v>
      </c>
      <c r="Q21" s="18">
        <v>901933.35</v>
      </c>
      <c r="R21" s="18">
        <v>837319.65</v>
      </c>
      <c r="S21" s="18">
        <v>687161.57000000007</v>
      </c>
      <c r="T21" s="18">
        <v>625336.1</v>
      </c>
      <c r="U21" s="18">
        <v>785803.02</v>
      </c>
      <c r="V21" s="18">
        <v>1008578.51</v>
      </c>
      <c r="W21" s="18">
        <v>968912.67999999993</v>
      </c>
      <c r="X21" s="18">
        <v>903157.96</v>
      </c>
      <c r="Y21" s="112">
        <v>670586.17999999993</v>
      </c>
      <c r="AB21" s="140"/>
      <c r="AC21" s="115"/>
      <c r="AD21" s="115"/>
      <c r="AE21" s="115"/>
      <c r="AF21" s="115"/>
      <c r="AG21" s="115"/>
      <c r="AH21" s="115"/>
      <c r="AI21" s="115"/>
      <c r="AJ21" s="115"/>
      <c r="BF21" s="132"/>
      <c r="BG21" s="279"/>
      <c r="BH21" s="5" t="s">
        <v>11</v>
      </c>
      <c r="BI21" s="180">
        <v>711777.30999999878</v>
      </c>
      <c r="BJ21" s="184">
        <f t="shared" ref="BJ21:BM21" si="15">IF(OR(BJ19="",BJ17=""),"",BJ17+BJ19)</f>
        <v>3716143.5599999996</v>
      </c>
      <c r="BK21" s="8">
        <f t="shared" si="15"/>
        <v>11732393.719999997</v>
      </c>
      <c r="BL21" s="8">
        <f t="shared" si="15"/>
        <v>-2925310.2899999991</v>
      </c>
      <c r="BM21" s="8">
        <f t="shared" si="15"/>
        <v>-4548484.54</v>
      </c>
      <c r="BN21" s="8">
        <v>-664537.6399999971</v>
      </c>
      <c r="BO21" s="8">
        <f t="shared" ref="BO21:BU21" si="16">IF(OR(BO19="",BO17=""),"",BO17+BO19)</f>
        <v>-2360798.0116527593</v>
      </c>
      <c r="BP21" s="8">
        <f t="shared" si="16"/>
        <v>-2598061.4276373726</v>
      </c>
      <c r="BQ21" s="8">
        <f t="shared" si="16"/>
        <v>-766367.41199255874</v>
      </c>
      <c r="BR21" s="8">
        <f t="shared" si="16"/>
        <v>-3593610.7635242231</v>
      </c>
      <c r="BS21" s="8">
        <f t="shared" si="16"/>
        <v>-2478220.1810813048</v>
      </c>
      <c r="BT21" s="8">
        <f t="shared" si="16"/>
        <v>-4112721.382674457</v>
      </c>
      <c r="BU21" s="8">
        <f t="shared" si="16"/>
        <v>-896110.76203946536</v>
      </c>
      <c r="BY21" s="132"/>
      <c r="BZ21" s="276"/>
      <c r="CA21" s="16" t="s">
        <v>7</v>
      </c>
      <c r="CB21" s="192">
        <v>307.64999999999998</v>
      </c>
      <c r="CC21" s="192">
        <v>447.9</v>
      </c>
      <c r="CD21" s="192">
        <v>280.74</v>
      </c>
      <c r="CE21" s="192">
        <v>251.34</v>
      </c>
      <c r="CF21" s="192">
        <v>435.39</v>
      </c>
      <c r="CG21" s="192">
        <v>306.26</v>
      </c>
      <c r="CH21" s="192">
        <v>436.47</v>
      </c>
      <c r="CK21" s="276"/>
      <c r="CL21" s="16" t="s">
        <v>7</v>
      </c>
      <c r="CM21" s="192">
        <v>306.44</v>
      </c>
      <c r="CN21" s="192">
        <v>441.49</v>
      </c>
      <c r="CO21" s="192">
        <v>268.42</v>
      </c>
      <c r="CP21" s="192">
        <v>228.05</v>
      </c>
      <c r="CQ21" s="192">
        <v>374.82</v>
      </c>
      <c r="CR21" s="192">
        <v>250.44</v>
      </c>
      <c r="CS21" s="192">
        <v>347.49</v>
      </c>
      <c r="CW21" s="132"/>
      <c r="CX21" s="276"/>
      <c r="CY21" s="16" t="s">
        <v>7</v>
      </c>
      <c r="CZ21" s="18">
        <v>587.21</v>
      </c>
      <c r="DA21" s="18">
        <v>702.58999999999992</v>
      </c>
      <c r="DB21" s="18">
        <v>620.98</v>
      </c>
      <c r="DC21" s="18">
        <v>282.39</v>
      </c>
      <c r="DD21" s="18">
        <v>105.45000000000002</v>
      </c>
      <c r="DE21" s="18">
        <v>-24.939999999999998</v>
      </c>
      <c r="DF21" s="18">
        <v>142.39000000000001</v>
      </c>
      <c r="DG21" s="18">
        <v>237.57</v>
      </c>
      <c r="DH21" s="18">
        <v>557.38</v>
      </c>
      <c r="DI21" s="18">
        <v>535.88</v>
      </c>
      <c r="DJ21" s="18">
        <v>300.33</v>
      </c>
      <c r="DK21" s="18">
        <v>227.60999999999999</v>
      </c>
      <c r="DL21" s="18">
        <v>224.75000000000003</v>
      </c>
      <c r="DM21" s="18">
        <v>46.379999999999995</v>
      </c>
      <c r="DN21" s="18">
        <v>-90.359999999999985</v>
      </c>
      <c r="DO21" s="18">
        <v>-440.15000000000009</v>
      </c>
      <c r="DP21" s="18">
        <v>-490.59999999999997</v>
      </c>
      <c r="DQ21" s="18">
        <v>-777.49</v>
      </c>
      <c r="DR21" s="18">
        <v>738.53000000000009</v>
      </c>
      <c r="DS21" s="18">
        <v>4559.8100000000004</v>
      </c>
      <c r="DT21" s="18">
        <v>9499.25</v>
      </c>
      <c r="DU21" s="18">
        <v>12901.65</v>
      </c>
      <c r="DV21" s="18">
        <v>15702.11</v>
      </c>
      <c r="DW21" s="18">
        <v>19685.54</v>
      </c>
      <c r="DX21" s="18">
        <v>21313.8</v>
      </c>
      <c r="DY21" s="187"/>
      <c r="DZ21" s="187"/>
      <c r="EA21" s="132"/>
      <c r="FH21" s="132"/>
      <c r="FK21" s="231">
        <v>0</v>
      </c>
      <c r="FL21" s="49">
        <v>0</v>
      </c>
      <c r="FM21" s="49">
        <v>0</v>
      </c>
      <c r="FN21" s="49">
        <v>0</v>
      </c>
      <c r="FO21" s="49">
        <v>0</v>
      </c>
      <c r="FP21" s="49">
        <v>0</v>
      </c>
      <c r="FQ21"/>
      <c r="FS21" s="230"/>
    </row>
    <row r="22" spans="1:175" s="4" customFormat="1" ht="15" outlineLevel="1" x14ac:dyDescent="0.25">
      <c r="A22" s="276"/>
      <c r="B22" s="16" t="s">
        <v>7</v>
      </c>
      <c r="C22" s="7">
        <f>ROUND((C21+0)*'MEEIA 3 calcs'!F9/12,2)</f>
        <v>0</v>
      </c>
      <c r="D22" s="7">
        <f>ROUND((D21+C24)*'MEEIA 3 calcs'!G9/12,2)</f>
        <v>1.32</v>
      </c>
      <c r="E22" s="7">
        <f>ROUND((E21+D24)*'MEEIA 3 calcs'!H9/12,2)</f>
        <v>9.6</v>
      </c>
      <c r="F22" s="7">
        <f>ROUND((F21+E24)*'MEEIA 3 calcs'!I9/12,2)</f>
        <v>-72.040000000000006</v>
      </c>
      <c r="G22" s="7">
        <f>ROUND((G21+F24)*'MEEIA 3 calcs'!J9/12,2)</f>
        <v>-117.35</v>
      </c>
      <c r="H22" s="7">
        <f>ROUND((H21+G24)*'MEEIA 3 calcs'!K9/12,2)</f>
        <v>-141.25</v>
      </c>
      <c r="I22" s="7">
        <f>ROUND((I21+H24)*'MEEIA 3 calcs'!L9/12,2)</f>
        <v>-127.55</v>
      </c>
      <c r="J22" s="7">
        <f>ROUND((J21+I24)*'MEEIA 3 calcs'!M9/12,2)</f>
        <v>-121.81</v>
      </c>
      <c r="K22" s="90">
        <f>SUM('MEEIA 3 calcs'!F42:M42)</f>
        <v>-569.1</v>
      </c>
      <c r="L22" s="96">
        <f>SUM(C22:J22)-K22</f>
        <v>1.999999999998181E-2</v>
      </c>
      <c r="M22" s="132"/>
      <c r="N22" s="132"/>
      <c r="O22" s="276"/>
      <c r="P22" s="15" t="s">
        <v>12</v>
      </c>
      <c r="Q22" s="18">
        <v>19136.33539476915</v>
      </c>
      <c r="R22" s="18">
        <v>-110077.28450135858</v>
      </c>
      <c r="S22" s="18">
        <v>-356666.29899240914</v>
      </c>
      <c r="T22" s="18">
        <v>-176821.71989945308</v>
      </c>
      <c r="U22" s="18">
        <v>380663.8326526123</v>
      </c>
      <c r="V22" s="18">
        <v>588323.66144815541</v>
      </c>
      <c r="W22" s="18">
        <v>779359.73178884923</v>
      </c>
      <c r="X22" s="18">
        <v>616313.05623756989</v>
      </c>
      <c r="Y22" s="112">
        <v>94294.273685406195</v>
      </c>
      <c r="AB22" s="140"/>
      <c r="AC22" s="115"/>
      <c r="AD22" s="115"/>
      <c r="AE22" s="115"/>
      <c r="AF22" s="115"/>
      <c r="AG22" s="115"/>
      <c r="AH22" s="115"/>
      <c r="AI22" s="115"/>
      <c r="AJ22" s="115"/>
      <c r="BF22" s="132"/>
      <c r="BG22" s="279"/>
      <c r="BH22" s="9" t="s">
        <v>2</v>
      </c>
      <c r="BI22" s="180">
        <v>-8112331.2599999979</v>
      </c>
      <c r="BJ22" s="184">
        <f t="shared" ref="BJ22:BM22" si="17">IF(OR(BJ21="",BI22=""),"",BJ21+BI22)</f>
        <v>-4396187.6999999983</v>
      </c>
      <c r="BK22" s="8">
        <f t="shared" si="17"/>
        <v>7336206.0199999986</v>
      </c>
      <c r="BL22" s="8">
        <f t="shared" si="17"/>
        <v>4410895.7299999995</v>
      </c>
      <c r="BM22" s="8">
        <f t="shared" si="17"/>
        <v>-137588.81000000052</v>
      </c>
      <c r="BN22" s="8">
        <f>IF(OR(BN21="",BM22=""),"",BN21+BM22)</f>
        <v>-802126.44999999763</v>
      </c>
      <c r="BO22" s="8">
        <f t="shared" ref="BO22:BU22" si="18">IF(OR(BO21="",BN22=""),"",BO21+BN22)</f>
        <v>-3162924.4616527567</v>
      </c>
      <c r="BP22" s="8">
        <f t="shared" si="18"/>
        <v>-5760985.8892901298</v>
      </c>
      <c r="BQ22" s="8">
        <f t="shared" si="18"/>
        <v>-6527353.301282689</v>
      </c>
      <c r="BR22" s="8">
        <f t="shared" si="18"/>
        <v>-10120964.064806912</v>
      </c>
      <c r="BS22" s="8">
        <f t="shared" si="18"/>
        <v>-12599184.245888216</v>
      </c>
      <c r="BT22" s="8">
        <f t="shared" si="18"/>
        <v>-16711905.628562674</v>
      </c>
      <c r="BU22" s="8">
        <f t="shared" si="18"/>
        <v>-17608016.390602138</v>
      </c>
      <c r="BY22" s="132"/>
      <c r="BZ22" s="276"/>
      <c r="CA22" s="15" t="s">
        <v>13</v>
      </c>
      <c r="CB22" s="192">
        <v>-61140.529122828761</v>
      </c>
      <c r="CC22" s="192">
        <v>-97462.202033826528</v>
      </c>
      <c r="CD22" s="192">
        <v>-305516.52770618652</v>
      </c>
      <c r="CE22" s="192">
        <v>-147330.91819023745</v>
      </c>
      <c r="CF22" s="192">
        <v>-141971.59179687785</v>
      </c>
      <c r="CG22" s="192">
        <v>-56491.389592227941</v>
      </c>
      <c r="CH22" s="192">
        <v>24252.407637465716</v>
      </c>
      <c r="CK22" s="276"/>
      <c r="CL22" s="15" t="s">
        <v>13</v>
      </c>
      <c r="CM22" s="192">
        <v>-70618.991368387768</v>
      </c>
      <c r="CN22" s="192">
        <v>-117512.74173705721</v>
      </c>
      <c r="CO22" s="192">
        <v>-339047.1413827631</v>
      </c>
      <c r="CP22" s="192">
        <v>-178737.59646293923</v>
      </c>
      <c r="CQ22" s="192">
        <v>-153165.70241932105</v>
      </c>
      <c r="CR22" s="192">
        <v>-62466.753161593631</v>
      </c>
      <c r="CS22" s="192">
        <v>23371.750722490669</v>
      </c>
      <c r="CW22" s="132"/>
      <c r="CX22" s="276"/>
      <c r="CY22" s="16" t="s">
        <v>26</v>
      </c>
      <c r="CZ22" s="13">
        <v>-8605.260000000002</v>
      </c>
      <c r="DA22" s="13">
        <v>-7902.6700000000019</v>
      </c>
      <c r="DB22" s="13">
        <v>-7281.6900000000023</v>
      </c>
      <c r="DC22" s="13">
        <v>-6999.300000000002</v>
      </c>
      <c r="DD22" s="13">
        <v>-6893.8500000000022</v>
      </c>
      <c r="DE22" s="13">
        <v>-6918.7900000000018</v>
      </c>
      <c r="DF22" s="13">
        <v>-6776.4000000000015</v>
      </c>
      <c r="DG22" s="13">
        <v>-6538.8300000000017</v>
      </c>
      <c r="DH22" s="13">
        <v>-5981.4500000000016</v>
      </c>
      <c r="DI22" s="13">
        <v>-5445.5700000000015</v>
      </c>
      <c r="DJ22" s="13">
        <v>-5145.2400000000016</v>
      </c>
      <c r="DK22" s="13">
        <v>-4917.6300000000019</v>
      </c>
      <c r="DL22" s="13">
        <v>-4692.8800000000019</v>
      </c>
      <c r="DM22" s="13">
        <v>-4646.5000000000018</v>
      </c>
      <c r="DN22" s="13">
        <v>-4736.8600000000015</v>
      </c>
      <c r="DO22" s="13">
        <v>-5177.010000000002</v>
      </c>
      <c r="DP22" s="13">
        <v>-5667.6100000000024</v>
      </c>
      <c r="DQ22" s="13">
        <v>-6445.1000000000022</v>
      </c>
      <c r="DR22" s="13">
        <v>-5706.5700000000024</v>
      </c>
      <c r="DS22" s="13">
        <v>-1146.760000000002</v>
      </c>
      <c r="DT22" s="13">
        <v>8352.489999999998</v>
      </c>
      <c r="DU22" s="13">
        <v>21254.14</v>
      </c>
      <c r="DV22" s="13">
        <v>36956.25</v>
      </c>
      <c r="DW22" s="13">
        <v>56641.79</v>
      </c>
      <c r="DX22" s="13">
        <v>77955.59</v>
      </c>
      <c r="DY22" s="187"/>
      <c r="DZ22" s="187"/>
      <c r="EA22" s="132"/>
      <c r="FH22" s="132"/>
      <c r="FK22" s="231">
        <v>2979.1408147609818</v>
      </c>
      <c r="FL22" s="49">
        <v>0</v>
      </c>
      <c r="FM22" s="49">
        <v>428.90625</v>
      </c>
      <c r="FN22" s="49">
        <v>0</v>
      </c>
      <c r="FO22" s="49">
        <v>0</v>
      </c>
      <c r="FP22" s="49">
        <v>0</v>
      </c>
      <c r="FQ22"/>
      <c r="FS22" s="230"/>
    </row>
    <row r="23" spans="1:175" s="4" customFormat="1" ht="15" outlineLevel="1" x14ac:dyDescent="0.25">
      <c r="A23" s="276"/>
      <c r="B23" s="15" t="s">
        <v>13</v>
      </c>
      <c r="C23" s="7">
        <f t="shared" ref="C23:J23" si="19">IF(OR(C21="",C22=""),"",C21+C22)</f>
        <v>0.34412602678174997</v>
      </c>
      <c r="D23" s="7">
        <f t="shared" si="19"/>
        <v>595.17341007321886</v>
      </c>
      <c r="E23" s="7">
        <f t="shared" si="19"/>
        <v>3715.247716442293</v>
      </c>
      <c r="F23" s="7">
        <f t="shared" si="19"/>
        <v>-37006.031833043366</v>
      </c>
      <c r="G23" s="7">
        <f t="shared" si="19"/>
        <v>-21688.715474004101</v>
      </c>
      <c r="H23" s="7">
        <f t="shared" si="19"/>
        <v>-17850.380848159373</v>
      </c>
      <c r="I23" s="7">
        <f t="shared" si="19"/>
        <v>3060.8440230646984</v>
      </c>
      <c r="J23" s="7">
        <f t="shared" si="19"/>
        <v>-92.921037322269115</v>
      </c>
      <c r="M23" s="132"/>
      <c r="N23" s="132"/>
      <c r="O23" s="276"/>
      <c r="P23" s="16" t="s">
        <v>7</v>
      </c>
      <c r="Q23" s="18">
        <v>-788.05</v>
      </c>
      <c r="R23" s="18">
        <v>-714.39</v>
      </c>
      <c r="S23" s="18">
        <v>-517.45000000000005</v>
      </c>
      <c r="T23" s="18">
        <v>-75.570000000000007</v>
      </c>
      <c r="U23" s="18">
        <v>-15.789999999999996</v>
      </c>
      <c r="V23" s="18">
        <v>105.58999999999999</v>
      </c>
      <c r="W23" s="18">
        <v>186.98</v>
      </c>
      <c r="X23" s="18">
        <v>253.54000000000002</v>
      </c>
      <c r="Y23" s="112">
        <v>449.55</v>
      </c>
      <c r="AB23" s="140"/>
      <c r="AC23" s="115"/>
      <c r="AD23" s="115"/>
      <c r="AE23" s="115"/>
      <c r="AF23" s="115"/>
      <c r="AG23" s="115"/>
      <c r="AH23" s="115"/>
      <c r="AI23" s="115"/>
      <c r="AJ23" s="115"/>
      <c r="BF23" s="132"/>
      <c r="BY23" s="132"/>
      <c r="BZ23" s="276"/>
      <c r="CA23" s="17" t="s">
        <v>14</v>
      </c>
      <c r="CB23" s="192">
        <v>2409964.1436557667</v>
      </c>
      <c r="CC23" s="192">
        <v>2063973.0116219402</v>
      </c>
      <c r="CD23" s="192">
        <v>1437217.4439157536</v>
      </c>
      <c r="CE23" s="192">
        <v>1019711.0757255162</v>
      </c>
      <c r="CF23" s="192">
        <v>759507.27392863831</v>
      </c>
      <c r="CG23" s="192">
        <v>612411.01433641044</v>
      </c>
      <c r="CH23" s="192">
        <v>551941.21197387611</v>
      </c>
      <c r="CK23" s="276"/>
      <c r="CL23" s="17" t="s">
        <v>14</v>
      </c>
      <c r="CM23" s="192">
        <v>2400485.6814102079</v>
      </c>
      <c r="CN23" s="192">
        <v>2034444.0096731507</v>
      </c>
      <c r="CO23" s="192">
        <v>1374157.8282903875</v>
      </c>
      <c r="CP23" s="192">
        <v>925244.78182744829</v>
      </c>
      <c r="CQ23" s="192">
        <v>653846.86940812715</v>
      </c>
      <c r="CR23" s="192">
        <v>500775.24624653353</v>
      </c>
      <c r="CS23" s="192">
        <v>439424.78696902422</v>
      </c>
      <c r="CW23" s="132"/>
      <c r="CX23" s="276"/>
      <c r="CY23" s="15" t="s">
        <v>13</v>
      </c>
      <c r="CZ23" s="18">
        <v>273231.22655577934</v>
      </c>
      <c r="DA23" s="18">
        <v>346109.31431663054</v>
      </c>
      <c r="DB23" s="18">
        <v>-611696.23764518392</v>
      </c>
      <c r="DC23" s="18">
        <v>-1250801.4906012495</v>
      </c>
      <c r="DD23" s="18">
        <v>-757381.31922660163</v>
      </c>
      <c r="DE23" s="18">
        <v>-440248.92143172614</v>
      </c>
      <c r="DF23" s="18">
        <v>1302114.9103061222</v>
      </c>
      <c r="DG23" s="18">
        <v>1608012.4029475963</v>
      </c>
      <c r="DH23" s="18">
        <v>1635972.6823519126</v>
      </c>
      <c r="DI23" s="18">
        <v>479731.45575719327</v>
      </c>
      <c r="DJ23" s="18">
        <v>-621948.9382747882</v>
      </c>
      <c r="DK23" s="18">
        <v>-338731.05069875967</v>
      </c>
      <c r="DL23" s="18">
        <v>-406107.01494770299</v>
      </c>
      <c r="DM23" s="18">
        <v>-374009.71149891004</v>
      </c>
      <c r="DN23" s="18">
        <v>-566569.41339839844</v>
      </c>
      <c r="DO23" s="18">
        <v>-384767.22923458321</v>
      </c>
      <c r="DP23" s="18">
        <v>-152604.00288086268</v>
      </c>
      <c r="DQ23" s="18">
        <v>-10254.741794636866</v>
      </c>
      <c r="DR23" s="18">
        <v>1581122.0221243408</v>
      </c>
      <c r="DS23" s="18">
        <v>2095986.7637109675</v>
      </c>
      <c r="DT23" s="18">
        <v>1812803.1812423691</v>
      </c>
      <c r="DU23" s="18">
        <v>1009696.1751787962</v>
      </c>
      <c r="DV23" s="18">
        <v>-28064.108875852296</v>
      </c>
      <c r="DW23" s="18">
        <v>70085.665946514084</v>
      </c>
      <c r="DX23" s="18">
        <v>45330.368684887799</v>
      </c>
      <c r="DY23" s="187"/>
      <c r="DZ23" s="187"/>
      <c r="EA23" s="132"/>
      <c r="FH23" s="132"/>
      <c r="FK23" s="231">
        <v>6050.3629832110209</v>
      </c>
      <c r="FL23" s="49">
        <v>6502.762072800364</v>
      </c>
      <c r="FM23" s="49">
        <v>6694.3464825225892</v>
      </c>
      <c r="FN23" s="49">
        <v>1627.4960900394124</v>
      </c>
      <c r="FO23" s="49">
        <v>1872.0216108727457</v>
      </c>
      <c r="FP23" s="49">
        <v>2147.7276178171905</v>
      </c>
      <c r="FQ23"/>
      <c r="FS23" s="230"/>
    </row>
    <row r="24" spans="1:175" s="4" customFormat="1" ht="15" outlineLevel="1" x14ac:dyDescent="0.25">
      <c r="A24" s="276"/>
      <c r="B24" s="17" t="s">
        <v>15</v>
      </c>
      <c r="C24" s="7">
        <f>IF(OR(C23=""),"",C23)</f>
        <v>0.34412602678174997</v>
      </c>
      <c r="D24" s="7">
        <f t="shared" ref="D24:J24" si="20">IF(OR(D23="",C24=""),"",D23+C24)</f>
        <v>595.5175361000006</v>
      </c>
      <c r="E24" s="7">
        <f t="shared" si="20"/>
        <v>4310.7652525422936</v>
      </c>
      <c r="F24" s="7">
        <f t="shared" si="20"/>
        <v>-32695.266580501073</v>
      </c>
      <c r="G24" s="7">
        <f t="shared" si="20"/>
        <v>-54383.982054505177</v>
      </c>
      <c r="H24" s="7">
        <f t="shared" si="20"/>
        <v>-72234.36290266455</v>
      </c>
      <c r="I24" s="7">
        <f t="shared" si="20"/>
        <v>-69173.518879599855</v>
      </c>
      <c r="J24" s="7">
        <f t="shared" si="20"/>
        <v>-69266.439916922129</v>
      </c>
      <c r="M24" s="132"/>
      <c r="N24" s="132"/>
      <c r="O24" s="276"/>
      <c r="P24" s="16" t="s">
        <v>26</v>
      </c>
      <c r="Q24" s="13">
        <v>-9510.0399999999991</v>
      </c>
      <c r="R24" s="13">
        <v>-10224.429999999998</v>
      </c>
      <c r="S24" s="13">
        <v>-10741.88</v>
      </c>
      <c r="T24" s="13">
        <v>-10817.449999999999</v>
      </c>
      <c r="U24" s="13">
        <v>-10833.24</v>
      </c>
      <c r="V24" s="13">
        <v>-10727.65</v>
      </c>
      <c r="W24" s="13">
        <v>-10540.67</v>
      </c>
      <c r="X24" s="13">
        <v>-10287.129999999999</v>
      </c>
      <c r="Y24" s="113">
        <v>-9837.58</v>
      </c>
      <c r="AB24" s="141"/>
      <c r="AC24" s="106"/>
      <c r="AD24" s="106"/>
      <c r="AE24" s="106"/>
      <c r="AF24" s="106"/>
      <c r="AG24" s="106"/>
      <c r="AH24" s="106"/>
      <c r="AI24" s="106"/>
      <c r="AJ24" s="106"/>
      <c r="BF24" s="132"/>
      <c r="BY24" s="132"/>
      <c r="BZ24" s="35"/>
      <c r="CA24" s="11"/>
      <c r="CB24" s="2"/>
      <c r="CC24" s="2"/>
      <c r="CD24" s="2"/>
      <c r="CE24" s="2"/>
      <c r="CF24" s="2"/>
      <c r="CG24" s="2"/>
      <c r="CH24" s="2"/>
      <c r="CK24" s="35"/>
      <c r="CL24" s="11"/>
      <c r="CM24" s="2"/>
      <c r="CN24" s="2"/>
      <c r="CO24" s="2"/>
      <c r="CP24" s="2"/>
      <c r="CQ24" s="2"/>
      <c r="CR24" s="2"/>
      <c r="CS24" s="2"/>
      <c r="CW24" s="132"/>
      <c r="CX24" s="276"/>
      <c r="CY24" s="17" t="s">
        <v>1</v>
      </c>
      <c r="CZ24" s="18">
        <v>3523797.8340895325</v>
      </c>
      <c r="DA24" s="18">
        <v>4090704.1684061629</v>
      </c>
      <c r="DB24" s="18">
        <v>3209588.960760979</v>
      </c>
      <c r="DC24" s="18">
        <v>1586206.5401597298</v>
      </c>
      <c r="DD24" s="18">
        <v>562268.21093312814</v>
      </c>
      <c r="DE24" s="18">
        <v>-133459.83049859805</v>
      </c>
      <c r="DF24" s="18">
        <v>847402.30980752397</v>
      </c>
      <c r="DG24" s="18">
        <v>2043104.2627551204</v>
      </c>
      <c r="DH24" s="18">
        <v>3261719.6851070328</v>
      </c>
      <c r="DI24" s="18">
        <v>3328408.1908642258</v>
      </c>
      <c r="DJ24" s="18">
        <v>2402962.9925894379</v>
      </c>
      <c r="DK24" s="18">
        <v>1782963.081890678</v>
      </c>
      <c r="DL24" s="18">
        <v>1035736.0769429749</v>
      </c>
      <c r="DM24" s="18">
        <v>237480.19544406491</v>
      </c>
      <c r="DN24" s="18">
        <v>-366577.81795433362</v>
      </c>
      <c r="DO24" s="18">
        <v>-767799.54718891683</v>
      </c>
      <c r="DP24" s="18">
        <v>-981044.82006977953</v>
      </c>
      <c r="DQ24" s="18">
        <v>-983175.30186441657</v>
      </c>
      <c r="DR24" s="18">
        <v>597185.21025992464</v>
      </c>
      <c r="DS24" s="18">
        <v>2665035.1339708921</v>
      </c>
      <c r="DT24" s="18">
        <v>4455232.2252132613</v>
      </c>
      <c r="DU24" s="18">
        <v>5461054.4803920574</v>
      </c>
      <c r="DV24" s="18">
        <v>5445640.4915162046</v>
      </c>
      <c r="DW24" s="18">
        <v>5531143.6874627192</v>
      </c>
      <c r="DX24" s="18">
        <v>5560238.6161476066</v>
      </c>
      <c r="DY24" s="187"/>
      <c r="DZ24" s="187"/>
      <c r="EA24" s="132"/>
      <c r="FH24" s="132"/>
      <c r="FK24" s="231">
        <v>800698.45677987696</v>
      </c>
      <c r="FL24" s="49">
        <v>814182.7547070767</v>
      </c>
      <c r="FM24" s="49">
        <v>827306.14447455411</v>
      </c>
      <c r="FN24" s="49">
        <v>194342.81553892637</v>
      </c>
      <c r="FO24" s="49">
        <v>252530.28392805366</v>
      </c>
      <c r="FP24" s="49">
        <v>288511.0463102365</v>
      </c>
      <c r="FQ24"/>
      <c r="FS24" s="230"/>
    </row>
    <row r="25" spans="1:175" s="4" customFormat="1" ht="18.75" customHeight="1" outlineLevel="1" x14ac:dyDescent="0.25">
      <c r="A25" s="35"/>
      <c r="B25" s="11"/>
      <c r="C25" s="12"/>
      <c r="D25" s="12"/>
      <c r="E25" s="12"/>
      <c r="F25" s="12"/>
      <c r="G25" s="12"/>
      <c r="H25" s="12"/>
      <c r="I25" s="12"/>
      <c r="J25" s="12"/>
      <c r="M25" s="132"/>
      <c r="N25" s="132"/>
      <c r="O25" s="276"/>
      <c r="P25" s="15" t="s">
        <v>13</v>
      </c>
      <c r="Q25" s="18">
        <v>18348.285394769147</v>
      </c>
      <c r="R25" s="18">
        <v>-110791.67450135859</v>
      </c>
      <c r="S25" s="18">
        <v>-357183.74899240915</v>
      </c>
      <c r="T25" s="18">
        <v>-176897.28989945308</v>
      </c>
      <c r="U25" s="18">
        <v>380648.04265261232</v>
      </c>
      <c r="V25" s="18">
        <v>588429.25144815538</v>
      </c>
      <c r="W25" s="18">
        <v>779546.71178884932</v>
      </c>
      <c r="X25" s="18">
        <v>616566.59623756993</v>
      </c>
      <c r="Y25" s="112">
        <v>94743.823685406212</v>
      </c>
      <c r="AB25" s="140"/>
      <c r="AC25" s="115"/>
      <c r="AD25" s="115"/>
      <c r="AE25" s="115"/>
      <c r="AF25" s="115"/>
      <c r="AG25" s="115"/>
      <c r="AH25" s="115"/>
      <c r="AI25" s="115"/>
      <c r="AJ25" s="115"/>
      <c r="BF25" s="132"/>
      <c r="BG25" s="132"/>
      <c r="BH25" s="132"/>
      <c r="BI25" s="132"/>
      <c r="BJ25" s="132"/>
      <c r="BK25" s="132"/>
      <c r="BL25" s="132"/>
      <c r="BM25" s="132"/>
      <c r="BN25" s="132"/>
      <c r="BO25" s="132"/>
      <c r="BP25" s="132"/>
      <c r="BQ25" s="132"/>
      <c r="BR25" s="132"/>
      <c r="BS25" s="132"/>
      <c r="BT25" s="132"/>
      <c r="BU25" s="132"/>
      <c r="BV25" s="132"/>
      <c r="BW25" s="132"/>
      <c r="BY25" s="132"/>
      <c r="BZ25" s="276" t="s">
        <v>20</v>
      </c>
      <c r="CA25" s="14"/>
      <c r="CB25" s="2"/>
      <c r="CC25" s="2"/>
      <c r="CD25" s="2"/>
      <c r="CE25" s="2"/>
      <c r="CF25" s="2"/>
      <c r="CG25" s="2"/>
      <c r="CH25" s="2"/>
      <c r="CK25" s="276" t="s">
        <v>20</v>
      </c>
      <c r="CL25" s="14"/>
      <c r="CM25" s="2"/>
      <c r="CN25" s="2"/>
      <c r="CO25" s="2"/>
      <c r="CP25" s="2"/>
      <c r="CQ25" s="2"/>
      <c r="CR25" s="2"/>
      <c r="CS25" s="2"/>
      <c r="CW25" s="132"/>
      <c r="CX25" s="35"/>
      <c r="CY25" s="11"/>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87"/>
      <c r="DZ25" s="187"/>
      <c r="EA25" s="132"/>
      <c r="FH25" s="132"/>
      <c r="FK25" s="229">
        <v>-190030.42932728733</v>
      </c>
      <c r="FL25" s="156">
        <v>-193230.6689463169</v>
      </c>
      <c r="FM25" s="156">
        <v>-196345.25393224583</v>
      </c>
      <c r="FN25" s="156">
        <v>-46123.541716390289</v>
      </c>
      <c r="FO25" s="156">
        <v>-59933.221884780636</v>
      </c>
      <c r="FP25" s="156">
        <v>-68472.566084976861</v>
      </c>
      <c r="FQ25"/>
      <c r="FS25" s="230"/>
    </row>
    <row r="26" spans="1:175" s="4" customFormat="1" ht="15" customHeight="1" outlineLevel="1" x14ac:dyDescent="0.25">
      <c r="A26" s="276" t="s">
        <v>21</v>
      </c>
      <c r="B26" s="14"/>
      <c r="C26" s="7"/>
      <c r="D26" s="7"/>
      <c r="E26" s="7"/>
      <c r="F26" s="7"/>
      <c r="G26" s="7"/>
      <c r="H26" s="7"/>
      <c r="I26" s="7"/>
      <c r="J26" s="7"/>
      <c r="M26" s="132"/>
      <c r="N26" s="132"/>
      <c r="O26" s="276"/>
      <c r="P26" s="17" t="s">
        <v>1</v>
      </c>
      <c r="Q26" s="18">
        <v>-525113.90717548993</v>
      </c>
      <c r="R26" s="18">
        <v>-454631.4316768485</v>
      </c>
      <c r="S26" s="18">
        <v>-662173.16066925763</v>
      </c>
      <c r="T26" s="18">
        <v>-702708.23056871083</v>
      </c>
      <c r="U26" s="18">
        <v>-150847.96791609848</v>
      </c>
      <c r="V26" s="18">
        <v>654339.10353205702</v>
      </c>
      <c r="W26" s="18">
        <v>1643000.8253209062</v>
      </c>
      <c r="X26" s="18">
        <v>2455523.0815584762</v>
      </c>
      <c r="Y26" s="112">
        <v>2697774.8352438826</v>
      </c>
      <c r="AB26" s="140"/>
      <c r="AC26" s="115"/>
      <c r="AD26" s="115"/>
      <c r="AE26" s="115"/>
      <c r="AF26" s="115"/>
      <c r="AG26" s="115"/>
      <c r="AH26" s="115"/>
      <c r="AI26" s="115"/>
      <c r="AJ26" s="115"/>
      <c r="BF26" s="132"/>
      <c r="BG26" s="50" t="s">
        <v>102</v>
      </c>
      <c r="BY26" s="132"/>
      <c r="BZ26" s="276"/>
      <c r="CA26" s="14" t="s">
        <v>27</v>
      </c>
      <c r="CB26" s="192">
        <v>222262.13845546212</v>
      </c>
      <c r="CC26" s="192">
        <v>249509.48642011534</v>
      </c>
      <c r="CD26" s="192">
        <v>321944.69044732186</v>
      </c>
      <c r="CE26" s="192">
        <v>246962.75301226831</v>
      </c>
      <c r="CF26" s="192">
        <v>100845.58616926862</v>
      </c>
      <c r="CG26" s="192">
        <v>127422.49440160212</v>
      </c>
      <c r="CH26" s="192">
        <v>191471.00601967305</v>
      </c>
      <c r="CK26" s="276"/>
      <c r="CL26" s="14" t="s">
        <v>27</v>
      </c>
      <c r="CM26" s="192">
        <v>223625.03574520181</v>
      </c>
      <c r="CN26" s="192">
        <v>252523.31386563691</v>
      </c>
      <c r="CO26" s="192">
        <v>327101.18395832536</v>
      </c>
      <c r="CP26" s="192">
        <v>251928.48906907809</v>
      </c>
      <c r="CQ26" s="192">
        <v>102552.95286269565</v>
      </c>
      <c r="CR26" s="192">
        <v>128255.52178299883</v>
      </c>
      <c r="CS26" s="192">
        <v>191587.71421253134</v>
      </c>
      <c r="CW26" s="132"/>
      <c r="CX26" s="276" t="s">
        <v>19</v>
      </c>
      <c r="CY26" s="14"/>
      <c r="CZ26" s="7"/>
      <c r="DA26" s="7"/>
      <c r="DB26" s="7"/>
      <c r="DC26" s="7"/>
      <c r="DD26" s="7"/>
      <c r="DE26" s="7"/>
      <c r="DF26" s="7"/>
      <c r="DG26" s="7"/>
      <c r="DH26" s="7"/>
      <c r="DI26" s="7"/>
      <c r="DJ26" s="7"/>
      <c r="DK26" s="7"/>
      <c r="DL26" s="7"/>
      <c r="DM26" s="7"/>
      <c r="DN26" s="7"/>
      <c r="DO26" s="7"/>
      <c r="DP26" s="7"/>
      <c r="DQ26" s="7"/>
      <c r="DR26" s="7"/>
      <c r="DS26" s="7"/>
      <c r="DT26" s="7"/>
      <c r="DU26" s="7"/>
      <c r="DV26" s="108">
        <v>-112267.825004852</v>
      </c>
      <c r="DW26" s="7"/>
      <c r="DX26" s="7"/>
      <c r="DY26" s="187"/>
      <c r="DZ26" s="187"/>
      <c r="EA26" s="132"/>
      <c r="FH26" s="132"/>
      <c r="FK26" s="229">
        <v>610668.02745258959</v>
      </c>
      <c r="FL26" s="156">
        <v>620952.08576075977</v>
      </c>
      <c r="FM26" s="156">
        <v>630960.89054230833</v>
      </c>
      <c r="FN26" s="156">
        <v>148219.27382253608</v>
      </c>
      <c r="FO26" s="156">
        <v>192597.06204327301</v>
      </c>
      <c r="FP26" s="156">
        <v>220038.48022525964</v>
      </c>
      <c r="FQ26"/>
      <c r="FS26" s="230"/>
    </row>
    <row r="27" spans="1:175" s="2" customFormat="1" ht="15" customHeight="1" outlineLevel="1" x14ac:dyDescent="0.25">
      <c r="A27" s="276"/>
      <c r="B27" s="14" t="s">
        <v>27</v>
      </c>
      <c r="C27" s="19">
        <f>C89</f>
        <v>0.38250960519337501</v>
      </c>
      <c r="D27" s="19">
        <f t="shared" ref="D27:J27" si="21">D89</f>
        <v>592.84700439506275</v>
      </c>
      <c r="E27" s="19">
        <f t="shared" si="21"/>
        <v>3788.6582603776305</v>
      </c>
      <c r="F27" s="19">
        <f t="shared" si="21"/>
        <v>18535.810544392894</v>
      </c>
      <c r="G27" s="19">
        <f t="shared" si="21"/>
        <v>43757.113824202133</v>
      </c>
      <c r="H27" s="19">
        <f t="shared" si="21"/>
        <v>59086.939884825857</v>
      </c>
      <c r="I27" s="19">
        <f t="shared" si="21"/>
        <v>83744.849905232913</v>
      </c>
      <c r="J27" s="19">
        <f t="shared" si="21"/>
        <v>59946.023885732408</v>
      </c>
      <c r="M27" s="133"/>
      <c r="N27" s="133"/>
      <c r="O27" s="35"/>
      <c r="P27" s="11"/>
      <c r="Q27" s="12"/>
      <c r="R27" s="12"/>
      <c r="S27" s="12"/>
      <c r="T27" s="12"/>
      <c r="U27" s="12"/>
      <c r="V27" s="12"/>
      <c r="W27" s="12"/>
      <c r="X27" s="12"/>
      <c r="Y27" s="110"/>
      <c r="Z27" s="4"/>
      <c r="AA27" s="4"/>
      <c r="AB27" s="141"/>
      <c r="AC27" s="106"/>
      <c r="AD27" s="106"/>
      <c r="AE27" s="106"/>
      <c r="AF27" s="106"/>
      <c r="AG27" s="106"/>
      <c r="AH27" s="106"/>
      <c r="AI27" s="106"/>
      <c r="AJ27" s="106"/>
      <c r="AK27" s="4"/>
      <c r="BF27" s="133"/>
      <c r="BG27" s="48"/>
      <c r="BY27" s="133"/>
      <c r="BZ27" s="276"/>
      <c r="CA27" s="15" t="s">
        <v>25</v>
      </c>
      <c r="CB27" s="192">
        <v>312397.32107489841</v>
      </c>
      <c r="CC27" s="192">
        <v>355639.37645809754</v>
      </c>
      <c r="CD27" s="192">
        <v>419510.42236398638</v>
      </c>
      <c r="CE27" s="192">
        <v>345889.73802590865</v>
      </c>
      <c r="CF27" s="192">
        <v>199586.56344967708</v>
      </c>
      <c r="CG27" s="192">
        <v>176831.15319493209</v>
      </c>
      <c r="CH27" s="192">
        <v>171543.19774187819</v>
      </c>
      <c r="CK27" s="276"/>
      <c r="CL27" s="15" t="s">
        <v>25</v>
      </c>
      <c r="CM27" s="192">
        <v>311669.3022282609</v>
      </c>
      <c r="CN27" s="192">
        <v>354085.59169796284</v>
      </c>
      <c r="CO27" s="192">
        <v>416632.60304568737</v>
      </c>
      <c r="CP27" s="192">
        <v>343013.74640381179</v>
      </c>
      <c r="CQ27" s="192">
        <v>198643.80240817316</v>
      </c>
      <c r="CR27" s="192">
        <v>176362.35535747116</v>
      </c>
      <c r="CS27" s="192">
        <v>171488.95640428353</v>
      </c>
      <c r="CW27" s="133"/>
      <c r="CX27" s="276"/>
      <c r="CY27" s="14" t="s">
        <v>27</v>
      </c>
      <c r="CZ27" s="19">
        <v>767580.56672561402</v>
      </c>
      <c r="DA27" s="19">
        <v>793063.84804214339</v>
      </c>
      <c r="DB27" s="19">
        <v>764854.30430963449</v>
      </c>
      <c r="DC27" s="19">
        <v>819560.20806617534</v>
      </c>
      <c r="DD27" s="19">
        <v>733166.25858200283</v>
      </c>
      <c r="DE27" s="19">
        <v>808585.44290839287</v>
      </c>
      <c r="DF27" s="19">
        <v>2229150.475396621</v>
      </c>
      <c r="DG27" s="19">
        <v>2728598.0253418689</v>
      </c>
      <c r="DH27" s="19">
        <v>2843181.2454154654</v>
      </c>
      <c r="DI27" s="19">
        <v>2152415.8892408246</v>
      </c>
      <c r="DJ27" s="19">
        <v>886771.1903804827</v>
      </c>
      <c r="DK27" s="19">
        <v>1017970.7346454827</v>
      </c>
      <c r="DL27" s="19">
        <v>1252923.0225376603</v>
      </c>
      <c r="DM27" s="19">
        <v>1434652.1574546397</v>
      </c>
      <c r="DN27" s="19">
        <v>1242256.6900827016</v>
      </c>
      <c r="DO27" s="19">
        <v>466704.19082447694</v>
      </c>
      <c r="DP27" s="19">
        <v>411086.64598257263</v>
      </c>
      <c r="DQ27" s="19">
        <v>460606.66199414816</v>
      </c>
      <c r="DR27" s="19">
        <v>1458035.3553365585</v>
      </c>
      <c r="DS27" s="19">
        <v>1865399.5827007205</v>
      </c>
      <c r="DT27" s="19">
        <v>1789207.583547906</v>
      </c>
      <c r="DU27" s="19">
        <v>1230661.6176145528</v>
      </c>
      <c r="DV27" s="19">
        <v>448108.96181830607</v>
      </c>
      <c r="DW27" s="19">
        <v>511415.71013617213</v>
      </c>
      <c r="DX27" s="19">
        <v>657599.6612363765</v>
      </c>
      <c r="DY27" s="198"/>
      <c r="DZ27" s="198"/>
      <c r="EA27" s="133"/>
      <c r="FH27" s="133"/>
      <c r="FK27" s="232">
        <v>8.2900000000000001E-2</v>
      </c>
      <c r="FL27" s="233">
        <v>8.2900000000000001E-2</v>
      </c>
      <c r="FM27" s="233">
        <v>8.2900000000000001E-2</v>
      </c>
      <c r="FN27" s="234">
        <v>8.3599999999999994E-2</v>
      </c>
      <c r="FO27" s="234">
        <v>8.3599999999999994E-2</v>
      </c>
      <c r="FP27" s="234">
        <v>8.3599999999999994E-2</v>
      </c>
      <c r="FQ27" s="235" t="s">
        <v>125</v>
      </c>
      <c r="FS27" s="236"/>
    </row>
    <row r="28" spans="1:175" s="4" customFormat="1" ht="15" customHeight="1" outlineLevel="1" x14ac:dyDescent="0.25">
      <c r="A28" s="276"/>
      <c r="B28" s="15" t="s">
        <v>25</v>
      </c>
      <c r="C28" s="19">
        <f>IF('M3 Allocations - TD'!D53="","",'M3 Allocations - TD'!D71)</f>
        <v>0</v>
      </c>
      <c r="D28" s="19">
        <f>IF('M3 Allocations - TD'!E53="","",'M3 Allocations - TD'!E71)</f>
        <v>0</v>
      </c>
      <c r="E28" s="19">
        <f>IF('M3 Allocations - TD'!F53="","",'M3 Allocations - TD'!F71)</f>
        <v>6753.6701978728988</v>
      </c>
      <c r="F28" s="19">
        <f>IF('M3 Allocations - TD'!G53="","",'M3 Allocations - TD'!G71)</f>
        <v>107151.44580605239</v>
      </c>
      <c r="G28" s="19">
        <f>IF('M3 Allocations - TD'!H53="","",'M3 Allocations - TD'!H71)</f>
        <v>115634.5208649429</v>
      </c>
      <c r="H28" s="19">
        <f>IF('M3 Allocations - TD'!I53="","",'M3 Allocations - TD'!I71)</f>
        <v>118331.81312804784</v>
      </c>
      <c r="I28" s="19">
        <f>IF('M3 Allocations - TD'!J53="","",'M3 Allocations - TD'!J71)</f>
        <v>119601.33814288217</v>
      </c>
      <c r="J28" s="19">
        <f>IF('M3 Allocations - TD'!K53="","",'M3 Allocations - TD'!K71)</f>
        <v>109968.9574924099</v>
      </c>
      <c r="M28" s="132"/>
      <c r="N28" s="132"/>
      <c r="O28" s="276" t="s">
        <v>19</v>
      </c>
      <c r="P28" s="14"/>
      <c r="Q28" s="7"/>
      <c r="R28" s="7"/>
      <c r="S28" s="7"/>
      <c r="T28" s="7"/>
      <c r="U28" s="7"/>
      <c r="V28" s="7"/>
      <c r="W28" s="7"/>
      <c r="X28" s="7"/>
      <c r="Y28" s="111"/>
      <c r="AB28" s="141"/>
      <c r="AC28" s="106"/>
      <c r="AD28" s="106"/>
      <c r="AE28" s="106"/>
      <c r="AF28" s="106"/>
      <c r="AG28" s="106"/>
      <c r="AH28" s="106"/>
      <c r="AI28" s="106"/>
      <c r="AJ28" s="106"/>
      <c r="BF28" s="132"/>
      <c r="BG28" s="2" t="s">
        <v>103</v>
      </c>
      <c r="BY28" s="132"/>
      <c r="BZ28" s="276"/>
      <c r="CA28" s="15" t="s">
        <v>45</v>
      </c>
      <c r="CB28" s="192">
        <v>-34659.79</v>
      </c>
      <c r="CC28" s="192">
        <v>-39489.65</v>
      </c>
      <c r="CD28" s="192">
        <v>-46633.93</v>
      </c>
      <c r="CE28" s="192">
        <v>59971.88</v>
      </c>
      <c r="CF28" s="192">
        <v>34460.21</v>
      </c>
      <c r="CG28" s="192">
        <v>30482.11</v>
      </c>
      <c r="CH28" s="192">
        <v>29523.43</v>
      </c>
      <c r="CK28" s="276"/>
      <c r="CL28" s="15" t="s">
        <v>45</v>
      </c>
      <c r="CM28" s="192">
        <v>-34659.79</v>
      </c>
      <c r="CN28" s="192">
        <v>-39489.65</v>
      </c>
      <c r="CO28" s="192">
        <v>-46633.93</v>
      </c>
      <c r="CP28" s="192">
        <v>59971.88</v>
      </c>
      <c r="CQ28" s="192">
        <v>34460.21</v>
      </c>
      <c r="CR28" s="192">
        <v>30482.11</v>
      </c>
      <c r="CS28" s="192">
        <v>29523.43</v>
      </c>
      <c r="CW28" s="132"/>
      <c r="CX28" s="276"/>
      <c r="CY28" s="15" t="s">
        <v>25</v>
      </c>
      <c r="CZ28" s="19">
        <v>435339.54516653361</v>
      </c>
      <c r="DA28" s="19">
        <v>565868.64496161381</v>
      </c>
      <c r="DB28" s="19">
        <v>1375644.4768897495</v>
      </c>
      <c r="DC28" s="19">
        <v>1787809.7846895901</v>
      </c>
      <c r="DD28" s="19">
        <v>1208966.210998087</v>
      </c>
      <c r="DE28" s="19">
        <v>1135096.7258818494</v>
      </c>
      <c r="DF28" s="19">
        <v>1483131.5421443433</v>
      </c>
      <c r="DG28" s="19">
        <v>1957827.6512690852</v>
      </c>
      <c r="DH28" s="19">
        <v>1996815.833049651</v>
      </c>
      <c r="DI28" s="19">
        <v>1962236.8311878431</v>
      </c>
      <c r="DJ28" s="19">
        <v>1361448.9893388003</v>
      </c>
      <c r="DK28" s="19">
        <v>1278047.5437683114</v>
      </c>
      <c r="DL28" s="19">
        <v>1599362.0545714868</v>
      </c>
      <c r="DM28" s="19">
        <v>2061688.4651608262</v>
      </c>
      <c r="DN28" s="19">
        <v>1660014.398272939</v>
      </c>
      <c r="DO28" s="19">
        <v>727343.38262135477</v>
      </c>
      <c r="DP28" s="19">
        <v>558489.16557480057</v>
      </c>
      <c r="DQ28" s="19">
        <v>521512.93435668247</v>
      </c>
      <c r="DR28" s="19">
        <v>661161.70778882992</v>
      </c>
      <c r="DS28" s="19">
        <v>907955.1483625297</v>
      </c>
      <c r="DT28" s="19">
        <v>865613.78677226591</v>
      </c>
      <c r="DU28" s="19">
        <v>722180.00996221579</v>
      </c>
      <c r="DV28" s="19">
        <v>521401.47348380275</v>
      </c>
      <c r="DW28" s="19">
        <v>494704.46538048884</v>
      </c>
      <c r="DX28" s="19">
        <v>756126.23939637165</v>
      </c>
      <c r="DY28" s="187"/>
      <c r="DZ28" s="187"/>
      <c r="EA28" s="132"/>
      <c r="FH28" s="132"/>
      <c r="FK28" s="244">
        <v>0.03</v>
      </c>
      <c r="FL28" s="52">
        <v>0.03</v>
      </c>
      <c r="FM28" s="52">
        <v>0.03</v>
      </c>
      <c r="FN28" s="52">
        <v>0.03</v>
      </c>
      <c r="FO28" s="52">
        <v>0.03</v>
      </c>
      <c r="FP28" s="52">
        <v>0.03</v>
      </c>
      <c r="FQ28"/>
      <c r="FS28" s="230"/>
    </row>
    <row r="29" spans="1:175" s="4" customFormat="1" ht="15" customHeight="1" outlineLevel="1" x14ac:dyDescent="0.25">
      <c r="A29" s="276"/>
      <c r="B29" s="15" t="s">
        <v>45</v>
      </c>
      <c r="C29" s="19">
        <f>IF(C28="","",0)</f>
        <v>0</v>
      </c>
      <c r="D29" s="19">
        <f t="shared" ref="D29:I29" si="22">IF(D28="","",0)</f>
        <v>0</v>
      </c>
      <c r="E29" s="19">
        <f t="shared" si="22"/>
        <v>0</v>
      </c>
      <c r="F29" s="19">
        <f t="shared" si="22"/>
        <v>0</v>
      </c>
      <c r="G29" s="19">
        <f t="shared" si="22"/>
        <v>0</v>
      </c>
      <c r="H29" s="19">
        <f t="shared" si="22"/>
        <v>0</v>
      </c>
      <c r="I29" s="19">
        <f t="shared" si="22"/>
        <v>0</v>
      </c>
      <c r="J29" s="19">
        <f>IF(J28="","",0)</f>
        <v>0</v>
      </c>
      <c r="M29" s="132"/>
      <c r="N29" s="132"/>
      <c r="O29" s="276"/>
      <c r="P29" s="14" t="s">
        <v>27</v>
      </c>
      <c r="Q29" s="19">
        <v>676189.22029010952</v>
      </c>
      <c r="R29" s="19">
        <v>463090.51540533279</v>
      </c>
      <c r="S29" s="19">
        <v>212999.83668866704</v>
      </c>
      <c r="T29" s="19">
        <v>239315.41925638349</v>
      </c>
      <c r="U29" s="19">
        <v>745964.63979628112</v>
      </c>
      <c r="V29" s="19">
        <v>1021961.1417325244</v>
      </c>
      <c r="W29" s="19">
        <v>1221140.287913003</v>
      </c>
      <c r="X29" s="19">
        <v>1038934.5439936385</v>
      </c>
      <c r="Y29" s="114">
        <v>456853.18990942289</v>
      </c>
      <c r="Z29" s="2"/>
      <c r="AA29" s="2"/>
      <c r="AB29" s="141"/>
      <c r="AC29" s="106"/>
      <c r="AD29" s="106"/>
      <c r="AE29" s="106"/>
      <c r="AF29" s="106"/>
      <c r="AG29" s="106"/>
      <c r="AH29" s="106"/>
      <c r="AI29" s="106"/>
      <c r="AJ29" s="106"/>
      <c r="AK29" s="2"/>
      <c r="BF29" s="132"/>
      <c r="BG29" s="42" t="s">
        <v>101</v>
      </c>
      <c r="BY29" s="132"/>
      <c r="BZ29" s="276"/>
      <c r="CA29" s="15" t="s">
        <v>46</v>
      </c>
      <c r="CB29" s="192">
        <v>277737.53107489843</v>
      </c>
      <c r="CC29" s="192">
        <v>316149.72645809752</v>
      </c>
      <c r="CD29" s="192">
        <v>372876.49236398638</v>
      </c>
      <c r="CE29" s="192">
        <v>405861.61802590865</v>
      </c>
      <c r="CF29" s="192">
        <v>234046.77344967707</v>
      </c>
      <c r="CG29" s="192">
        <v>207313.26319493208</v>
      </c>
      <c r="CH29" s="192">
        <v>201066.62774187818</v>
      </c>
      <c r="CK29" s="276"/>
      <c r="CL29" s="15" t="s">
        <v>46</v>
      </c>
      <c r="CM29" s="192">
        <v>277009.51222826092</v>
      </c>
      <c r="CN29" s="192">
        <v>314595.94169796281</v>
      </c>
      <c r="CO29" s="192">
        <v>369998.67304568738</v>
      </c>
      <c r="CP29" s="192">
        <v>402985.6264038118</v>
      </c>
      <c r="CQ29" s="192">
        <v>233104.01240817315</v>
      </c>
      <c r="CR29" s="192">
        <v>206844.46535747114</v>
      </c>
      <c r="CS29" s="192">
        <v>201012.38640428352</v>
      </c>
      <c r="CT29" s="4" t="s">
        <v>105</v>
      </c>
      <c r="CU29" s="4" t="s">
        <v>106</v>
      </c>
      <c r="CV29" s="4" t="s">
        <v>107</v>
      </c>
      <c r="CW29" s="132"/>
      <c r="CX29" s="276"/>
      <c r="CY29" s="15" t="s">
        <v>45</v>
      </c>
      <c r="CZ29" s="19">
        <v>106401.64</v>
      </c>
      <c r="DA29" s="19">
        <v>138469.78</v>
      </c>
      <c r="DB29" s="19">
        <v>-214209.84</v>
      </c>
      <c r="DC29" s="19">
        <v>-278064.93</v>
      </c>
      <c r="DD29" s="19">
        <v>-187629.17</v>
      </c>
      <c r="DE29" s="19">
        <v>-176283.71</v>
      </c>
      <c r="DF29" s="19">
        <v>-231223.27</v>
      </c>
      <c r="DG29" s="19">
        <v>-305423.73</v>
      </c>
      <c r="DH29" s="19">
        <v>-311615.01</v>
      </c>
      <c r="DI29" s="19">
        <v>-306092.45</v>
      </c>
      <c r="DJ29" s="19">
        <v>-211968.1</v>
      </c>
      <c r="DK29" s="19">
        <v>-198628.63</v>
      </c>
      <c r="DL29" s="19">
        <v>-248528.93</v>
      </c>
      <c r="DM29" s="19">
        <v>-321239.03999999998</v>
      </c>
      <c r="DN29" s="19">
        <v>-270175.45</v>
      </c>
      <c r="DO29" s="19">
        <v>-118232.21</v>
      </c>
      <c r="DP29" s="19">
        <v>-90604.87</v>
      </c>
      <c r="DQ29" s="19">
        <v>-84722.21</v>
      </c>
      <c r="DR29" s="19">
        <v>-107685.96</v>
      </c>
      <c r="DS29" s="19">
        <v>-148122.69</v>
      </c>
      <c r="DT29" s="19">
        <v>-141095.97</v>
      </c>
      <c r="DU29" s="19">
        <v>-117508.65</v>
      </c>
      <c r="DV29" s="19">
        <v>-84587.71</v>
      </c>
      <c r="DW29" s="19">
        <v>-80065.600000000006</v>
      </c>
      <c r="DX29" s="19">
        <v>-122414.96</v>
      </c>
      <c r="DY29" s="187"/>
      <c r="DZ29" s="187"/>
      <c r="EA29" s="132"/>
      <c r="FH29" s="132"/>
      <c r="FK29" s="244">
        <v>5.2900000000000003E-2</v>
      </c>
      <c r="FL29" s="52">
        <v>5.2900000000000003E-2</v>
      </c>
      <c r="FM29" s="52">
        <v>5.2900000000000003E-2</v>
      </c>
      <c r="FN29" s="52">
        <v>5.3599999999999995E-2</v>
      </c>
      <c r="FO29" s="52">
        <v>5.3599999999999995E-2</v>
      </c>
      <c r="FP29" s="52">
        <v>5.3599999999999995E-2</v>
      </c>
      <c r="FQ29"/>
      <c r="FS29" s="230"/>
    </row>
    <row r="30" spans="1:175" s="4" customFormat="1" ht="15" customHeight="1" outlineLevel="1" x14ac:dyDescent="0.25">
      <c r="A30" s="276"/>
      <c r="B30" s="15" t="s">
        <v>46</v>
      </c>
      <c r="C30" s="7">
        <f t="shared" ref="C30:I30" si="23">IF(OR(C29="",C28=""),"",C28+C29)</f>
        <v>0</v>
      </c>
      <c r="D30" s="7">
        <f t="shared" si="23"/>
        <v>0</v>
      </c>
      <c r="E30" s="7">
        <f t="shared" si="23"/>
        <v>6753.6701978728988</v>
      </c>
      <c r="F30" s="7">
        <f t="shared" si="23"/>
        <v>107151.44580605239</v>
      </c>
      <c r="G30" s="7">
        <f t="shared" si="23"/>
        <v>115634.5208649429</v>
      </c>
      <c r="H30" s="7">
        <f t="shared" si="23"/>
        <v>118331.81312804784</v>
      </c>
      <c r="I30" s="7">
        <f t="shared" si="23"/>
        <v>119601.33814288217</v>
      </c>
      <c r="J30" s="7">
        <f>IF(OR(J29="",J28=""),"",J28+J29)</f>
        <v>109968.9574924099</v>
      </c>
      <c r="M30" s="132"/>
      <c r="N30" s="132"/>
      <c r="O30" s="276"/>
      <c r="P30" s="15" t="s">
        <v>25</v>
      </c>
      <c r="Q30" s="19">
        <v>474323.05163473397</v>
      </c>
      <c r="R30" s="19">
        <v>428810.25716296653</v>
      </c>
      <c r="S30" s="19">
        <v>339346.33491655142</v>
      </c>
      <c r="T30" s="19">
        <v>302925.05162387801</v>
      </c>
      <c r="U30" s="19">
        <v>399589.74786578171</v>
      </c>
      <c r="V30" s="19">
        <v>536049.73122413771</v>
      </c>
      <c r="W30" s="19">
        <v>503311.04413038632</v>
      </c>
      <c r="X30" s="19">
        <v>453730.11803544633</v>
      </c>
      <c r="Y30" s="114">
        <v>307694.93026905361</v>
      </c>
      <c r="AB30" s="141"/>
      <c r="AC30" s="106"/>
      <c r="AD30" s="106"/>
      <c r="AE30" s="106"/>
      <c r="AF30" s="106"/>
      <c r="AG30" s="106"/>
      <c r="AH30" s="106"/>
      <c r="AI30" s="106"/>
      <c r="AJ30" s="106"/>
      <c r="BF30" s="132"/>
      <c r="BG30"/>
      <c r="BH30"/>
      <c r="BI30" s="10">
        <v>44105</v>
      </c>
      <c r="BJ30" s="10">
        <v>44136</v>
      </c>
      <c r="BK30" s="10">
        <v>44166</v>
      </c>
      <c r="BL30" s="10">
        <v>44197</v>
      </c>
      <c r="BM30" s="10">
        <v>44228</v>
      </c>
      <c r="BN30" s="10">
        <v>44256</v>
      </c>
      <c r="BO30" s="10">
        <v>44287</v>
      </c>
      <c r="BP30" s="10">
        <v>44317</v>
      </c>
      <c r="BQ30" s="10">
        <v>44348</v>
      </c>
      <c r="BR30" s="10">
        <v>44378</v>
      </c>
      <c r="BS30" s="10">
        <v>44409</v>
      </c>
      <c r="BT30" s="10">
        <v>44440</v>
      </c>
      <c r="BU30" s="10">
        <v>44470</v>
      </c>
      <c r="BY30" s="132"/>
      <c r="BZ30" s="276"/>
      <c r="CA30" s="15" t="s">
        <v>12</v>
      </c>
      <c r="CB30" s="192">
        <v>-55475.392619436316</v>
      </c>
      <c r="CC30" s="192">
        <v>-66640.240037982177</v>
      </c>
      <c r="CD30" s="192">
        <v>-50931.801916664524</v>
      </c>
      <c r="CE30" s="192">
        <v>-158898.86501364034</v>
      </c>
      <c r="CF30" s="192">
        <v>-133201.18728040846</v>
      </c>
      <c r="CG30" s="192">
        <v>-79890.76879332996</v>
      </c>
      <c r="CH30" s="192">
        <v>-9595.6217222051346</v>
      </c>
      <c r="CK30" s="276"/>
      <c r="CL30" s="15" t="s">
        <v>12</v>
      </c>
      <c r="CM30" s="192">
        <v>-53384.476483059116</v>
      </c>
      <c r="CN30" s="192">
        <v>-62072.627832325903</v>
      </c>
      <c r="CO30" s="192">
        <v>-42897.489087362017</v>
      </c>
      <c r="CP30" s="192">
        <v>-151057.13733473371</v>
      </c>
      <c r="CQ30" s="192">
        <v>-130551.0595454775</v>
      </c>
      <c r="CR30" s="192">
        <v>-78588.943574472316</v>
      </c>
      <c r="CS30" s="192">
        <v>-9424.6721917521791</v>
      </c>
      <c r="CT30" s="193">
        <f>SUM(CM30:CS30)</f>
        <v>-527976.40604918275</v>
      </c>
      <c r="CU30" s="193">
        <f>SUM(CB30:CH30)</f>
        <v>-554633.87738366681</v>
      </c>
      <c r="CV30" s="193">
        <f>CT30-CU30</f>
        <v>26657.471334484057</v>
      </c>
      <c r="CW30" s="132"/>
      <c r="CX30" s="276"/>
      <c r="CY30" s="15" t="s">
        <v>46</v>
      </c>
      <c r="CZ30" s="7">
        <v>541741.18516653357</v>
      </c>
      <c r="DA30" s="7">
        <v>704338.42496161384</v>
      </c>
      <c r="DB30" s="7">
        <v>1161434.6368897494</v>
      </c>
      <c r="DC30" s="7">
        <v>1509744.8546895902</v>
      </c>
      <c r="DD30" s="7">
        <v>1021337.0409980869</v>
      </c>
      <c r="DE30" s="7">
        <v>958813.01588184945</v>
      </c>
      <c r="DF30" s="7">
        <v>1251908.2721443432</v>
      </c>
      <c r="DG30" s="7">
        <v>1652403.9212690853</v>
      </c>
      <c r="DH30" s="7">
        <v>1685200.823049651</v>
      </c>
      <c r="DI30" s="7">
        <v>1656144.3811878432</v>
      </c>
      <c r="DJ30" s="7">
        <v>1149480.8893388002</v>
      </c>
      <c r="DK30" s="7">
        <v>1079418.9137683115</v>
      </c>
      <c r="DL30" s="7">
        <v>1350833.1245714868</v>
      </c>
      <c r="DM30" s="7">
        <v>1740449.4251608262</v>
      </c>
      <c r="DN30" s="7">
        <v>1389838.9482729391</v>
      </c>
      <c r="DO30" s="7">
        <v>609111.17262135481</v>
      </c>
      <c r="DP30" s="7">
        <v>467884.29557480058</v>
      </c>
      <c r="DQ30" s="7">
        <v>436790.72435668245</v>
      </c>
      <c r="DR30" s="7">
        <v>553475.74778882996</v>
      </c>
      <c r="DS30" s="7">
        <v>759832.45836252975</v>
      </c>
      <c r="DT30" s="7">
        <v>724517.81677226594</v>
      </c>
      <c r="DU30" s="7">
        <v>604671.35996221576</v>
      </c>
      <c r="DV30" s="7">
        <v>436813.76348380273</v>
      </c>
      <c r="DW30" s="7">
        <v>414638.8653804888</v>
      </c>
      <c r="DX30" s="7">
        <v>633711.27939637168</v>
      </c>
      <c r="DY30" s="187"/>
      <c r="DZ30" s="187"/>
      <c r="EA30" s="132"/>
      <c r="FH30" s="132"/>
      <c r="FK30" s="229">
        <v>2692.0282210201658</v>
      </c>
      <c r="FL30" s="156">
        <v>2737.3637780620161</v>
      </c>
      <c r="FM30" s="156">
        <v>2781.4859258073425</v>
      </c>
      <c r="FN30" s="235">
        <v>662.04608974066116</v>
      </c>
      <c r="FO30" s="235">
        <v>860.26687712661942</v>
      </c>
      <c r="FP30" s="235">
        <v>982.83854500615973</v>
      </c>
      <c r="FQ30"/>
      <c r="FS30" s="230"/>
    </row>
    <row r="31" spans="1:175" s="4" customFormat="1" ht="15" outlineLevel="1" x14ac:dyDescent="0.25">
      <c r="A31" s="276"/>
      <c r="B31" s="15" t="s">
        <v>12</v>
      </c>
      <c r="C31" s="7">
        <f t="shared" ref="C31:I31" si="24">IF(OR(C28="",C27=""),"",C27-C28)</f>
        <v>0.38250960519337501</v>
      </c>
      <c r="D31" s="7">
        <f t="shared" si="24"/>
        <v>592.84700439506275</v>
      </c>
      <c r="E31" s="7">
        <f t="shared" si="24"/>
        <v>-2965.0119374952683</v>
      </c>
      <c r="F31" s="7">
        <f t="shared" si="24"/>
        <v>-88615.635261659496</v>
      </c>
      <c r="G31" s="7">
        <f t="shared" si="24"/>
        <v>-71877.407040740771</v>
      </c>
      <c r="H31" s="7">
        <f t="shared" si="24"/>
        <v>-59244.873243221984</v>
      </c>
      <c r="I31" s="7">
        <f t="shared" si="24"/>
        <v>-35856.488237649261</v>
      </c>
      <c r="J31" s="7">
        <f>IF(OR(J28="",J27=""),"",J27-J28)</f>
        <v>-50022.933606677492</v>
      </c>
      <c r="K31" s="89" t="s">
        <v>72</v>
      </c>
      <c r="L31" s="89" t="s">
        <v>75</v>
      </c>
      <c r="M31" s="132"/>
      <c r="N31" s="132"/>
      <c r="O31" s="276"/>
      <c r="P31" s="15" t="s">
        <v>45</v>
      </c>
      <c r="Q31" s="19">
        <v>115732.97</v>
      </c>
      <c r="R31" s="19">
        <v>104574.51</v>
      </c>
      <c r="S31" s="19">
        <v>82818.98</v>
      </c>
      <c r="T31" s="19">
        <v>74005.649999999994</v>
      </c>
      <c r="U31" s="19">
        <v>97941.18</v>
      </c>
      <c r="V31" s="19">
        <v>131594.67000000001</v>
      </c>
      <c r="W31" s="19">
        <v>123527.13</v>
      </c>
      <c r="X31" s="19">
        <v>111322.95</v>
      </c>
      <c r="Y31" s="114">
        <v>75219.710000000006</v>
      </c>
      <c r="AB31" s="141"/>
      <c r="AC31" s="106"/>
      <c r="AD31" s="106"/>
      <c r="AE31" s="106"/>
      <c r="AF31" s="106"/>
      <c r="AG31" s="106"/>
      <c r="AH31" s="106"/>
      <c r="AI31" s="106"/>
      <c r="AJ31" s="106"/>
      <c r="BF31" s="132"/>
      <c r="BG31"/>
      <c r="BH31" s="51" t="s">
        <v>7</v>
      </c>
      <c r="BI31" s="25"/>
      <c r="BJ31" s="54">
        <v>2.5244400000000002E-3</v>
      </c>
      <c r="BK31" s="54">
        <v>2.8469900000000002E-3</v>
      </c>
      <c r="BL31" s="54">
        <v>2.0613900000000002E-3</v>
      </c>
      <c r="BM31" s="54">
        <v>2.3221700000000001E-3</v>
      </c>
      <c r="BN31" s="54">
        <v>2.1367399999999998E-3</v>
      </c>
      <c r="BO31" s="54">
        <v>2.2512299999999999E-3</v>
      </c>
      <c r="BP31" s="54">
        <v>2.2427200000000001E-3</v>
      </c>
      <c r="BQ31" s="54">
        <v>2.01659E-3</v>
      </c>
      <c r="BR31" s="54">
        <v>1.3954900000000001E-3</v>
      </c>
      <c r="BS31" s="54">
        <v>2.0509899999999999E-3</v>
      </c>
      <c r="BT31" s="54">
        <v>1.9323299999999999E-3</v>
      </c>
      <c r="BU31" s="54">
        <v>1.5E-3</v>
      </c>
      <c r="BY31" s="132"/>
      <c r="BZ31" s="276"/>
      <c r="CA31" s="16" t="s">
        <v>7</v>
      </c>
      <c r="CB31" s="192">
        <v>-36.92</v>
      </c>
      <c r="CC31" s="192">
        <v>-85.81</v>
      </c>
      <c r="CD31" s="192">
        <v>-96.32</v>
      </c>
      <c r="CE31" s="192">
        <v>-145.96</v>
      </c>
      <c r="CF31" s="192">
        <v>-396.3</v>
      </c>
      <c r="CG31" s="192">
        <v>-370.62</v>
      </c>
      <c r="CH31" s="192">
        <v>-570.75</v>
      </c>
      <c r="CK31" s="276"/>
      <c r="CL31" s="16" t="s">
        <v>7</v>
      </c>
      <c r="CM31" s="192">
        <v>-36.659999999999997</v>
      </c>
      <c r="CN31" s="192">
        <v>-84.37</v>
      </c>
      <c r="CO31" s="192">
        <v>-93.45</v>
      </c>
      <c r="CP31" s="192">
        <v>-140.4</v>
      </c>
      <c r="CQ31" s="192">
        <v>-381.85</v>
      </c>
      <c r="CR31" s="192">
        <v>-357.36</v>
      </c>
      <c r="CS31" s="192">
        <v>-549.62</v>
      </c>
      <c r="CW31" s="132"/>
      <c r="CX31" s="276"/>
      <c r="CY31" s="15" t="s">
        <v>12</v>
      </c>
      <c r="CZ31" s="7">
        <v>225839.38155908044</v>
      </c>
      <c r="DA31" s="7">
        <v>88725.423080529552</v>
      </c>
      <c r="DB31" s="7">
        <v>-396580.33258011495</v>
      </c>
      <c r="DC31" s="7">
        <v>-690184.64662341482</v>
      </c>
      <c r="DD31" s="7">
        <v>-288170.78241608408</v>
      </c>
      <c r="DE31" s="7">
        <v>-150227.57297345658</v>
      </c>
      <c r="DF31" s="7">
        <v>977242.2032522778</v>
      </c>
      <c r="DG31" s="7">
        <v>1076194.1040727836</v>
      </c>
      <c r="DH31" s="7">
        <v>1157980.4223658144</v>
      </c>
      <c r="DI31" s="7">
        <v>496271.50805298146</v>
      </c>
      <c r="DJ31" s="7">
        <v>-262709.69895831752</v>
      </c>
      <c r="DK31" s="7">
        <v>-61448.179122828762</v>
      </c>
      <c r="DL31" s="7">
        <v>-97910.102033826523</v>
      </c>
      <c r="DM31" s="7">
        <v>-305797.26770618651</v>
      </c>
      <c r="DN31" s="7">
        <v>-147582.25819023745</v>
      </c>
      <c r="DO31" s="7">
        <v>-142406.98179687787</v>
      </c>
      <c r="DP31" s="7">
        <v>-56797.649592227943</v>
      </c>
      <c r="DQ31" s="7">
        <v>23815.937637465715</v>
      </c>
      <c r="DR31" s="7">
        <v>904559.60754772858</v>
      </c>
      <c r="DS31" s="7">
        <v>1105567.1243381908</v>
      </c>
      <c r="DT31" s="7">
        <v>1064689.7667756402</v>
      </c>
      <c r="DU31" s="7">
        <v>625990.25765233708</v>
      </c>
      <c r="DV31" s="108">
        <v>-100972.62667034866</v>
      </c>
      <c r="DW31" s="7">
        <v>96776.844755683327</v>
      </c>
      <c r="DX31" s="7">
        <v>23888.381840004819</v>
      </c>
      <c r="DY31" s="187"/>
      <c r="DZ31" s="187"/>
      <c r="EA31" s="132"/>
      <c r="FH31" s="132"/>
      <c r="FK31" s="237"/>
      <c r="FL31"/>
      <c r="FM31" s="51" t="s">
        <v>117</v>
      </c>
      <c r="FN31" s="156">
        <v>571.87936483195176</v>
      </c>
      <c r="FO31" s="156">
        <v>743.10366438362848</v>
      </c>
      <c r="FP31" s="156">
        <v>848.98180286912691</v>
      </c>
      <c r="FQ31"/>
      <c r="FS31" s="230"/>
    </row>
    <row r="32" spans="1:175" s="4" customFormat="1" ht="15.75" outlineLevel="1" thickBot="1" x14ac:dyDescent="0.3">
      <c r="A32" s="276"/>
      <c r="B32" s="16" t="s">
        <v>7</v>
      </c>
      <c r="C32" s="7">
        <f>ROUND((C31+0)*'MEEIA 3 calcs'!F9/12,2)</f>
        <v>0</v>
      </c>
      <c r="D32" s="7">
        <f>ROUND((D31+C34)*'MEEIA 3 calcs'!G9/12,2)</f>
        <v>1.32</v>
      </c>
      <c r="E32" s="7">
        <f>ROUND((E31+D34)*'MEEIA 3 calcs'!H9/12,2)</f>
        <v>-5.29</v>
      </c>
      <c r="F32" s="7">
        <f>ROUND((F31+E34)*'MEEIA 3 calcs'!I9/12,2)</f>
        <v>-200.94</v>
      </c>
      <c r="G32" s="7">
        <f>ROUND((G31+F34)*'MEEIA 3 calcs'!J9/12,2)</f>
        <v>-352.62</v>
      </c>
      <c r="H32" s="7">
        <f>ROUND((H31+G34)*'MEEIA 3 calcs'!K9/12,2)</f>
        <v>-436.28</v>
      </c>
      <c r="I32" s="7">
        <f>ROUND((I31+H34)*'MEEIA 3 calcs'!L9/12,2)</f>
        <v>-478.4</v>
      </c>
      <c r="J32" s="7">
        <f>ROUND((J31+I34)*'MEEIA 3 calcs'!M9/12,2)</f>
        <v>-545.15</v>
      </c>
      <c r="K32" s="90">
        <f>SUM('MEEIA 3 calcs'!F52:M52)</f>
        <v>-2112.7799999999997</v>
      </c>
      <c r="L32" s="96">
        <f>SUM(C32:J32)-K32</f>
        <v>95.419999999999618</v>
      </c>
      <c r="M32" s="132"/>
      <c r="N32" s="132"/>
      <c r="O32" s="276"/>
      <c r="P32" s="15" t="s">
        <v>46</v>
      </c>
      <c r="Q32" s="7">
        <v>590056.021634734</v>
      </c>
      <c r="R32" s="7">
        <v>533384.76716296654</v>
      </c>
      <c r="S32" s="7">
        <v>422165.3149165514</v>
      </c>
      <c r="T32" s="7">
        <v>376930.70162387798</v>
      </c>
      <c r="U32" s="7">
        <v>497530.9278657817</v>
      </c>
      <c r="V32" s="7">
        <v>667644.40122413775</v>
      </c>
      <c r="W32" s="7">
        <v>626838.17413038632</v>
      </c>
      <c r="X32" s="7">
        <v>565053.06803544634</v>
      </c>
      <c r="Y32" s="7">
        <v>382914.64026905363</v>
      </c>
      <c r="AB32" s="141"/>
      <c r="AC32" s="106"/>
      <c r="AD32" s="106"/>
      <c r="AE32" s="106"/>
      <c r="AF32" s="106"/>
      <c r="AG32" s="106"/>
      <c r="AH32" s="106"/>
      <c r="AI32" s="106"/>
      <c r="AJ32" s="106"/>
      <c r="BF32" s="132"/>
      <c r="BG32" s="277" t="s">
        <v>58</v>
      </c>
      <c r="BH32" s="75"/>
      <c r="BI32" s="8">
        <v>0</v>
      </c>
      <c r="BJ32" s="134">
        <v>-50000</v>
      </c>
      <c r="BK32" s="25"/>
      <c r="BL32" s="25"/>
      <c r="BM32" s="25"/>
      <c r="BN32" s="25"/>
      <c r="BO32" s="25"/>
      <c r="BP32" s="25"/>
      <c r="BQ32" s="25"/>
      <c r="BR32" s="25"/>
      <c r="BS32" s="25"/>
      <c r="BT32" s="25"/>
      <c r="BU32" s="134">
        <v>-153732.06</v>
      </c>
      <c r="BY32" s="132"/>
      <c r="BZ32" s="276"/>
      <c r="CA32" s="15" t="s">
        <v>13</v>
      </c>
      <c r="CB32" s="192">
        <v>-55512.312619436314</v>
      </c>
      <c r="CC32" s="192">
        <v>-66726.050037982175</v>
      </c>
      <c r="CD32" s="192">
        <v>-51028.121916664524</v>
      </c>
      <c r="CE32" s="192">
        <v>-159044.82501364034</v>
      </c>
      <c r="CF32" s="192">
        <v>-133597.48728040844</v>
      </c>
      <c r="CG32" s="192">
        <v>-80261.388793329956</v>
      </c>
      <c r="CH32" s="192">
        <v>-10166.371722205135</v>
      </c>
      <c r="CK32" s="276"/>
      <c r="CL32" s="15" t="s">
        <v>13</v>
      </c>
      <c r="CM32" s="192">
        <v>-53421.136483059119</v>
      </c>
      <c r="CN32" s="192">
        <v>-62156.997832325906</v>
      </c>
      <c r="CO32" s="192">
        <v>-42990.939087362014</v>
      </c>
      <c r="CP32" s="192">
        <v>-151197.5373347337</v>
      </c>
      <c r="CQ32" s="192">
        <v>-130932.90954547751</v>
      </c>
      <c r="CR32" s="192">
        <v>-78946.303574472317</v>
      </c>
      <c r="CS32" s="192">
        <v>-9974.2921917521799</v>
      </c>
      <c r="CW32" s="132"/>
      <c r="CX32" s="276"/>
      <c r="CY32" s="16" t="s">
        <v>7</v>
      </c>
      <c r="CZ32" s="7">
        <v>456.88</v>
      </c>
      <c r="DA32" s="7">
        <v>510.01</v>
      </c>
      <c r="DB32" s="7">
        <v>456.43</v>
      </c>
      <c r="DC32" s="7">
        <v>247.66</v>
      </c>
      <c r="DD32" s="7">
        <v>171.71</v>
      </c>
      <c r="DE32" s="7">
        <v>110.07</v>
      </c>
      <c r="DF32" s="7">
        <v>224.36</v>
      </c>
      <c r="DG32" s="7">
        <v>244.92</v>
      </c>
      <c r="DH32" s="7">
        <v>504.66</v>
      </c>
      <c r="DI32" s="7">
        <v>506.17</v>
      </c>
      <c r="DJ32" s="7">
        <v>333.65</v>
      </c>
      <c r="DK32" s="7">
        <v>307.63</v>
      </c>
      <c r="DL32" s="7">
        <v>447.85</v>
      </c>
      <c r="DM32" s="7">
        <v>280.7</v>
      </c>
      <c r="DN32" s="7">
        <v>251.29</v>
      </c>
      <c r="DO32" s="7">
        <v>435.28</v>
      </c>
      <c r="DP32" s="7">
        <v>306.17</v>
      </c>
      <c r="DQ32" s="7">
        <v>436.32</v>
      </c>
      <c r="DR32" s="7">
        <v>1669.89</v>
      </c>
      <c r="DS32" s="7">
        <v>3955.25</v>
      </c>
      <c r="DT32" s="7">
        <v>6912.87</v>
      </c>
      <c r="DU32" s="7">
        <v>8881.91</v>
      </c>
      <c r="DV32" s="7">
        <v>10335.17</v>
      </c>
      <c r="DW32" s="7">
        <v>12862.03</v>
      </c>
      <c r="DX32" s="7">
        <v>13527.2</v>
      </c>
      <c r="DY32" s="187">
        <f>SUM('MEEIA 3 calcs'!AA32:AY32)</f>
        <v>64573.87</v>
      </c>
      <c r="DZ32" s="200">
        <f>SUM(CZ32:DX32)-DY32</f>
        <v>-197.79000000000087</v>
      </c>
      <c r="EA32" s="132"/>
      <c r="FH32" s="132"/>
      <c r="FK32" s="238"/>
      <c r="FL32" s="73"/>
      <c r="FM32" s="239" t="s">
        <v>126</v>
      </c>
      <c r="FN32" s="240">
        <v>90.166724908709398</v>
      </c>
      <c r="FO32" s="240">
        <v>117.16321274299094</v>
      </c>
      <c r="FP32" s="240">
        <v>133.85674213703282</v>
      </c>
      <c r="FQ32" s="241" t="s">
        <v>127</v>
      </c>
      <c r="FR32" s="242"/>
      <c r="FS32" s="243"/>
    </row>
    <row r="33" spans="1:164" s="4" customFormat="1" ht="15" outlineLevel="1" x14ac:dyDescent="0.25">
      <c r="A33" s="276"/>
      <c r="B33" s="15" t="s">
        <v>13</v>
      </c>
      <c r="C33" s="7">
        <f t="shared" ref="C33:J33" si="25">IF(OR(C31="",C32=""),"",C31+C32)</f>
        <v>0.38250960519337501</v>
      </c>
      <c r="D33" s="7">
        <f t="shared" si="25"/>
        <v>594.1670043950628</v>
      </c>
      <c r="E33" s="7">
        <f t="shared" si="25"/>
        <v>-2970.3019374952682</v>
      </c>
      <c r="F33" s="7">
        <f t="shared" si="25"/>
        <v>-88816.575261659498</v>
      </c>
      <c r="G33" s="7">
        <f t="shared" si="25"/>
        <v>-72230.027040740766</v>
      </c>
      <c r="H33" s="7">
        <f t="shared" si="25"/>
        <v>-59681.153243221983</v>
      </c>
      <c r="I33" s="7">
        <f t="shared" si="25"/>
        <v>-36334.888237649262</v>
      </c>
      <c r="J33" s="7">
        <f t="shared" si="25"/>
        <v>-50568.083606677494</v>
      </c>
      <c r="M33" s="132"/>
      <c r="N33" s="132"/>
      <c r="O33" s="276"/>
      <c r="P33" s="15" t="s">
        <v>12</v>
      </c>
      <c r="Q33" s="7">
        <v>86133.198655375512</v>
      </c>
      <c r="R33" s="7">
        <v>-70294.251757633756</v>
      </c>
      <c r="S33" s="7">
        <v>-209165.47822788436</v>
      </c>
      <c r="T33" s="7">
        <v>-137615.28236749448</v>
      </c>
      <c r="U33" s="7">
        <v>248433.71193049941</v>
      </c>
      <c r="V33" s="7">
        <v>354316.74050838663</v>
      </c>
      <c r="W33" s="7">
        <v>594302.11378261668</v>
      </c>
      <c r="X33" s="7">
        <v>473881.47595819214</v>
      </c>
      <c r="Y33" s="7">
        <v>73938.549640369252</v>
      </c>
      <c r="Z33" s="89" t="s">
        <v>72</v>
      </c>
      <c r="AA33" s="89" t="s">
        <v>75</v>
      </c>
      <c r="AB33" s="141"/>
      <c r="AC33" s="106"/>
      <c r="AD33" s="106"/>
      <c r="AE33" s="106"/>
      <c r="AF33" s="106"/>
      <c r="AG33" s="106"/>
      <c r="AH33" s="106"/>
      <c r="AI33" s="106"/>
      <c r="AJ33" s="106"/>
      <c r="AK33" s="117"/>
      <c r="BF33" s="132"/>
      <c r="BG33" s="277"/>
      <c r="BH33" s="75" t="s">
        <v>59</v>
      </c>
      <c r="BI33" s="8">
        <v>0</v>
      </c>
      <c r="BJ33" s="21">
        <v>0</v>
      </c>
      <c r="BK33" s="21">
        <v>0</v>
      </c>
      <c r="BL33" s="21">
        <v>0</v>
      </c>
      <c r="BM33" s="21">
        <v>0</v>
      </c>
      <c r="BN33" s="21">
        <v>0</v>
      </c>
      <c r="BO33" s="21">
        <v>0</v>
      </c>
      <c r="BP33" s="21">
        <v>0</v>
      </c>
      <c r="BQ33" s="21">
        <v>0</v>
      </c>
      <c r="BR33" s="21">
        <v>0</v>
      </c>
      <c r="BS33" s="21">
        <v>0</v>
      </c>
      <c r="BT33" s="21">
        <v>0</v>
      </c>
      <c r="BU33" s="21">
        <v>0</v>
      </c>
      <c r="BY33" s="132"/>
      <c r="BZ33" s="276"/>
      <c r="CA33" s="17" t="s">
        <v>15</v>
      </c>
      <c r="CB33" s="192">
        <v>-289230.94684451108</v>
      </c>
      <c r="CC33" s="192">
        <v>-395446.64688249328</v>
      </c>
      <c r="CD33" s="192">
        <v>-493108.69879915781</v>
      </c>
      <c r="CE33" s="192">
        <v>-592181.6438127982</v>
      </c>
      <c r="CF33" s="192">
        <v>-691318.92109320662</v>
      </c>
      <c r="CG33" s="192">
        <v>-741098.19988653657</v>
      </c>
      <c r="CH33" s="192">
        <v>-721741.14160874172</v>
      </c>
      <c r="CK33" s="276"/>
      <c r="CL33" s="17" t="s">
        <v>15</v>
      </c>
      <c r="CM33" s="192">
        <v>-287139.77070813393</v>
      </c>
      <c r="CN33" s="192">
        <v>-388786.41854045982</v>
      </c>
      <c r="CO33" s="192">
        <v>-478411.28762782185</v>
      </c>
      <c r="CP33" s="192">
        <v>-569636.94496255554</v>
      </c>
      <c r="CQ33" s="192">
        <v>-666109.64450803306</v>
      </c>
      <c r="CR33" s="192">
        <v>-714573.83808250539</v>
      </c>
      <c r="CS33" s="192">
        <v>-695024.70027425757</v>
      </c>
      <c r="CW33" s="132"/>
      <c r="CX33" s="276"/>
      <c r="CY33" s="15" t="s">
        <v>13</v>
      </c>
      <c r="CZ33" s="7">
        <v>226296.26155908045</v>
      </c>
      <c r="DA33" s="7">
        <v>89235.433080529547</v>
      </c>
      <c r="DB33" s="7">
        <v>-396123.90258011495</v>
      </c>
      <c r="DC33" s="7">
        <v>-689936.98662341479</v>
      </c>
      <c r="DD33" s="7">
        <v>-287999.07241608406</v>
      </c>
      <c r="DE33" s="7">
        <v>-150117.50297345658</v>
      </c>
      <c r="DF33" s="7">
        <v>977466.56325227779</v>
      </c>
      <c r="DG33" s="7">
        <v>1076439.0240727835</v>
      </c>
      <c r="DH33" s="7">
        <v>1158485.0823658144</v>
      </c>
      <c r="DI33" s="7">
        <v>496777.67805298144</v>
      </c>
      <c r="DJ33" s="7">
        <v>-262376.04895831749</v>
      </c>
      <c r="DK33" s="7">
        <v>-61140.549122828765</v>
      </c>
      <c r="DL33" s="7">
        <v>-97462.252033826517</v>
      </c>
      <c r="DM33" s="7">
        <v>-305516.5677061865</v>
      </c>
      <c r="DN33" s="7">
        <v>-147330.96819023744</v>
      </c>
      <c r="DO33" s="7">
        <v>-141971.70179687787</v>
      </c>
      <c r="DP33" s="7">
        <v>-56491.479592227945</v>
      </c>
      <c r="DQ33" s="7">
        <v>24252.257637465715</v>
      </c>
      <c r="DR33" s="7">
        <v>906229.49754772859</v>
      </c>
      <c r="DS33" s="7">
        <v>1109522.3743381908</v>
      </c>
      <c r="DT33" s="7">
        <v>1071602.6367756403</v>
      </c>
      <c r="DU33" s="7">
        <v>634872.16765233711</v>
      </c>
      <c r="DV33" s="7">
        <v>-90637.456670348663</v>
      </c>
      <c r="DW33" s="7">
        <v>109638.87475568333</v>
      </c>
      <c r="DX33" s="7">
        <v>37415.581840004816</v>
      </c>
      <c r="DY33" s="187"/>
      <c r="DZ33" s="187"/>
      <c r="EA33" s="132"/>
      <c r="FH33" s="132"/>
    </row>
    <row r="34" spans="1:164" s="4" customFormat="1" ht="15" outlineLevel="1" x14ac:dyDescent="0.25">
      <c r="A34" s="276"/>
      <c r="B34" s="17" t="s">
        <v>16</v>
      </c>
      <c r="C34" s="7">
        <f>IF(OR(C33=""),"",C33)</f>
        <v>0.38250960519337501</v>
      </c>
      <c r="D34" s="7">
        <f t="shared" ref="D34:J34" si="26">IF(OR(D33="",C34=""),"",D33+C34)</f>
        <v>594.54951400025618</v>
      </c>
      <c r="E34" s="7">
        <f t="shared" si="26"/>
        <v>-2375.752423495012</v>
      </c>
      <c r="F34" s="7">
        <f t="shared" si="26"/>
        <v>-91192.327685154509</v>
      </c>
      <c r="G34" s="7">
        <f t="shared" si="26"/>
        <v>-163422.35472589527</v>
      </c>
      <c r="H34" s="7">
        <f t="shared" si="26"/>
        <v>-223103.50796911726</v>
      </c>
      <c r="I34" s="7">
        <f t="shared" si="26"/>
        <v>-259438.39620676651</v>
      </c>
      <c r="J34" s="7">
        <f t="shared" si="26"/>
        <v>-310006.47981344402</v>
      </c>
      <c r="M34" s="132"/>
      <c r="N34" s="132"/>
      <c r="O34" s="276"/>
      <c r="P34" s="16" t="s">
        <v>7</v>
      </c>
      <c r="Q34" s="7">
        <v>-2.91</v>
      </c>
      <c r="R34" s="7">
        <v>50.9</v>
      </c>
      <c r="S34" s="7">
        <v>-73.48</v>
      </c>
      <c r="T34" s="7">
        <v>-16.95</v>
      </c>
      <c r="U34" s="7">
        <v>19.760000000000002</v>
      </c>
      <c r="V34" s="7">
        <v>108.88</v>
      </c>
      <c r="W34" s="7">
        <v>158.51</v>
      </c>
      <c r="X34" s="7">
        <v>204.25</v>
      </c>
      <c r="Y34" s="7">
        <v>354.55</v>
      </c>
      <c r="Z34" s="90">
        <v>321.81</v>
      </c>
      <c r="AA34" s="96">
        <v>481.7</v>
      </c>
      <c r="AB34" s="141"/>
      <c r="AC34" s="106"/>
      <c r="AD34" s="106"/>
      <c r="AE34" s="106"/>
      <c r="AF34" s="106"/>
      <c r="AG34" s="106"/>
      <c r="AH34" s="106"/>
      <c r="AI34" s="106"/>
      <c r="AJ34" s="106"/>
      <c r="AK34" s="118"/>
      <c r="BF34" s="132"/>
      <c r="BG34" s="277"/>
      <c r="BH34" s="75" t="s">
        <v>60</v>
      </c>
      <c r="BI34" s="8">
        <v>0</v>
      </c>
      <c r="BJ34" s="8">
        <f>IF(OR(BJ33=""),"",BJ32-BJ33)</f>
        <v>-50000</v>
      </c>
      <c r="BK34" s="8">
        <f>IF(OR(BK33=""),"",BK32-BK33)</f>
        <v>0</v>
      </c>
      <c r="BL34" s="8">
        <f t="shared" ref="BL34:BU34" si="27">IF(OR(BL33=""),"",BL32-BL33)</f>
        <v>0</v>
      </c>
      <c r="BM34" s="8">
        <f t="shared" si="27"/>
        <v>0</v>
      </c>
      <c r="BN34" s="8">
        <f t="shared" si="27"/>
        <v>0</v>
      </c>
      <c r="BO34" s="8">
        <f t="shared" si="27"/>
        <v>0</v>
      </c>
      <c r="BP34" s="8">
        <f t="shared" si="27"/>
        <v>0</v>
      </c>
      <c r="BQ34" s="8">
        <f t="shared" si="27"/>
        <v>0</v>
      </c>
      <c r="BR34" s="8">
        <f t="shared" si="27"/>
        <v>0</v>
      </c>
      <c r="BS34" s="8">
        <f t="shared" si="27"/>
        <v>0</v>
      </c>
      <c r="BT34" s="8">
        <f t="shared" si="27"/>
        <v>0</v>
      </c>
      <c r="BU34" s="8">
        <f t="shared" si="27"/>
        <v>-153732.06</v>
      </c>
      <c r="BV34" s="89" t="s">
        <v>72</v>
      </c>
      <c r="BW34" s="89" t="s">
        <v>75</v>
      </c>
      <c r="BY34" s="132"/>
      <c r="BZ34" s="35"/>
      <c r="CA34" s="11"/>
      <c r="CB34" s="2"/>
      <c r="CC34" s="2"/>
      <c r="CD34" s="2"/>
      <c r="CE34" s="2"/>
      <c r="CF34" s="2"/>
      <c r="CG34" s="2"/>
      <c r="CH34" s="2"/>
      <c r="CK34" s="35"/>
      <c r="CL34" s="11"/>
      <c r="CM34" s="2"/>
      <c r="CN34" s="2"/>
      <c r="CO34" s="2"/>
      <c r="CP34" s="2"/>
      <c r="CQ34" s="2"/>
      <c r="CR34" s="2"/>
      <c r="CS34" s="2"/>
      <c r="CW34" s="132"/>
      <c r="CX34" s="276"/>
      <c r="CY34" s="17" t="s">
        <v>14</v>
      </c>
      <c r="CZ34" s="7">
        <v>2741729.6655055969</v>
      </c>
      <c r="DA34" s="7">
        <v>2969434.8785861265</v>
      </c>
      <c r="DB34" s="7">
        <v>2359101.1360060116</v>
      </c>
      <c r="DC34" s="7">
        <v>1391099.2193825969</v>
      </c>
      <c r="DD34" s="7">
        <v>915470.97696651286</v>
      </c>
      <c r="DE34" s="7">
        <v>589069.76399305626</v>
      </c>
      <c r="DF34" s="7">
        <v>1335313.0572453341</v>
      </c>
      <c r="DG34" s="7">
        <v>2106328.3513181177</v>
      </c>
      <c r="DH34" s="7">
        <v>2953198.4236839321</v>
      </c>
      <c r="DI34" s="7">
        <v>3143883.6517369132</v>
      </c>
      <c r="DJ34" s="7">
        <v>2669539.5027785958</v>
      </c>
      <c r="DK34" s="7">
        <v>2409770.3236557669</v>
      </c>
      <c r="DL34" s="7">
        <v>2063779.1416219403</v>
      </c>
      <c r="DM34" s="7">
        <v>1437023.5339157539</v>
      </c>
      <c r="DN34" s="7">
        <v>1019517.1157255165</v>
      </c>
      <c r="DO34" s="7">
        <v>759313.2039286386</v>
      </c>
      <c r="DP34" s="7">
        <v>612216.85433641064</v>
      </c>
      <c r="DQ34" s="7">
        <v>551746.9019738764</v>
      </c>
      <c r="DR34" s="7">
        <v>1350290.4395216051</v>
      </c>
      <c r="DS34" s="7">
        <v>2311690.1238597957</v>
      </c>
      <c r="DT34" s="7">
        <v>3242196.7906354358</v>
      </c>
      <c r="DU34" s="7">
        <v>3759560.3082877728</v>
      </c>
      <c r="DV34" s="7">
        <v>3584335.1416174243</v>
      </c>
      <c r="DW34" s="7">
        <v>3613908.4163731076</v>
      </c>
      <c r="DX34" s="7">
        <v>3528909.0382131124</v>
      </c>
      <c r="DY34" s="187"/>
      <c r="DZ34" s="187"/>
      <c r="EA34" s="132"/>
      <c r="FH34" s="132"/>
    </row>
    <row r="35" spans="1:164" s="4" customFormat="1" ht="16.5" customHeight="1" outlineLevel="1" x14ac:dyDescent="0.25">
      <c r="A35" s="35"/>
      <c r="B35" s="11"/>
      <c r="C35" s="12"/>
      <c r="D35" s="12"/>
      <c r="E35" s="12"/>
      <c r="F35" s="12"/>
      <c r="G35" s="12"/>
      <c r="H35" s="12"/>
      <c r="I35" s="12"/>
      <c r="J35" s="12"/>
      <c r="M35" s="132"/>
      <c r="N35" s="132"/>
      <c r="O35" s="276"/>
      <c r="P35" s="15" t="s">
        <v>13</v>
      </c>
      <c r="Q35" s="7">
        <v>86130.288655375509</v>
      </c>
      <c r="R35" s="7">
        <v>-70243.351757633762</v>
      </c>
      <c r="S35" s="7">
        <v>-209238.95822788437</v>
      </c>
      <c r="T35" s="7">
        <v>-137632.23236749449</v>
      </c>
      <c r="U35" s="7">
        <v>248453.47193049942</v>
      </c>
      <c r="V35" s="7">
        <v>354425.62050838664</v>
      </c>
      <c r="W35" s="7">
        <v>594460.62378261669</v>
      </c>
      <c r="X35" s="7">
        <v>474085.72595819214</v>
      </c>
      <c r="Y35" s="7">
        <v>74293.099640369255</v>
      </c>
      <c r="AB35" s="141"/>
      <c r="AC35" s="106"/>
      <c r="AD35" s="106"/>
      <c r="AE35" s="106"/>
      <c r="AF35" s="106"/>
      <c r="AG35" s="106"/>
      <c r="AH35" s="106"/>
      <c r="AI35" s="106"/>
      <c r="AJ35" s="106"/>
      <c r="BF35" s="132"/>
      <c r="BG35" s="277"/>
      <c r="BH35" s="76" t="s">
        <v>7</v>
      </c>
      <c r="BI35" s="8">
        <v>0</v>
      </c>
      <c r="BJ35" s="8">
        <f>IF(OR(BJ31="",BJ34=""),"",((BJ34+BI38)*BJ31)/12)</f>
        <v>-10.518500000000001</v>
      </c>
      <c r="BK35" s="8">
        <f>IF(OR(BK31="",BK34=""),"",((BK34+BJ38)*BK31)/12)</f>
        <v>-11.864953838692918</v>
      </c>
      <c r="BL35" s="8">
        <f t="shared" ref="BL35:BU35" si="28">IF(OR(BL31="",BL34=""),"",((BL34+BK38)*BL31)/12)</f>
        <v>-8.5929700856590454</v>
      </c>
      <c r="BM35" s="8">
        <f t="shared" si="28"/>
        <v>-9.6817027101953688</v>
      </c>
      <c r="BN35" s="8">
        <f t="shared" si="28"/>
        <v>-8.9103229871254239</v>
      </c>
      <c r="BO35" s="8">
        <f t="shared" si="28"/>
        <v>-9.3894241650701495</v>
      </c>
      <c r="BP35" s="8">
        <f t="shared" si="28"/>
        <v>-9.3556855002249169</v>
      </c>
      <c r="BQ35" s="8">
        <f t="shared" si="28"/>
        <v>-8.4139383700435406</v>
      </c>
      <c r="BR35" s="8">
        <f t="shared" si="28"/>
        <v>-5.8234643713087815</v>
      </c>
      <c r="BS35" s="8">
        <f t="shared" si="28"/>
        <v>-8.5599009331342053</v>
      </c>
      <c r="BT35" s="8">
        <f t="shared" si="28"/>
        <v>-8.0660463544855254</v>
      </c>
      <c r="BU35" s="8">
        <f t="shared" si="28"/>
        <v>-25.478904613664493</v>
      </c>
      <c r="BV35" s="40">
        <f>SUM('MEEIA 3 calcs'!$AC$79:$AK$79)</f>
        <v>-93.633286691266136</v>
      </c>
      <c r="BW35" s="188">
        <f>SUM(BJ35:BU35)-BV35</f>
        <v>-31.022527238338242</v>
      </c>
      <c r="BY35" s="132"/>
      <c r="BZ35" s="276" t="s">
        <v>21</v>
      </c>
      <c r="CA35" s="14"/>
      <c r="CB35" s="2"/>
      <c r="CC35" s="2"/>
      <c r="CD35" s="2"/>
      <c r="CE35" s="2"/>
      <c r="CF35" s="2"/>
      <c r="CG35" s="2"/>
      <c r="CH35" s="2"/>
      <c r="CK35" s="276" t="s">
        <v>21</v>
      </c>
      <c r="CL35" s="14"/>
      <c r="CM35" s="2"/>
      <c r="CN35" s="2"/>
      <c r="CO35" s="2"/>
      <c r="CP35" s="2"/>
      <c r="CQ35" s="2"/>
      <c r="CR35" s="2"/>
      <c r="CS35" s="2"/>
      <c r="CW35" s="132"/>
      <c r="CX35" s="35"/>
      <c r="CY35" s="11"/>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87"/>
      <c r="DZ35" s="187"/>
      <c r="EA35" s="132"/>
      <c r="FH35" s="132"/>
    </row>
    <row r="36" spans="1:164" s="4" customFormat="1" ht="15" customHeight="1" outlineLevel="1" x14ac:dyDescent="0.25">
      <c r="A36" s="276" t="s">
        <v>22</v>
      </c>
      <c r="B36" s="14"/>
      <c r="C36" s="7"/>
      <c r="D36" s="7"/>
      <c r="E36" s="7"/>
      <c r="F36" s="7"/>
      <c r="G36" s="7"/>
      <c r="H36" s="7"/>
      <c r="I36" s="7"/>
      <c r="J36" s="7"/>
      <c r="M36" s="132"/>
      <c r="N36" s="132"/>
      <c r="O36" s="276"/>
      <c r="P36" s="17" t="s">
        <v>14</v>
      </c>
      <c r="Q36" s="7">
        <v>-1937.7221135914442</v>
      </c>
      <c r="R36" s="7">
        <v>32393.436128774789</v>
      </c>
      <c r="S36" s="7">
        <v>-94026.542099109589</v>
      </c>
      <c r="T36" s="7">
        <v>-157653.12446660409</v>
      </c>
      <c r="U36" s="7">
        <v>188741.52746389533</v>
      </c>
      <c r="V36" s="7">
        <v>674761.81797228195</v>
      </c>
      <c r="W36" s="7">
        <v>1392749.5717548986</v>
      </c>
      <c r="X36" s="7">
        <v>1978158.2477130909</v>
      </c>
      <c r="Y36" s="7">
        <v>2127671.0573534602</v>
      </c>
      <c r="AB36" s="141"/>
      <c r="AC36" s="106"/>
      <c r="AD36" s="106"/>
      <c r="AE36" s="106"/>
      <c r="AF36" s="106"/>
      <c r="AG36" s="106"/>
      <c r="AH36" s="106"/>
      <c r="AI36" s="106"/>
      <c r="AJ36" s="106"/>
      <c r="BF36" s="132"/>
      <c r="BG36" s="277"/>
      <c r="BH36" s="76" t="s">
        <v>5</v>
      </c>
      <c r="BI36" s="8">
        <v>0</v>
      </c>
      <c r="BJ36" s="8">
        <f>IF(OR(BI36="",BJ35=""),"",BI36+BJ35)</f>
        <v>-10.518500000000001</v>
      </c>
      <c r="BK36" s="8">
        <f>IF(OR(BJ36="",BK35=""),"",BJ36+BK35)</f>
        <v>-22.383453838692919</v>
      </c>
      <c r="BL36" s="8">
        <f t="shared" ref="BL36:BU36" si="29">IF(OR(BK36="",BL35=""),"",BK36+BL35)</f>
        <v>-30.976423924351963</v>
      </c>
      <c r="BM36" s="8">
        <f t="shared" si="29"/>
        <v>-40.65812663454733</v>
      </c>
      <c r="BN36" s="8">
        <f t="shared" si="29"/>
        <v>-49.568449621672755</v>
      </c>
      <c r="BO36" s="8">
        <f t="shared" si="29"/>
        <v>-58.957873786742908</v>
      </c>
      <c r="BP36" s="8">
        <f t="shared" si="29"/>
        <v>-68.313559286967831</v>
      </c>
      <c r="BQ36" s="8">
        <f t="shared" si="29"/>
        <v>-76.727497657011369</v>
      </c>
      <c r="BR36" s="8">
        <f t="shared" si="29"/>
        <v>-82.550962028320157</v>
      </c>
      <c r="BS36" s="8">
        <f t="shared" si="29"/>
        <v>-91.110862961454359</v>
      </c>
      <c r="BT36" s="8">
        <f t="shared" si="29"/>
        <v>-99.176909315939881</v>
      </c>
      <c r="BU36" s="8">
        <f t="shared" si="29"/>
        <v>-124.65581392960438</v>
      </c>
      <c r="BY36" s="132"/>
      <c r="BZ36" s="276"/>
      <c r="CA36" s="14" t="s">
        <v>27</v>
      </c>
      <c r="CB36" s="192">
        <v>343727.65210763505</v>
      </c>
      <c r="CC36" s="192">
        <v>418850.04670264991</v>
      </c>
      <c r="CD36" s="192">
        <v>627056.98298263596</v>
      </c>
      <c r="CE36" s="192">
        <v>475288.11809378932</v>
      </c>
      <c r="CF36" s="192">
        <v>288997.35659879085</v>
      </c>
      <c r="CG36" s="192">
        <v>253245.26358346242</v>
      </c>
      <c r="CH36" s="192">
        <v>337719.24594805558</v>
      </c>
      <c r="CK36" s="276"/>
      <c r="CL36" s="14" t="s">
        <v>27</v>
      </c>
      <c r="CM36" s="192">
        <v>346863.60736251896</v>
      </c>
      <c r="CN36" s="192">
        <v>425347.38911170891</v>
      </c>
      <c r="CO36" s="192">
        <v>637376.30236025481</v>
      </c>
      <c r="CP36" s="192">
        <v>484892.17267486599</v>
      </c>
      <c r="CQ36" s="192">
        <v>292490.26913272648</v>
      </c>
      <c r="CR36" s="192">
        <v>255072.04713250711</v>
      </c>
      <c r="CS36" s="192">
        <v>337988.09514378215</v>
      </c>
      <c r="CW36" s="132"/>
      <c r="CX36" s="276" t="s">
        <v>20</v>
      </c>
      <c r="CY36" s="14"/>
      <c r="CZ36" s="7"/>
      <c r="DA36" s="7"/>
      <c r="DB36" s="7"/>
      <c r="DC36" s="7"/>
      <c r="DD36" s="7"/>
      <c r="DE36" s="7"/>
      <c r="DF36" s="7"/>
      <c r="DG36" s="7"/>
      <c r="DH36" s="7"/>
      <c r="DI36" s="7"/>
      <c r="DJ36" s="7"/>
      <c r="DK36" s="7"/>
      <c r="DL36" s="7"/>
      <c r="DM36" s="7"/>
      <c r="DN36" s="7"/>
      <c r="DO36" s="7"/>
      <c r="DP36" s="7"/>
      <c r="DQ36" s="7"/>
      <c r="DR36" s="7"/>
      <c r="DS36" s="7"/>
      <c r="DT36" s="7"/>
      <c r="DU36" s="7"/>
      <c r="DV36" s="108">
        <v>26657.471334484057</v>
      </c>
      <c r="DW36" s="7"/>
      <c r="DX36" s="7"/>
      <c r="DY36" s="187"/>
      <c r="DZ36" s="187"/>
      <c r="EA36" s="132"/>
      <c r="FH36" s="132"/>
    </row>
    <row r="37" spans="1:164" s="2" customFormat="1" ht="15" customHeight="1" outlineLevel="1" x14ac:dyDescent="0.25">
      <c r="A37" s="276"/>
      <c r="B37" s="14" t="s">
        <v>27</v>
      </c>
      <c r="C37" s="19">
        <f>C90</f>
        <v>0</v>
      </c>
      <c r="D37" s="19">
        <f t="shared" ref="D37:J37" si="30">D90</f>
        <v>10.498979963866001</v>
      </c>
      <c r="E37" s="19">
        <f t="shared" si="30"/>
        <v>1076.2976856366847</v>
      </c>
      <c r="F37" s="19">
        <f t="shared" si="30"/>
        <v>8208.8465748072213</v>
      </c>
      <c r="G37" s="19">
        <f t="shared" si="30"/>
        <v>17844.087336984448</v>
      </c>
      <c r="H37" s="19">
        <f t="shared" si="30"/>
        <v>19824.195520493558</v>
      </c>
      <c r="I37" s="19">
        <f t="shared" si="30"/>
        <v>22243.951069283008</v>
      </c>
      <c r="J37" s="19">
        <f t="shared" si="30"/>
        <v>14376.331615218623</v>
      </c>
      <c r="M37" s="133"/>
      <c r="N37" s="133"/>
      <c r="O37" s="35"/>
      <c r="P37" s="11"/>
      <c r="Q37" s="12"/>
      <c r="R37" s="12"/>
      <c r="S37" s="12"/>
      <c r="T37" s="12"/>
      <c r="U37" s="12"/>
      <c r="V37" s="12"/>
      <c r="W37" s="12"/>
      <c r="X37" s="12"/>
      <c r="Y37" s="12"/>
      <c r="Z37" s="4"/>
      <c r="AA37" s="4"/>
      <c r="AB37" s="141"/>
      <c r="AC37" s="106"/>
      <c r="AD37" s="106"/>
      <c r="AE37" s="106"/>
      <c r="AF37" s="106"/>
      <c r="AG37" s="106"/>
      <c r="AH37" s="106"/>
      <c r="AI37" s="106"/>
      <c r="AJ37" s="106"/>
      <c r="AK37" s="4"/>
      <c r="BF37" s="133"/>
      <c r="BG37" s="277"/>
      <c r="BH37" s="75" t="s">
        <v>61</v>
      </c>
      <c r="BI37" s="8">
        <v>0</v>
      </c>
      <c r="BJ37" s="8">
        <f>IF(OR(BJ35="",BJ34=""),"",BJ34+BJ35)</f>
        <v>-50010.518499999998</v>
      </c>
      <c r="BK37" s="8">
        <f>IF(OR(BK35="",BK34=""),"",BK34+BK35)</f>
        <v>-11.864953838692918</v>
      </c>
      <c r="BL37" s="8">
        <f t="shared" ref="BL37:BU37" si="31">IF(OR(BL35="",BL34=""),"",BL34+BL35)</f>
        <v>-8.5929700856590454</v>
      </c>
      <c r="BM37" s="8">
        <f t="shared" si="31"/>
        <v>-9.6817027101953688</v>
      </c>
      <c r="BN37" s="8">
        <f t="shared" si="31"/>
        <v>-8.9103229871254239</v>
      </c>
      <c r="BO37" s="8">
        <f t="shared" si="31"/>
        <v>-9.3894241650701495</v>
      </c>
      <c r="BP37" s="8">
        <f t="shared" si="31"/>
        <v>-9.3556855002249169</v>
      </c>
      <c r="BQ37" s="8">
        <f t="shared" si="31"/>
        <v>-8.4139383700435406</v>
      </c>
      <c r="BR37" s="8">
        <f t="shared" si="31"/>
        <v>-5.8234643713087815</v>
      </c>
      <c r="BS37" s="8">
        <f t="shared" si="31"/>
        <v>-8.5599009331342053</v>
      </c>
      <c r="BT37" s="8">
        <f t="shared" si="31"/>
        <v>-8.0660463544855254</v>
      </c>
      <c r="BU37" s="8">
        <f t="shared" si="31"/>
        <v>-153757.53890461367</v>
      </c>
      <c r="BY37" s="133"/>
      <c r="BZ37" s="276"/>
      <c r="CA37" s="15" t="s">
        <v>25</v>
      </c>
      <c r="CB37" s="192">
        <v>519976.82051891321</v>
      </c>
      <c r="CC37" s="192">
        <v>567613.70409043762</v>
      </c>
      <c r="CD37" s="192">
        <v>605915.85091646248</v>
      </c>
      <c r="CE37" s="192">
        <v>491377.50787101442</v>
      </c>
      <c r="CF37" s="192">
        <v>295776.31891815155</v>
      </c>
      <c r="CG37" s="192">
        <v>275370.89343587006</v>
      </c>
      <c r="CH37" s="192">
        <v>285530.13328453153</v>
      </c>
      <c r="CK37" s="276"/>
      <c r="CL37" s="15" t="s">
        <v>25</v>
      </c>
      <c r="CM37" s="192">
        <v>518301.68729724293</v>
      </c>
      <c r="CN37" s="192">
        <v>564263.98623198015</v>
      </c>
      <c r="CO37" s="192">
        <v>600156.67821640242</v>
      </c>
      <c r="CP37" s="192">
        <v>485815.15413385612</v>
      </c>
      <c r="CQ37" s="192">
        <v>293847.62845519924</v>
      </c>
      <c r="CR37" s="192">
        <v>274342.84538315726</v>
      </c>
      <c r="CS37" s="192">
        <v>285405.182845061</v>
      </c>
      <c r="CW37" s="133"/>
      <c r="CX37" s="276"/>
      <c r="CY37" s="14" t="s">
        <v>27</v>
      </c>
      <c r="CZ37" s="19">
        <v>116491.49867964754</v>
      </c>
      <c r="DA37" s="19">
        <v>196559.66519683803</v>
      </c>
      <c r="DB37" s="19">
        <v>143190.44336244816</v>
      </c>
      <c r="DC37" s="19">
        <v>165885.95699877734</v>
      </c>
      <c r="DD37" s="19">
        <v>168014.93999895826</v>
      </c>
      <c r="DE37" s="19">
        <v>224708.57117023846</v>
      </c>
      <c r="DF37" s="19">
        <v>334985.01191056194</v>
      </c>
      <c r="DG37" s="19">
        <v>449867.18718954525</v>
      </c>
      <c r="DH37" s="19">
        <v>392143.15877642907</v>
      </c>
      <c r="DI37" s="19">
        <v>337751.81199888035</v>
      </c>
      <c r="DJ37" s="19">
        <v>247793.76914859904</v>
      </c>
      <c r="DK37" s="19">
        <v>222262.13845546212</v>
      </c>
      <c r="DL37" s="19">
        <v>249509.48642011534</v>
      </c>
      <c r="DM37" s="19">
        <v>321944.69044732186</v>
      </c>
      <c r="DN37" s="19">
        <v>246962.75301226831</v>
      </c>
      <c r="DO37" s="19">
        <v>100845.58616926862</v>
      </c>
      <c r="DP37" s="19">
        <v>127422.49440160212</v>
      </c>
      <c r="DQ37" s="19">
        <v>191471.00601967305</v>
      </c>
      <c r="DR37" s="19">
        <v>262682.7688338983</v>
      </c>
      <c r="DS37" s="19">
        <v>354188.78297288192</v>
      </c>
      <c r="DT37" s="19">
        <v>291793.54141646903</v>
      </c>
      <c r="DU37" s="19">
        <v>288002.90399346605</v>
      </c>
      <c r="DV37" s="19">
        <v>176158.92806469859</v>
      </c>
      <c r="DW37" s="19">
        <v>148988.71783347923</v>
      </c>
      <c r="DX37" s="19">
        <v>166383.33688258496</v>
      </c>
      <c r="DY37" s="198"/>
      <c r="DZ37" s="198"/>
      <c r="EA37" s="133"/>
      <c r="FH37" s="133"/>
    </row>
    <row r="38" spans="1:164" s="4" customFormat="1" ht="15" customHeight="1" outlineLevel="1" x14ac:dyDescent="0.25">
      <c r="A38" s="276"/>
      <c r="B38" s="15" t="s">
        <v>25</v>
      </c>
      <c r="C38" s="19">
        <f>IF('M3 Allocations - TD'!D54="","",'M3 Allocations - TD'!D72)</f>
        <v>0</v>
      </c>
      <c r="D38" s="19">
        <f>IF('M3 Allocations - TD'!E54="","",'M3 Allocations - TD'!E72)</f>
        <v>0</v>
      </c>
      <c r="E38" s="19">
        <f>IF('M3 Allocations - TD'!F54="","",'M3 Allocations - TD'!F72)</f>
        <v>2381.1324731369587</v>
      </c>
      <c r="F38" s="19">
        <f>IF('M3 Allocations - TD'!G54="","",'M3 Allocations - TD'!G72)</f>
        <v>41080.759711289073</v>
      </c>
      <c r="G38" s="19">
        <f>IF('M3 Allocations - TD'!H54="","",'M3 Allocations - TD'!H72)</f>
        <v>46620.227707662583</v>
      </c>
      <c r="H38" s="19">
        <f>IF('M3 Allocations - TD'!I54="","",'M3 Allocations - TD'!I72)</f>
        <v>48915.290383093015</v>
      </c>
      <c r="I38" s="19">
        <f>IF('M3 Allocations - TD'!J54="","",'M3 Allocations - TD'!J72)</f>
        <v>48689.064699160743</v>
      </c>
      <c r="J38" s="19">
        <f>IF('M3 Allocations - TD'!K54="","",'M3 Allocations - TD'!K72)</f>
        <v>45154.720570269681</v>
      </c>
      <c r="M38" s="132"/>
      <c r="N38" s="132"/>
      <c r="O38" s="276" t="s">
        <v>20</v>
      </c>
      <c r="P38" s="14"/>
      <c r="Q38" s="7"/>
      <c r="R38" s="7"/>
      <c r="S38" s="7"/>
      <c r="T38" s="7"/>
      <c r="U38" s="7"/>
      <c r="V38" s="7"/>
      <c r="W38" s="7"/>
      <c r="X38" s="7"/>
      <c r="Y38" s="7"/>
      <c r="AB38" s="141"/>
      <c r="AC38" s="106"/>
      <c r="AD38" s="106"/>
      <c r="AE38" s="106"/>
      <c r="AF38" s="106"/>
      <c r="AG38" s="106"/>
      <c r="AH38" s="106"/>
      <c r="AI38" s="106"/>
      <c r="AJ38" s="106"/>
      <c r="BF38" s="132"/>
      <c r="BG38" s="277"/>
      <c r="BH38" s="77" t="s">
        <v>62</v>
      </c>
      <c r="BI38" s="8">
        <v>0</v>
      </c>
      <c r="BJ38" s="8">
        <f>IF(OR(BJ37="",BI38=""),"",BJ37+BI38)</f>
        <v>-50010.518499999998</v>
      </c>
      <c r="BK38" s="8">
        <f>IF(OR(BK37="",BJ38=""),"",BK37+BJ38)</f>
        <v>-50022.383453838695</v>
      </c>
      <c r="BL38" s="8">
        <f t="shared" ref="BL38:BU38" si="32">IF(OR(BL37="",BK38=""),"",BL37+BK38)</f>
        <v>-50030.976423924352</v>
      </c>
      <c r="BM38" s="8">
        <f t="shared" si="32"/>
        <v>-50040.658126634546</v>
      </c>
      <c r="BN38" s="8">
        <f t="shared" si="32"/>
        <v>-50049.568449621671</v>
      </c>
      <c r="BO38" s="8">
        <f t="shared" si="32"/>
        <v>-50058.957873786741</v>
      </c>
      <c r="BP38" s="8">
        <f t="shared" si="32"/>
        <v>-50068.313559286966</v>
      </c>
      <c r="BQ38" s="8">
        <f t="shared" si="32"/>
        <v>-50076.727497657012</v>
      </c>
      <c r="BR38" s="8">
        <f t="shared" si="32"/>
        <v>-50082.550962028319</v>
      </c>
      <c r="BS38" s="8">
        <f t="shared" si="32"/>
        <v>-50091.110862961454</v>
      </c>
      <c r="BT38" s="8">
        <f t="shared" si="32"/>
        <v>-50099.176909315938</v>
      </c>
      <c r="BU38" s="8">
        <f t="shared" si="32"/>
        <v>-203856.71581392962</v>
      </c>
      <c r="BY38" s="132"/>
      <c r="BZ38" s="276"/>
      <c r="CA38" s="15" t="s">
        <v>45</v>
      </c>
      <c r="CB38" s="192">
        <v>-43533.32</v>
      </c>
      <c r="CC38" s="192">
        <v>-47580.19</v>
      </c>
      <c r="CD38" s="192">
        <v>-50865.22</v>
      </c>
      <c r="CE38" s="192">
        <v>38543.78</v>
      </c>
      <c r="CF38" s="192">
        <v>23075.85</v>
      </c>
      <c r="CG38" s="192">
        <v>21444.13</v>
      </c>
      <c r="CH38" s="192">
        <v>22179.41</v>
      </c>
      <c r="CK38" s="276"/>
      <c r="CL38" s="15" t="s">
        <v>45</v>
      </c>
      <c r="CM38" s="192">
        <v>-43533.32</v>
      </c>
      <c r="CN38" s="192">
        <v>-47580.19</v>
      </c>
      <c r="CO38" s="192">
        <v>-50865.22</v>
      </c>
      <c r="CP38" s="192">
        <v>38543.78</v>
      </c>
      <c r="CQ38" s="192">
        <v>23075.85</v>
      </c>
      <c r="CR38" s="192">
        <v>21444.13</v>
      </c>
      <c r="CS38" s="192">
        <v>22179.41</v>
      </c>
      <c r="CW38" s="132"/>
      <c r="CX38" s="276"/>
      <c r="CY38" s="15" t="s">
        <v>25</v>
      </c>
      <c r="CZ38" s="19">
        <v>68599.470346323797</v>
      </c>
      <c r="DA38" s="19">
        <v>81564.73791205966</v>
      </c>
      <c r="DB38" s="19">
        <v>242664.75286538465</v>
      </c>
      <c r="DC38" s="19">
        <v>375919.83719992841</v>
      </c>
      <c r="DD38" s="19">
        <v>300075.62636462261</v>
      </c>
      <c r="DE38" s="19">
        <v>293923.98139317043</v>
      </c>
      <c r="DF38" s="19">
        <v>350815.31218641665</v>
      </c>
      <c r="DG38" s="19">
        <v>415012.49945076351</v>
      </c>
      <c r="DH38" s="19">
        <v>415043.37829811877</v>
      </c>
      <c r="DI38" s="19">
        <v>419425.17682734353</v>
      </c>
      <c r="DJ38" s="19">
        <v>350351.57477839955</v>
      </c>
      <c r="DK38" s="19">
        <v>312397.32107489841</v>
      </c>
      <c r="DL38" s="19">
        <v>355639.37645809754</v>
      </c>
      <c r="DM38" s="19">
        <v>419510.42236398638</v>
      </c>
      <c r="DN38" s="19">
        <v>345889.73802590865</v>
      </c>
      <c r="DO38" s="19">
        <v>199586.56344967708</v>
      </c>
      <c r="DP38" s="19">
        <v>176831.15319493209</v>
      </c>
      <c r="DQ38" s="19">
        <v>171543.19774187819</v>
      </c>
      <c r="DR38" s="19">
        <v>199615.15184616181</v>
      </c>
      <c r="DS38" s="19">
        <v>238634.42662698543</v>
      </c>
      <c r="DT38" s="19">
        <v>233703.41244781748</v>
      </c>
      <c r="DU38" s="19">
        <v>214332.64423371092</v>
      </c>
      <c r="DV38" s="19">
        <v>176304.098950004</v>
      </c>
      <c r="DW38" s="19">
        <v>167898.42293823551</v>
      </c>
      <c r="DX38" s="19">
        <v>208742.33055279544</v>
      </c>
      <c r="DY38" s="187"/>
      <c r="DZ38" s="187"/>
      <c r="EA38" s="132"/>
      <c r="FH38" s="132"/>
    </row>
    <row r="39" spans="1:164" s="4" customFormat="1" ht="15" customHeight="1" outlineLevel="1" x14ac:dyDescent="0.25">
      <c r="A39" s="276"/>
      <c r="B39" s="15" t="s">
        <v>45</v>
      </c>
      <c r="C39" s="19">
        <f>IF(C38="","",0)</f>
        <v>0</v>
      </c>
      <c r="D39" s="19">
        <f t="shared" ref="D39:I39" si="33">IF(D38="","",0)</f>
        <v>0</v>
      </c>
      <c r="E39" s="19">
        <f t="shared" si="33"/>
        <v>0</v>
      </c>
      <c r="F39" s="19">
        <f t="shared" si="33"/>
        <v>0</v>
      </c>
      <c r="G39" s="19">
        <f t="shared" si="33"/>
        <v>0</v>
      </c>
      <c r="H39" s="19">
        <f t="shared" si="33"/>
        <v>0</v>
      </c>
      <c r="I39" s="19">
        <f t="shared" si="33"/>
        <v>0</v>
      </c>
      <c r="J39" s="19">
        <f>IF(J38="","",0)</f>
        <v>0</v>
      </c>
      <c r="M39" s="132"/>
      <c r="N39" s="132"/>
      <c r="O39" s="276"/>
      <c r="P39" s="14" t="s">
        <v>27</v>
      </c>
      <c r="Q39" s="19">
        <v>88043.147483850829</v>
      </c>
      <c r="R39" s="19">
        <v>103641.60510926238</v>
      </c>
      <c r="S39" s="19">
        <v>44495.668454394727</v>
      </c>
      <c r="T39" s="19">
        <v>72447.479306892477</v>
      </c>
      <c r="U39" s="19">
        <v>100242.14080653639</v>
      </c>
      <c r="V39" s="19">
        <v>144814.88878280437</v>
      </c>
      <c r="W39" s="19">
        <v>113846.66455304027</v>
      </c>
      <c r="X39" s="19">
        <v>127713.0610159208</v>
      </c>
      <c r="Y39" s="19">
        <v>102944.20736329375</v>
      </c>
      <c r="Z39" s="2"/>
      <c r="AA39" s="2"/>
      <c r="AB39" s="141"/>
      <c r="AC39" s="106"/>
      <c r="AD39" s="106"/>
      <c r="AE39" s="106"/>
      <c r="AF39" s="106"/>
      <c r="AG39" s="106"/>
      <c r="AH39" s="106"/>
      <c r="AI39" s="106"/>
      <c r="AJ39" s="106"/>
      <c r="AK39" s="2"/>
      <c r="BF39" s="132"/>
      <c r="BY39" s="132"/>
      <c r="BZ39" s="276"/>
      <c r="CA39" s="15" t="s">
        <v>46</v>
      </c>
      <c r="CB39" s="192">
        <v>476443.50051891321</v>
      </c>
      <c r="CC39" s="192">
        <v>520033.51409043762</v>
      </c>
      <c r="CD39" s="192">
        <v>555050.63091646251</v>
      </c>
      <c r="CE39" s="192">
        <v>529921.28787101444</v>
      </c>
      <c r="CF39" s="192">
        <v>318852.16891815152</v>
      </c>
      <c r="CG39" s="192">
        <v>296815.02343587007</v>
      </c>
      <c r="CH39" s="192">
        <v>307709.54328453151</v>
      </c>
      <c r="CK39" s="276"/>
      <c r="CL39" s="15" t="s">
        <v>46</v>
      </c>
      <c r="CM39" s="192">
        <v>474768.36729724292</v>
      </c>
      <c r="CN39" s="192">
        <v>516683.79623198014</v>
      </c>
      <c r="CO39" s="192">
        <v>549291.45821640245</v>
      </c>
      <c r="CP39" s="192">
        <v>524358.93413385609</v>
      </c>
      <c r="CQ39" s="192">
        <v>316923.47845519922</v>
      </c>
      <c r="CR39" s="192">
        <v>295786.97538315726</v>
      </c>
      <c r="CS39" s="192">
        <v>307584.59284506098</v>
      </c>
      <c r="CT39" s="4" t="s">
        <v>105</v>
      </c>
      <c r="CU39" s="4" t="s">
        <v>106</v>
      </c>
      <c r="CV39" s="4" t="s">
        <v>107</v>
      </c>
      <c r="CW39" s="132"/>
      <c r="CX39" s="276"/>
      <c r="CY39" s="15" t="s">
        <v>45</v>
      </c>
      <c r="CZ39" s="19">
        <v>16957.169999999998</v>
      </c>
      <c r="DA39" s="19">
        <v>20227.96</v>
      </c>
      <c r="DB39" s="19">
        <v>-27075.87</v>
      </c>
      <c r="DC39" s="19">
        <v>-41869.919999999998</v>
      </c>
      <c r="DD39" s="19">
        <v>-33303.57</v>
      </c>
      <c r="DE39" s="19">
        <v>-32560.29</v>
      </c>
      <c r="DF39" s="19">
        <v>-38841.39</v>
      </c>
      <c r="DG39" s="19">
        <v>-45977.98</v>
      </c>
      <c r="DH39" s="19">
        <v>-45995.38</v>
      </c>
      <c r="DI39" s="19">
        <v>-46474.38</v>
      </c>
      <c r="DJ39" s="19">
        <v>-38765.449999999997</v>
      </c>
      <c r="DK39" s="19">
        <v>-34659.79</v>
      </c>
      <c r="DL39" s="19">
        <v>-39489.65</v>
      </c>
      <c r="DM39" s="19">
        <v>-46633.93</v>
      </c>
      <c r="DN39" s="19">
        <v>59971.88</v>
      </c>
      <c r="DO39" s="19">
        <v>34460.21</v>
      </c>
      <c r="DP39" s="19">
        <v>30482.11</v>
      </c>
      <c r="DQ39" s="19">
        <v>29523.43</v>
      </c>
      <c r="DR39" s="19">
        <v>34337.879999999997</v>
      </c>
      <c r="DS39" s="19">
        <v>41091.919999999998</v>
      </c>
      <c r="DT39" s="19">
        <v>40250.86</v>
      </c>
      <c r="DU39" s="19">
        <v>36905.46</v>
      </c>
      <c r="DV39" s="19">
        <v>30354.95</v>
      </c>
      <c r="DW39" s="19">
        <v>28938.2</v>
      </c>
      <c r="DX39" s="19">
        <v>36146.32</v>
      </c>
      <c r="DY39" s="187"/>
      <c r="DZ39" s="187"/>
      <c r="EA39" s="132"/>
      <c r="FH39" s="132"/>
    </row>
    <row r="40" spans="1:164" s="4" customFormat="1" ht="15" customHeight="1" outlineLevel="1" x14ac:dyDescent="0.25">
      <c r="A40" s="276"/>
      <c r="B40" s="15" t="s">
        <v>46</v>
      </c>
      <c r="C40" s="7">
        <f t="shared" ref="C40:I40" si="34">IF(OR(C39="",C38=""),"",C38+C39)</f>
        <v>0</v>
      </c>
      <c r="D40" s="7">
        <f t="shared" si="34"/>
        <v>0</v>
      </c>
      <c r="E40" s="7">
        <f t="shared" si="34"/>
        <v>2381.1324731369587</v>
      </c>
      <c r="F40" s="7">
        <f t="shared" si="34"/>
        <v>41080.759711289073</v>
      </c>
      <c r="G40" s="7">
        <f t="shared" si="34"/>
        <v>46620.227707662583</v>
      </c>
      <c r="H40" s="7">
        <f t="shared" si="34"/>
        <v>48915.290383093015</v>
      </c>
      <c r="I40" s="7">
        <f t="shared" si="34"/>
        <v>48689.064699160743</v>
      </c>
      <c r="J40" s="7">
        <f>IF(OR(J39="",J38=""),"",J38+J39)</f>
        <v>45154.720570269681</v>
      </c>
      <c r="M40" s="132"/>
      <c r="N40" s="132"/>
      <c r="O40" s="276"/>
      <c r="P40" s="15" t="s">
        <v>25</v>
      </c>
      <c r="Q40" s="19">
        <v>72477.677451482814</v>
      </c>
      <c r="R40" s="19">
        <v>71928.028717536567</v>
      </c>
      <c r="S40" s="19">
        <v>55453.451619799707</v>
      </c>
      <c r="T40" s="19">
        <v>50391.746026202469</v>
      </c>
      <c r="U40" s="19">
        <v>63389.498728401399</v>
      </c>
      <c r="V40" s="19">
        <v>78881.855890584935</v>
      </c>
      <c r="W40" s="19">
        <v>76955.02703194521</v>
      </c>
      <c r="X40" s="19">
        <v>73755.388306573834</v>
      </c>
      <c r="Y40" s="19">
        <v>59772.834718849517</v>
      </c>
      <c r="AB40" s="141"/>
      <c r="AC40" s="106"/>
      <c r="AD40" s="106"/>
      <c r="AE40" s="106"/>
      <c r="AF40" s="106"/>
      <c r="AG40" s="106"/>
      <c r="AH40" s="106"/>
      <c r="AI40" s="106"/>
      <c r="AJ40" s="106"/>
      <c r="BF40" s="132"/>
      <c r="BY40" s="132"/>
      <c r="BZ40" s="276"/>
      <c r="CA40" s="15" t="s">
        <v>12</v>
      </c>
      <c r="CB40" s="192">
        <v>-132715.84841127816</v>
      </c>
      <c r="CC40" s="192">
        <v>-101183.46738778771</v>
      </c>
      <c r="CD40" s="192">
        <v>72006.352066173451</v>
      </c>
      <c r="CE40" s="192">
        <v>-54633.169777225121</v>
      </c>
      <c r="CF40" s="192">
        <v>-29854.812319360673</v>
      </c>
      <c r="CG40" s="192">
        <v>-43569.759852407646</v>
      </c>
      <c r="CH40" s="192">
        <v>30009.702663524076</v>
      </c>
      <c r="CK40" s="276"/>
      <c r="CL40" s="15" t="s">
        <v>12</v>
      </c>
      <c r="CM40" s="192">
        <v>-127904.75993472396</v>
      </c>
      <c r="CN40" s="192">
        <v>-91336.407120271237</v>
      </c>
      <c r="CO40" s="192">
        <v>88084.844143852359</v>
      </c>
      <c r="CP40" s="192">
        <v>-39466.761458990106</v>
      </c>
      <c r="CQ40" s="192">
        <v>-24433.209322472743</v>
      </c>
      <c r="CR40" s="192">
        <v>-40714.928250650148</v>
      </c>
      <c r="CS40" s="192">
        <v>30403.502298721171</v>
      </c>
      <c r="CT40" s="193">
        <f>SUM(CM40:CS40)</f>
        <v>-205367.71964453466</v>
      </c>
      <c r="CU40" s="193">
        <f>SUM(CB40:CH40)</f>
        <v>-259941.00301836175</v>
      </c>
      <c r="CV40" s="193">
        <f>CT40-CU40</f>
        <v>54573.283373827086</v>
      </c>
      <c r="CW40" s="132"/>
      <c r="CX40" s="276"/>
      <c r="CY40" s="15" t="s">
        <v>46</v>
      </c>
      <c r="CZ40" s="7">
        <v>85556.640346323795</v>
      </c>
      <c r="DA40" s="7">
        <v>101792.69791205967</v>
      </c>
      <c r="DB40" s="7">
        <v>215588.88286538466</v>
      </c>
      <c r="DC40" s="7">
        <v>334049.91719992843</v>
      </c>
      <c r="DD40" s="7">
        <v>266772.05636462261</v>
      </c>
      <c r="DE40" s="7">
        <v>261363.69139317042</v>
      </c>
      <c r="DF40" s="7">
        <v>311973.92218641663</v>
      </c>
      <c r="DG40" s="7">
        <v>369034.51945076353</v>
      </c>
      <c r="DH40" s="7">
        <v>369047.99829811876</v>
      </c>
      <c r="DI40" s="7">
        <v>372950.79682734353</v>
      </c>
      <c r="DJ40" s="7">
        <v>311586.12477839953</v>
      </c>
      <c r="DK40" s="7">
        <v>277737.53107489843</v>
      </c>
      <c r="DL40" s="7">
        <v>316149.72645809752</v>
      </c>
      <c r="DM40" s="7">
        <v>372876.49236398638</v>
      </c>
      <c r="DN40" s="7">
        <v>405861.61802590865</v>
      </c>
      <c r="DO40" s="7">
        <v>234046.77344967707</v>
      </c>
      <c r="DP40" s="7">
        <v>207313.26319493208</v>
      </c>
      <c r="DQ40" s="7">
        <v>201066.62774187818</v>
      </c>
      <c r="DR40" s="7">
        <v>233953.03184616182</v>
      </c>
      <c r="DS40" s="7">
        <v>279726.34662698541</v>
      </c>
      <c r="DT40" s="7">
        <v>273954.27244781749</v>
      </c>
      <c r="DU40" s="7">
        <v>251238.10423371091</v>
      </c>
      <c r="DV40" s="7">
        <v>206659.04895000401</v>
      </c>
      <c r="DW40" s="7">
        <v>196836.62293823552</v>
      </c>
      <c r="DX40" s="7">
        <v>244888.65055279544</v>
      </c>
      <c r="DY40" s="187"/>
      <c r="DZ40" s="187"/>
      <c r="EA40" s="132"/>
      <c r="FH40" s="132"/>
    </row>
    <row r="41" spans="1:164" s="4" customFormat="1" ht="15" outlineLevel="1" x14ac:dyDescent="0.25">
      <c r="A41" s="276"/>
      <c r="B41" s="15" t="s">
        <v>12</v>
      </c>
      <c r="C41" s="7">
        <f t="shared" ref="C41:I41" si="35">IF(OR(C38="",C37=""),"",C37-C38)</f>
        <v>0</v>
      </c>
      <c r="D41" s="7">
        <f t="shared" si="35"/>
        <v>10.498979963866001</v>
      </c>
      <c r="E41" s="7">
        <f t="shared" si="35"/>
        <v>-1304.8347875002739</v>
      </c>
      <c r="F41" s="7">
        <f t="shared" si="35"/>
        <v>-32871.913136481853</v>
      </c>
      <c r="G41" s="7">
        <f t="shared" si="35"/>
        <v>-28776.140370678135</v>
      </c>
      <c r="H41" s="7">
        <f t="shared" si="35"/>
        <v>-29091.094862599457</v>
      </c>
      <c r="I41" s="7">
        <f t="shared" si="35"/>
        <v>-26445.113629877735</v>
      </c>
      <c r="J41" s="7">
        <f>IF(OR(J38="",J37=""),"",J37-J38)</f>
        <v>-30778.388955051058</v>
      </c>
      <c r="K41" s="89" t="s">
        <v>72</v>
      </c>
      <c r="L41" s="89" t="s">
        <v>75</v>
      </c>
      <c r="M41" s="132"/>
      <c r="N41" s="132"/>
      <c r="O41" s="276"/>
      <c r="P41" s="15" t="s">
        <v>45</v>
      </c>
      <c r="Q41" s="19">
        <v>17996.03</v>
      </c>
      <c r="R41" s="19">
        <v>17828.82</v>
      </c>
      <c r="S41" s="19">
        <v>13698.34</v>
      </c>
      <c r="T41" s="19">
        <v>12419.68</v>
      </c>
      <c r="U41" s="19">
        <v>15595.43</v>
      </c>
      <c r="V41" s="19">
        <v>19419.18</v>
      </c>
      <c r="W41" s="19">
        <v>18927.88</v>
      </c>
      <c r="X41" s="19">
        <v>18118.43</v>
      </c>
      <c r="Y41" s="19">
        <v>14686.23</v>
      </c>
      <c r="AB41" s="141"/>
      <c r="AC41" s="106"/>
      <c r="AD41" s="106"/>
      <c r="AE41" s="106"/>
      <c r="AF41" s="106"/>
      <c r="AG41" s="106"/>
      <c r="AH41" s="106"/>
      <c r="AI41" s="106"/>
      <c r="AJ41" s="106"/>
      <c r="BF41" s="132"/>
      <c r="BY41" s="132"/>
      <c r="BZ41" s="276"/>
      <c r="CA41" s="16" t="s">
        <v>7</v>
      </c>
      <c r="CB41" s="192">
        <v>-0.83</v>
      </c>
      <c r="CC41" s="192">
        <v>-33.700000000000003</v>
      </c>
      <c r="CD41" s="192">
        <v>-26.21</v>
      </c>
      <c r="CE41" s="192">
        <v>-37.049999999999997</v>
      </c>
      <c r="CF41" s="192">
        <v>-90.11</v>
      </c>
      <c r="CG41" s="192">
        <v>-89.72</v>
      </c>
      <c r="CH41" s="192">
        <v>-100.68</v>
      </c>
      <c r="CK41" s="276"/>
      <c r="CL41" s="16" t="s">
        <v>7</v>
      </c>
      <c r="CM41" s="192">
        <v>-0.22</v>
      </c>
      <c r="CN41" s="192">
        <v>-30.52</v>
      </c>
      <c r="CO41" s="192">
        <v>-20.21</v>
      </c>
      <c r="CP41" s="192">
        <v>-25.73</v>
      </c>
      <c r="CQ41" s="192">
        <v>-60.66</v>
      </c>
      <c r="CR41" s="192">
        <v>-62.59</v>
      </c>
      <c r="CS41" s="192">
        <v>-57.43</v>
      </c>
      <c r="CW41" s="132"/>
      <c r="CX41" s="276"/>
      <c r="CY41" s="15" t="s">
        <v>12</v>
      </c>
      <c r="CZ41" s="7">
        <v>30934.858333323748</v>
      </c>
      <c r="DA41" s="7">
        <v>94766.967284778366</v>
      </c>
      <c r="DB41" s="7">
        <v>-72398.439502936497</v>
      </c>
      <c r="DC41" s="7">
        <v>-168163.96020115109</v>
      </c>
      <c r="DD41" s="7">
        <v>-98757.116365664348</v>
      </c>
      <c r="DE41" s="7">
        <v>-36655.120222931961</v>
      </c>
      <c r="DF41" s="7">
        <v>23011.089724145306</v>
      </c>
      <c r="DG41" s="7">
        <v>80832.667738781718</v>
      </c>
      <c r="DH41" s="7">
        <v>23095.16047831031</v>
      </c>
      <c r="DI41" s="7">
        <v>-35198.984828463173</v>
      </c>
      <c r="DJ41" s="7">
        <v>-63792.355629800499</v>
      </c>
      <c r="DK41" s="7">
        <v>-55475.392619436316</v>
      </c>
      <c r="DL41" s="7">
        <v>-66640.240037982177</v>
      </c>
      <c r="DM41" s="7">
        <v>-50931.801916664524</v>
      </c>
      <c r="DN41" s="7">
        <v>-158898.86501364034</v>
      </c>
      <c r="DO41" s="7">
        <v>-133201.18728040846</v>
      </c>
      <c r="DP41" s="7">
        <v>-79890.76879332996</v>
      </c>
      <c r="DQ41" s="7">
        <v>-9595.6217222051346</v>
      </c>
      <c r="DR41" s="7">
        <v>28729.736987736484</v>
      </c>
      <c r="DS41" s="7">
        <v>74462.436345896509</v>
      </c>
      <c r="DT41" s="7">
        <v>17839.268968651537</v>
      </c>
      <c r="DU41" s="7">
        <v>36764.799759755144</v>
      </c>
      <c r="DV41" s="108">
        <v>-3842.6495508213702</v>
      </c>
      <c r="DW41" s="7">
        <v>-47847.905104756297</v>
      </c>
      <c r="DX41" s="7">
        <v>-78505.313670210482</v>
      </c>
      <c r="DY41" s="187"/>
      <c r="DZ41" s="187"/>
      <c r="EA41" s="132"/>
      <c r="FH41" s="132"/>
    </row>
    <row r="42" spans="1:164" s="4" customFormat="1" ht="15" outlineLevel="1" x14ac:dyDescent="0.25">
      <c r="A42" s="276"/>
      <c r="B42" s="16" t="s">
        <v>7</v>
      </c>
      <c r="C42" s="7">
        <f>ROUND((C41+0)*'MEEIA 3 calcs'!F9/12,2)</f>
        <v>0</v>
      </c>
      <c r="D42" s="7">
        <f>ROUND((D41+C44)*'MEEIA 3 calcs'!G9/12,2)</f>
        <v>0.02</v>
      </c>
      <c r="E42" s="7">
        <f>ROUND((E41+D44)*'MEEIA 3 calcs'!H9/12,2)</f>
        <v>-2.89</v>
      </c>
      <c r="F42" s="7">
        <f>ROUND((F41+E44)*'MEEIA 3 calcs'!I9/12,2)</f>
        <v>-75.459999999999994</v>
      </c>
      <c r="G42" s="7">
        <f>ROUND((G41+F44)*'MEEIA 3 calcs'!J9/12,2)</f>
        <v>-136.28</v>
      </c>
      <c r="H42" s="7">
        <f>ROUND((H41+G44)*'MEEIA 3 calcs'!K9/12,2)</f>
        <v>-180.74</v>
      </c>
      <c r="I42" s="7">
        <f>ROUND((I41+H44)*'MEEIA 3 calcs'!L9/12,2)</f>
        <v>-219.61</v>
      </c>
      <c r="J42" s="7">
        <f>ROUND((J41+I44)*'MEEIA 3 calcs'!M9/12,2)</f>
        <v>-264.02</v>
      </c>
      <c r="K42" s="90">
        <f>SUM('MEEIA 3 calcs'!F62:M62)</f>
        <v>-925.55</v>
      </c>
      <c r="L42" s="96">
        <f>SUM(C42:J42)-K42</f>
        <v>46.569999999999936</v>
      </c>
      <c r="M42" s="132"/>
      <c r="N42" s="132"/>
      <c r="O42" s="276"/>
      <c r="P42" s="15" t="s">
        <v>46</v>
      </c>
      <c r="Q42" s="7">
        <v>90473.707451482813</v>
      </c>
      <c r="R42" s="7">
        <v>89756.848717536574</v>
      </c>
      <c r="S42" s="7">
        <v>69151.791619799711</v>
      </c>
      <c r="T42" s="7">
        <v>62811.426026202469</v>
      </c>
      <c r="U42" s="7">
        <v>78984.928728401399</v>
      </c>
      <c r="V42" s="7">
        <v>98301.035890584928</v>
      </c>
      <c r="W42" s="7">
        <v>95882.907031945215</v>
      </c>
      <c r="X42" s="7">
        <v>91873.818306573841</v>
      </c>
      <c r="Y42" s="7">
        <v>74459.06471884952</v>
      </c>
      <c r="AB42" s="141"/>
      <c r="AC42" s="106"/>
      <c r="AD42" s="106"/>
      <c r="AE42" s="106"/>
      <c r="AF42" s="106"/>
      <c r="AG42" s="106"/>
      <c r="AH42" s="106"/>
      <c r="AI42" s="106"/>
      <c r="AJ42" s="106"/>
      <c r="BF42" s="132"/>
      <c r="BY42" s="132"/>
      <c r="BZ42" s="276"/>
      <c r="CA42" s="15" t="s">
        <v>13</v>
      </c>
      <c r="CB42" s="192">
        <v>-132716.67841127815</v>
      </c>
      <c r="CC42" s="192">
        <v>-101217.1673877877</v>
      </c>
      <c r="CD42" s="192">
        <v>71980.142066173445</v>
      </c>
      <c r="CE42" s="192">
        <v>-54670.219777225124</v>
      </c>
      <c r="CF42" s="192">
        <v>-29944.922319360674</v>
      </c>
      <c r="CG42" s="192">
        <v>-43659.479852407647</v>
      </c>
      <c r="CH42" s="192">
        <v>29909.022663524076</v>
      </c>
      <c r="CK42" s="276"/>
      <c r="CL42" s="15" t="s">
        <v>13</v>
      </c>
      <c r="CM42" s="192">
        <v>-127904.97993472396</v>
      </c>
      <c r="CN42" s="192">
        <v>-91366.927120271241</v>
      </c>
      <c r="CO42" s="192">
        <v>88064.634143852352</v>
      </c>
      <c r="CP42" s="192">
        <v>-39492.491458990109</v>
      </c>
      <c r="CQ42" s="192">
        <v>-24493.869322472743</v>
      </c>
      <c r="CR42" s="192">
        <v>-40777.518250650144</v>
      </c>
      <c r="CS42" s="192">
        <v>30346.07229872117</v>
      </c>
      <c r="CW42" s="132"/>
      <c r="CX42" s="276"/>
      <c r="CY42" s="16" t="s">
        <v>7</v>
      </c>
      <c r="CZ42" s="7">
        <v>64.099999999999994</v>
      </c>
      <c r="DA42" s="7">
        <v>85.83</v>
      </c>
      <c r="DB42" s="7">
        <v>77.459999999999994</v>
      </c>
      <c r="DC42" s="7">
        <v>33.89</v>
      </c>
      <c r="DD42" s="7">
        <v>10.93</v>
      </c>
      <c r="DE42" s="7">
        <v>-2.04</v>
      </c>
      <c r="DF42" s="7">
        <v>-4.5</v>
      </c>
      <c r="DG42" s="7">
        <v>0.94</v>
      </c>
      <c r="DH42" s="7">
        <v>-2.5299999999999998</v>
      </c>
      <c r="DI42" s="7">
        <v>-15.54</v>
      </c>
      <c r="DJ42" s="7">
        <v>-24.88</v>
      </c>
      <c r="DK42" s="7">
        <v>-36.93</v>
      </c>
      <c r="DL42" s="7">
        <v>-85.82</v>
      </c>
      <c r="DM42" s="7">
        <v>-96.33</v>
      </c>
      <c r="DN42" s="7">
        <v>-145.97</v>
      </c>
      <c r="DO42" s="7">
        <v>-396.32</v>
      </c>
      <c r="DP42" s="7">
        <v>-370.63</v>
      </c>
      <c r="DQ42" s="7">
        <v>-570.77</v>
      </c>
      <c r="DR42" s="7">
        <v>-815.62</v>
      </c>
      <c r="DS42" s="7">
        <v>-932.3</v>
      </c>
      <c r="DT42" s="7">
        <v>-1040.1600000000001</v>
      </c>
      <c r="DU42" s="7">
        <v>-980.8</v>
      </c>
      <c r="DV42" s="7">
        <v>-1123.8599999999999</v>
      </c>
      <c r="DW42" s="7">
        <v>-1459.69</v>
      </c>
      <c r="DX42" s="7">
        <v>-1741.2</v>
      </c>
      <c r="DY42" s="187">
        <f>SUM('MEEIA 3 calcs'!AA42:AY42)</f>
        <v>-9544.9599999999991</v>
      </c>
      <c r="DZ42" s="200">
        <f>SUM(CZ42:DX42)-DY42</f>
        <v>-27.780000000000655</v>
      </c>
      <c r="EA42" s="132"/>
      <c r="FH42" s="132"/>
    </row>
    <row r="43" spans="1:164" s="4" customFormat="1" ht="15" outlineLevel="1" x14ac:dyDescent="0.25">
      <c r="A43" s="276"/>
      <c r="B43" s="15" t="s">
        <v>13</v>
      </c>
      <c r="C43" s="7">
        <f t="shared" ref="C43:J43" si="36">IF(OR(C41="",C42=""),"",C41+C42)</f>
        <v>0</v>
      </c>
      <c r="D43" s="7">
        <f t="shared" si="36"/>
        <v>10.518979963866</v>
      </c>
      <c r="E43" s="7">
        <f t="shared" si="36"/>
        <v>-1307.724787500274</v>
      </c>
      <c r="F43" s="7">
        <f t="shared" si="36"/>
        <v>-32947.373136481852</v>
      </c>
      <c r="G43" s="7">
        <f t="shared" si="36"/>
        <v>-28912.420370678134</v>
      </c>
      <c r="H43" s="7">
        <f t="shared" si="36"/>
        <v>-29271.834862599459</v>
      </c>
      <c r="I43" s="7">
        <f t="shared" si="36"/>
        <v>-26664.723629877735</v>
      </c>
      <c r="J43" s="7">
        <f t="shared" si="36"/>
        <v>-31042.408955051058</v>
      </c>
      <c r="M43" s="132"/>
      <c r="N43" s="132"/>
      <c r="O43" s="276"/>
      <c r="P43" s="15" t="s">
        <v>12</v>
      </c>
      <c r="Q43" s="7">
        <v>-2430.5599676319835</v>
      </c>
      <c r="R43" s="7">
        <v>13884.756391725808</v>
      </c>
      <c r="S43" s="7">
        <v>-24656.123165404984</v>
      </c>
      <c r="T43" s="7">
        <v>9636.0532806900083</v>
      </c>
      <c r="U43" s="7">
        <v>21257.212078134995</v>
      </c>
      <c r="V43" s="7">
        <v>46513.852892219438</v>
      </c>
      <c r="W43" s="7">
        <v>17963.75752109506</v>
      </c>
      <c r="X43" s="7">
        <v>35839.24270934696</v>
      </c>
      <c r="Y43" s="7">
        <v>28485.142644444233</v>
      </c>
      <c r="Z43" s="89" t="s">
        <v>72</v>
      </c>
      <c r="AA43" s="89" t="s">
        <v>74</v>
      </c>
      <c r="AB43" s="141"/>
      <c r="AC43" s="106"/>
      <c r="AD43" s="106"/>
      <c r="AE43" s="106"/>
      <c r="AF43" s="106"/>
      <c r="AG43" s="106"/>
      <c r="AH43" s="106"/>
      <c r="AI43" s="106"/>
      <c r="AJ43" s="106"/>
      <c r="AK43" s="117"/>
      <c r="BF43" s="132"/>
      <c r="BY43" s="132"/>
      <c r="BZ43" s="276"/>
      <c r="CA43" s="17" t="s">
        <v>16</v>
      </c>
      <c r="CB43" s="192">
        <v>-6512.098706385179</v>
      </c>
      <c r="CC43" s="192">
        <v>-155309.4560941729</v>
      </c>
      <c r="CD43" s="192">
        <v>-134194.53402799944</v>
      </c>
      <c r="CE43" s="192">
        <v>-150320.97380522458</v>
      </c>
      <c r="CF43" s="192">
        <v>-157190.04612458526</v>
      </c>
      <c r="CG43" s="192">
        <v>-179405.39597699291</v>
      </c>
      <c r="CH43" s="192">
        <v>-127316.96331346883</v>
      </c>
      <c r="CK43" s="276"/>
      <c r="CL43" s="17" t="s">
        <v>16</v>
      </c>
      <c r="CM43" s="192">
        <v>-1700.4002298309933</v>
      </c>
      <c r="CN43" s="192">
        <v>-140647.51735010225</v>
      </c>
      <c r="CO43" s="192">
        <v>-103448.1032062499</v>
      </c>
      <c r="CP43" s="192">
        <v>-104396.81466524</v>
      </c>
      <c r="CQ43" s="192">
        <v>-105814.83398771274</v>
      </c>
      <c r="CR43" s="192">
        <v>-125148.22223836288</v>
      </c>
      <c r="CS43" s="192">
        <v>-72622.739939641717</v>
      </c>
      <c r="CW43" s="132"/>
      <c r="CX43" s="276"/>
      <c r="CY43" s="15" t="s">
        <v>13</v>
      </c>
      <c r="CZ43" s="7">
        <v>30998.958333323746</v>
      </c>
      <c r="DA43" s="7">
        <v>94852.797284778368</v>
      </c>
      <c r="DB43" s="7">
        <v>-72320.97950293649</v>
      </c>
      <c r="DC43" s="7">
        <v>-168130.07020115107</v>
      </c>
      <c r="DD43" s="7">
        <v>-98746.186365664355</v>
      </c>
      <c r="DE43" s="7">
        <v>-36657.160222931961</v>
      </c>
      <c r="DF43" s="7">
        <v>23006.589724145306</v>
      </c>
      <c r="DG43" s="7">
        <v>80833.60773878172</v>
      </c>
      <c r="DH43" s="7">
        <v>23092.630478310311</v>
      </c>
      <c r="DI43" s="7">
        <v>-35214.524828463174</v>
      </c>
      <c r="DJ43" s="7">
        <v>-63817.235629800496</v>
      </c>
      <c r="DK43" s="7">
        <v>-55512.322619436316</v>
      </c>
      <c r="DL43" s="7">
        <v>-66726.060037982184</v>
      </c>
      <c r="DM43" s="7">
        <v>-51028.131916664526</v>
      </c>
      <c r="DN43" s="7">
        <v>-159044.83501364035</v>
      </c>
      <c r="DO43" s="7">
        <v>-133597.50728040846</v>
      </c>
      <c r="DP43" s="7">
        <v>-80261.398793329965</v>
      </c>
      <c r="DQ43" s="7">
        <v>-10166.391722205135</v>
      </c>
      <c r="DR43" s="7">
        <v>27914.116987736485</v>
      </c>
      <c r="DS43" s="7">
        <v>73530.136345896506</v>
      </c>
      <c r="DT43" s="7">
        <v>16799.108968651537</v>
      </c>
      <c r="DU43" s="7">
        <v>35783.999759755141</v>
      </c>
      <c r="DV43" s="7">
        <v>-4966.5095508213699</v>
      </c>
      <c r="DW43" s="7">
        <v>-49307.595104756299</v>
      </c>
      <c r="DX43" s="7">
        <v>-80246.513670210479</v>
      </c>
      <c r="DY43" s="187"/>
      <c r="DZ43" s="187"/>
      <c r="EA43" s="132"/>
      <c r="FH43" s="132"/>
    </row>
    <row r="44" spans="1:164" s="4" customFormat="1" ht="15" outlineLevel="1" x14ac:dyDescent="0.25">
      <c r="A44" s="276"/>
      <c r="B44" s="17" t="s">
        <v>17</v>
      </c>
      <c r="C44" s="7">
        <f>IF(OR(C43=""),"",C43)</f>
        <v>0</v>
      </c>
      <c r="D44" s="7">
        <f t="shared" ref="D44:J44" si="37">IF(OR(D43="",C44=""),"",D43+C44)</f>
        <v>10.518979963866</v>
      </c>
      <c r="E44" s="7">
        <f t="shared" si="37"/>
        <v>-1297.205807536408</v>
      </c>
      <c r="F44" s="7">
        <f t="shared" si="37"/>
        <v>-34244.578944018263</v>
      </c>
      <c r="G44" s="7">
        <f t="shared" si="37"/>
        <v>-63156.999314696397</v>
      </c>
      <c r="H44" s="7">
        <f t="shared" si="37"/>
        <v>-92428.834177295852</v>
      </c>
      <c r="I44" s="7">
        <f t="shared" si="37"/>
        <v>-119093.55780717358</v>
      </c>
      <c r="J44" s="7">
        <f t="shared" si="37"/>
        <v>-150135.96676222465</v>
      </c>
      <c r="M44" s="132"/>
      <c r="N44" s="132"/>
      <c r="O44" s="276"/>
      <c r="P44" s="16" t="s">
        <v>7</v>
      </c>
      <c r="Q44" s="7">
        <v>26.58</v>
      </c>
      <c r="R44" s="7">
        <v>77.78</v>
      </c>
      <c r="S44" s="7">
        <v>30.14</v>
      </c>
      <c r="T44" s="7">
        <v>6.52</v>
      </c>
      <c r="U44" s="7">
        <v>10.210000000000001</v>
      </c>
      <c r="V44" s="7">
        <v>26.38</v>
      </c>
      <c r="W44" s="7">
        <v>22.8</v>
      </c>
      <c r="X44" s="7">
        <v>26.26</v>
      </c>
      <c r="Y44" s="7">
        <v>49.59</v>
      </c>
      <c r="Z44" s="90">
        <v>197.73</v>
      </c>
      <c r="AA44" s="96">
        <v>78.53</v>
      </c>
      <c r="AB44" s="141"/>
      <c r="AC44" s="106"/>
      <c r="AD44" s="106"/>
      <c r="AE44" s="106"/>
      <c r="AF44" s="106"/>
      <c r="AG44" s="106"/>
      <c r="AH44" s="106"/>
      <c r="AI44" s="106"/>
      <c r="AJ44" s="106"/>
      <c r="AK44" s="118"/>
      <c r="BF44" s="132"/>
      <c r="BY44" s="132"/>
      <c r="BZ44" s="35"/>
      <c r="CA44" s="11"/>
      <c r="CB44" s="2"/>
      <c r="CC44" s="2"/>
      <c r="CD44" s="2"/>
      <c r="CE44" s="2"/>
      <c r="CF44" s="2"/>
      <c r="CG44" s="2"/>
      <c r="CH44" s="2"/>
      <c r="CK44" s="35"/>
      <c r="CL44" s="11"/>
      <c r="CM44" s="2"/>
      <c r="CN44" s="2"/>
      <c r="CO44" s="2"/>
      <c r="CP44" s="2"/>
      <c r="CQ44" s="2"/>
      <c r="CR44" s="2"/>
      <c r="CS44" s="2"/>
      <c r="CW44" s="132"/>
      <c r="CX44" s="276"/>
      <c r="CY44" s="17" t="s">
        <v>15</v>
      </c>
      <c r="CZ44" s="7">
        <v>384650.777299857</v>
      </c>
      <c r="DA44" s="7">
        <v>499731.5345846354</v>
      </c>
      <c r="DB44" s="7">
        <v>400334.68508169893</v>
      </c>
      <c r="DC44" s="7">
        <v>190334.69488054788</v>
      </c>
      <c r="DD44" s="7">
        <v>58284.938514883514</v>
      </c>
      <c r="DE44" s="7">
        <v>-10932.511708048449</v>
      </c>
      <c r="DF44" s="7">
        <v>-26767.311983903142</v>
      </c>
      <c r="DG44" s="7">
        <v>8088.3157548785748</v>
      </c>
      <c r="DH44" s="7">
        <v>-14814.433766811111</v>
      </c>
      <c r="DI44" s="7">
        <v>-96503.338595274283</v>
      </c>
      <c r="DJ44" s="7">
        <v>-199086.02422507477</v>
      </c>
      <c r="DK44" s="7">
        <v>-289258.13684451109</v>
      </c>
      <c r="DL44" s="7">
        <v>-395473.84688249324</v>
      </c>
      <c r="DM44" s="7">
        <v>-493135.90879915777</v>
      </c>
      <c r="DN44" s="7">
        <v>-592208.86381279817</v>
      </c>
      <c r="DO44" s="7">
        <v>-691346.16109320661</v>
      </c>
      <c r="DP44" s="7">
        <v>-741125.44988653657</v>
      </c>
      <c r="DQ44" s="7">
        <v>-721768.41160874174</v>
      </c>
      <c r="DR44" s="7">
        <v>-659516.4146210053</v>
      </c>
      <c r="DS44" s="7">
        <v>-544894.35827510874</v>
      </c>
      <c r="DT44" s="7">
        <v>-487844.38930645719</v>
      </c>
      <c r="DU44" s="7">
        <v>-415154.92954670207</v>
      </c>
      <c r="DV44" s="7">
        <v>-389766.48909752344</v>
      </c>
      <c r="DW44" s="7">
        <v>-410135.88420227973</v>
      </c>
      <c r="DX44" s="7">
        <v>-454236.07787249022</v>
      </c>
      <c r="DY44" s="187"/>
      <c r="DZ44" s="187"/>
      <c r="EA44" s="132"/>
      <c r="FH44" s="132"/>
    </row>
    <row r="45" spans="1:164" s="4" customFormat="1" ht="20.25" customHeight="1" outlineLevel="1" x14ac:dyDescent="0.25">
      <c r="A45" s="35"/>
      <c r="B45" s="11"/>
      <c r="C45" s="12"/>
      <c r="D45" s="12"/>
      <c r="E45" s="12"/>
      <c r="F45" s="12"/>
      <c r="G45" s="12"/>
      <c r="H45" s="12"/>
      <c r="I45" s="12"/>
      <c r="J45" s="12"/>
      <c r="M45" s="132"/>
      <c r="N45" s="132"/>
      <c r="O45" s="276"/>
      <c r="P45" s="15" t="s">
        <v>13</v>
      </c>
      <c r="Q45" s="7">
        <v>-2403.9799676319835</v>
      </c>
      <c r="R45" s="7">
        <v>13962.536391725809</v>
      </c>
      <c r="S45" s="7">
        <v>-24625.983165404985</v>
      </c>
      <c r="T45" s="7">
        <v>9642.5732806900087</v>
      </c>
      <c r="U45" s="7">
        <v>21267.422078134994</v>
      </c>
      <c r="V45" s="7">
        <v>46540.232892219436</v>
      </c>
      <c r="W45" s="7">
        <v>17986.557521095059</v>
      </c>
      <c r="X45" s="7">
        <v>35865.502709346962</v>
      </c>
      <c r="Y45" s="7">
        <v>28534.732644444233</v>
      </c>
      <c r="AB45" s="141"/>
      <c r="AC45" s="106"/>
      <c r="AD45" s="106"/>
      <c r="AE45" s="106"/>
      <c r="AF45" s="106"/>
      <c r="AG45" s="106"/>
      <c r="AH45" s="106"/>
      <c r="AI45" s="106"/>
      <c r="AJ45" s="106"/>
      <c r="BF45" s="132"/>
      <c r="BY45" s="132"/>
      <c r="BZ45" s="276" t="s">
        <v>22</v>
      </c>
      <c r="CA45" s="14"/>
      <c r="CB45" s="2"/>
      <c r="CC45" s="2"/>
      <c r="CD45" s="2"/>
      <c r="CE45" s="2"/>
      <c r="CF45" s="2"/>
      <c r="CG45" s="2"/>
      <c r="CH45" s="2"/>
      <c r="CK45" s="276" t="s">
        <v>22</v>
      </c>
      <c r="CL45" s="14"/>
      <c r="CM45" s="2"/>
      <c r="CN45" s="2"/>
      <c r="CO45" s="2"/>
      <c r="CP45" s="2"/>
      <c r="CQ45" s="2"/>
      <c r="CR45" s="2"/>
      <c r="CS45" s="2"/>
      <c r="CW45" s="132"/>
      <c r="CX45" s="35"/>
      <c r="CY45" s="11"/>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87"/>
      <c r="DZ45" s="187"/>
      <c r="EA45" s="132"/>
      <c r="FH45" s="132"/>
    </row>
    <row r="46" spans="1:164" s="4" customFormat="1" ht="15" customHeight="1" outlineLevel="1" x14ac:dyDescent="0.25">
      <c r="A46" s="276" t="s">
        <v>23</v>
      </c>
      <c r="B46" s="14"/>
      <c r="C46" s="7"/>
      <c r="D46" s="7"/>
      <c r="E46" s="7"/>
      <c r="F46" s="7"/>
      <c r="G46" s="7"/>
      <c r="H46" s="7"/>
      <c r="I46" s="7"/>
      <c r="J46" s="7"/>
      <c r="M46" s="132"/>
      <c r="N46" s="132"/>
      <c r="O46" s="276"/>
      <c r="P46" s="17" t="s">
        <v>15</v>
      </c>
      <c r="Q46" s="7">
        <v>17709.387711885101</v>
      </c>
      <c r="R46" s="7">
        <v>49500.744103610908</v>
      </c>
      <c r="S46" s="7">
        <v>38573.100938205927</v>
      </c>
      <c r="T46" s="7">
        <v>60635.35421889594</v>
      </c>
      <c r="U46" s="7">
        <v>97498.206297030934</v>
      </c>
      <c r="V46" s="7">
        <v>163457.61918925037</v>
      </c>
      <c r="W46" s="7">
        <v>200372.05671034544</v>
      </c>
      <c r="X46" s="7">
        <v>254355.9894196924</v>
      </c>
      <c r="Y46" s="7">
        <v>297576.95206413663</v>
      </c>
      <c r="AB46" s="141"/>
      <c r="AC46" s="106"/>
      <c r="AD46" s="106"/>
      <c r="AE46" s="106"/>
      <c r="AF46" s="106"/>
      <c r="AG46" s="106"/>
      <c r="AH46" s="106"/>
      <c r="AI46" s="106"/>
      <c r="AJ46" s="106"/>
      <c r="BF46" s="132"/>
      <c r="BY46" s="132"/>
      <c r="BZ46" s="276"/>
      <c r="CA46" s="14" t="s">
        <v>27</v>
      </c>
      <c r="CB46" s="192">
        <v>93253.892629017733</v>
      </c>
      <c r="CC46" s="192">
        <v>103488.5984224446</v>
      </c>
      <c r="CD46" s="192">
        <v>144414.82989089785</v>
      </c>
      <c r="CE46" s="192">
        <v>110066.63506595949</v>
      </c>
      <c r="CF46" s="192">
        <v>50328.1679847302</v>
      </c>
      <c r="CG46" s="192">
        <v>48818.637830727937</v>
      </c>
      <c r="CH46" s="192">
        <v>69139.5977047872</v>
      </c>
      <c r="CK46" s="276"/>
      <c r="CL46" s="14" t="s">
        <v>27</v>
      </c>
      <c r="CM46" s="192">
        <v>94499.435722133203</v>
      </c>
      <c r="CN46" s="192">
        <v>106373.63204827519</v>
      </c>
      <c r="CO46" s="192">
        <v>148860.54934641003</v>
      </c>
      <c r="CP46" s="192">
        <v>113969.38798552775</v>
      </c>
      <c r="CQ46" s="192">
        <v>51770.931765260808</v>
      </c>
      <c r="CR46" s="192">
        <v>49637.482299138559</v>
      </c>
      <c r="CS46" s="192">
        <v>69257.34742855576</v>
      </c>
      <c r="CW46" s="132"/>
      <c r="CX46" s="276" t="s">
        <v>21</v>
      </c>
      <c r="CY46" s="14"/>
      <c r="CZ46" s="7"/>
      <c r="DA46" s="7"/>
      <c r="DB46" s="7"/>
      <c r="DC46" s="7"/>
      <c r="DD46" s="7"/>
      <c r="DE46" s="7"/>
      <c r="DF46" s="7"/>
      <c r="DG46" s="7"/>
      <c r="DH46" s="7"/>
      <c r="DI46" s="7"/>
      <c r="DJ46" s="7"/>
      <c r="DK46" s="7"/>
      <c r="DL46" s="7"/>
      <c r="DM46" s="7"/>
      <c r="DN46" s="7"/>
      <c r="DO46" s="7"/>
      <c r="DP46" s="7"/>
      <c r="DQ46" s="7"/>
      <c r="DR46" s="7"/>
      <c r="DS46" s="7"/>
      <c r="DT46" s="7"/>
      <c r="DU46" s="7"/>
      <c r="DV46" s="108">
        <v>54573.283373827086</v>
      </c>
      <c r="DW46" s="7"/>
      <c r="DX46" s="7"/>
      <c r="DY46" s="187"/>
      <c r="DZ46" s="187"/>
      <c r="EA46" s="132"/>
      <c r="FH46" s="132"/>
    </row>
    <row r="47" spans="1:164" s="2" customFormat="1" ht="15" customHeight="1" outlineLevel="1" x14ac:dyDescent="0.25">
      <c r="A47" s="276"/>
      <c r="B47" s="14" t="s">
        <v>27</v>
      </c>
      <c r="C47" s="19">
        <f>C91</f>
        <v>0</v>
      </c>
      <c r="D47" s="19">
        <f t="shared" ref="D47:J47" si="38">D91</f>
        <v>0</v>
      </c>
      <c r="E47" s="19">
        <f t="shared" si="38"/>
        <v>178.04544936482247</v>
      </c>
      <c r="F47" s="19">
        <f t="shared" si="38"/>
        <v>661.15950808601849</v>
      </c>
      <c r="G47" s="19">
        <f t="shared" si="38"/>
        <v>877.99265710747466</v>
      </c>
      <c r="H47" s="19">
        <f t="shared" si="38"/>
        <v>967.48184726463296</v>
      </c>
      <c r="I47" s="19">
        <f t="shared" si="38"/>
        <v>1381.2114306574015</v>
      </c>
      <c r="J47" s="19">
        <f t="shared" si="38"/>
        <v>1095.1994877590121</v>
      </c>
      <c r="M47" s="133"/>
      <c r="N47" s="133"/>
      <c r="O47" s="35"/>
      <c r="P47" s="11"/>
      <c r="Q47" s="12"/>
      <c r="R47" s="12"/>
      <c r="S47" s="12"/>
      <c r="T47" s="12"/>
      <c r="U47" s="12"/>
      <c r="V47" s="12"/>
      <c r="W47" s="12"/>
      <c r="X47" s="12"/>
      <c r="Y47" s="12"/>
      <c r="Z47" s="4"/>
      <c r="AA47" s="4"/>
      <c r="AB47" s="141"/>
      <c r="AC47" s="106"/>
      <c r="AD47" s="106"/>
      <c r="AE47" s="106"/>
      <c r="AF47" s="106"/>
      <c r="AG47" s="106"/>
      <c r="AH47" s="106"/>
      <c r="AI47" s="106"/>
      <c r="AJ47" s="106"/>
      <c r="AK47" s="4"/>
      <c r="BF47" s="133"/>
      <c r="BY47" s="133"/>
      <c r="BZ47" s="276"/>
      <c r="CA47" s="15" t="s">
        <v>25</v>
      </c>
      <c r="CB47" s="192">
        <v>171603.607119394</v>
      </c>
      <c r="CC47" s="192">
        <v>225113.97993017494</v>
      </c>
      <c r="CD47" s="192">
        <v>217125.39653110137</v>
      </c>
      <c r="CE47" s="192">
        <v>162221.33538769459</v>
      </c>
      <c r="CF47" s="192">
        <v>84753.684454895163</v>
      </c>
      <c r="CG47" s="192">
        <v>72198.807943159496</v>
      </c>
      <c r="CH47" s="192">
        <v>84979.402614517516</v>
      </c>
      <c r="CK47" s="276"/>
      <c r="CL47" s="15" t="s">
        <v>25</v>
      </c>
      <c r="CM47" s="192">
        <v>170938.27536408586</v>
      </c>
      <c r="CN47" s="192">
        <v>223626.59508106788</v>
      </c>
      <c r="CO47" s="192">
        <v>214644.25749630781</v>
      </c>
      <c r="CP47" s="192">
        <v>159960.98877011714</v>
      </c>
      <c r="CQ47" s="192">
        <v>83957.029881736671</v>
      </c>
      <c r="CR47" s="192">
        <v>71737.991738818018</v>
      </c>
      <c r="CS47" s="192">
        <v>84924.677214678944</v>
      </c>
      <c r="CW47" s="133"/>
      <c r="CX47" s="276"/>
      <c r="CY47" s="14" t="s">
        <v>27</v>
      </c>
      <c r="CZ47" s="19">
        <v>171784.13279113677</v>
      </c>
      <c r="DA47" s="19">
        <v>283797.45031291858</v>
      </c>
      <c r="DB47" s="19">
        <v>210481.86723637651</v>
      </c>
      <c r="DC47" s="19">
        <v>232927.56555946911</v>
      </c>
      <c r="DD47" s="19">
        <v>221111.27962203597</v>
      </c>
      <c r="DE47" s="19">
        <v>314679.79966629087</v>
      </c>
      <c r="DF47" s="19">
        <v>715299.40366319334</v>
      </c>
      <c r="DG47" s="19">
        <v>953627.42461110547</v>
      </c>
      <c r="DH47" s="19">
        <v>939310.43288894033</v>
      </c>
      <c r="DI47" s="19">
        <v>659615.18241367524</v>
      </c>
      <c r="DJ47" s="19">
        <v>353569.18814987835</v>
      </c>
      <c r="DK47" s="19">
        <v>343727.65210763505</v>
      </c>
      <c r="DL47" s="19">
        <v>418850.04670264991</v>
      </c>
      <c r="DM47" s="19">
        <v>627056.98298263596</v>
      </c>
      <c r="DN47" s="19">
        <v>475288.11809378932</v>
      </c>
      <c r="DO47" s="19">
        <v>288997.35659879085</v>
      </c>
      <c r="DP47" s="19">
        <v>253245.26358346242</v>
      </c>
      <c r="DQ47" s="19">
        <v>337719.24594805558</v>
      </c>
      <c r="DR47" s="19">
        <v>917413.81462190335</v>
      </c>
      <c r="DS47" s="19">
        <v>1145597.0197120309</v>
      </c>
      <c r="DT47" s="19">
        <v>988866.58881189337</v>
      </c>
      <c r="DU47" s="19">
        <v>672365.26793086936</v>
      </c>
      <c r="DV47" s="19">
        <v>344986.1375718661</v>
      </c>
      <c r="DW47" s="19">
        <v>367525.10463732504</v>
      </c>
      <c r="DX47" s="19">
        <v>468411.57966709038</v>
      </c>
      <c r="DY47" s="198"/>
      <c r="DZ47" s="198"/>
      <c r="EA47" s="133"/>
      <c r="FH47" s="133"/>
    </row>
    <row r="48" spans="1:164" s="4" customFormat="1" ht="15" customHeight="1" outlineLevel="1" x14ac:dyDescent="0.25">
      <c r="A48" s="276"/>
      <c r="B48" s="15" t="s">
        <v>25</v>
      </c>
      <c r="C48" s="19">
        <f>IF('M3 Allocations - TD'!D55="","",'M3 Allocations - TD'!D73)</f>
        <v>0</v>
      </c>
      <c r="D48" s="19">
        <f>IF('M3 Allocations - TD'!E55="","",'M3 Allocations - TD'!E73)</f>
        <v>0</v>
      </c>
      <c r="E48" s="19">
        <f>IF('M3 Allocations - TD'!F55="","",'M3 Allocations - TD'!F73)</f>
        <v>-48.583419353926594</v>
      </c>
      <c r="F48" s="19">
        <f>IF('M3 Allocations - TD'!G55="","",'M3 Allocations - TD'!G73)</f>
        <v>4125.9071778961579</v>
      </c>
      <c r="G48" s="19">
        <f>IF('M3 Allocations - TD'!H55="","",'M3 Allocations - TD'!H73)</f>
        <v>6806.3797850987785</v>
      </c>
      <c r="H48" s="19">
        <f>IF('M3 Allocations - TD'!I55="","",'M3 Allocations - TD'!I73)</f>
        <v>7524.9044581782691</v>
      </c>
      <c r="I48" s="19">
        <f>IF('M3 Allocations - TD'!J55="","",'M3 Allocations - TD'!J73)</f>
        <v>7658.4495072300715</v>
      </c>
      <c r="J48" s="19">
        <f>IF('M3 Allocations - TD'!K55="","",'M3 Allocations - TD'!K73)</f>
        <v>7241.6490844376849</v>
      </c>
      <c r="M48" s="132"/>
      <c r="N48" s="132"/>
      <c r="O48" s="276" t="s">
        <v>21</v>
      </c>
      <c r="P48" s="14"/>
      <c r="Q48" s="7"/>
      <c r="R48" s="7"/>
      <c r="S48" s="7"/>
      <c r="T48" s="7"/>
      <c r="U48" s="7"/>
      <c r="V48" s="7"/>
      <c r="W48" s="7"/>
      <c r="X48" s="7"/>
      <c r="Y48" s="7"/>
      <c r="AB48" s="141"/>
      <c r="AC48" s="106"/>
      <c r="AD48" s="106"/>
      <c r="AE48" s="106"/>
      <c r="AF48" s="106"/>
      <c r="AG48" s="106"/>
      <c r="AH48" s="106"/>
      <c r="AI48" s="106"/>
      <c r="AJ48" s="106"/>
      <c r="BF48" s="132"/>
      <c r="BY48" s="132"/>
      <c r="BZ48" s="276"/>
      <c r="CA48" s="15" t="s">
        <v>45</v>
      </c>
      <c r="CB48" s="192">
        <v>-8146.01</v>
      </c>
      <c r="CC48" s="192">
        <v>-10707.36</v>
      </c>
      <c r="CD48" s="192">
        <v>-10340.290000000001</v>
      </c>
      <c r="CE48" s="192">
        <v>58728.46</v>
      </c>
      <c r="CF48" s="192">
        <v>30610.37</v>
      </c>
      <c r="CG48" s="192">
        <v>26134.63</v>
      </c>
      <c r="CH48" s="192">
        <v>30515.41</v>
      </c>
      <c r="CK48" s="276"/>
      <c r="CL48" s="15" t="s">
        <v>45</v>
      </c>
      <c r="CM48" s="192">
        <v>-8146.01</v>
      </c>
      <c r="CN48" s="192">
        <v>-10707.36</v>
      </c>
      <c r="CO48" s="192">
        <v>-10340.290000000001</v>
      </c>
      <c r="CP48" s="192">
        <v>58728.46</v>
      </c>
      <c r="CQ48" s="192">
        <v>30610.37</v>
      </c>
      <c r="CR48" s="192">
        <v>26134.63</v>
      </c>
      <c r="CS48" s="192">
        <v>30515.41</v>
      </c>
      <c r="CW48" s="132"/>
      <c r="CX48" s="276"/>
      <c r="CY48" s="15" t="s">
        <v>25</v>
      </c>
      <c r="CZ48" s="19">
        <v>96572.606390330679</v>
      </c>
      <c r="DA48" s="19">
        <v>102973.56100695563</v>
      </c>
      <c r="DB48" s="19">
        <v>317054.12799449282</v>
      </c>
      <c r="DC48" s="19">
        <v>555274.69988765684</v>
      </c>
      <c r="DD48" s="19">
        <v>496959.09444564459</v>
      </c>
      <c r="DE48" s="19">
        <v>507462.60422851134</v>
      </c>
      <c r="DF48" s="19">
        <v>564396.00989380945</v>
      </c>
      <c r="DG48" s="19">
        <v>660447.26760719228</v>
      </c>
      <c r="DH48" s="19">
        <v>654260.67532357096</v>
      </c>
      <c r="DI48" s="19">
        <v>666957.41235823918</v>
      </c>
      <c r="DJ48" s="19">
        <v>587413.62430156593</v>
      </c>
      <c r="DK48" s="19">
        <v>519976.82051891321</v>
      </c>
      <c r="DL48" s="19">
        <v>567613.70409043762</v>
      </c>
      <c r="DM48" s="19">
        <v>605915.85091646248</v>
      </c>
      <c r="DN48" s="19">
        <v>491377.50787101442</v>
      </c>
      <c r="DO48" s="19">
        <v>295776.31891815155</v>
      </c>
      <c r="DP48" s="19">
        <v>275370.89343587006</v>
      </c>
      <c r="DQ48" s="19">
        <v>285530.13328453153</v>
      </c>
      <c r="DR48" s="19">
        <v>320626.18147462484</v>
      </c>
      <c r="DS48" s="19">
        <v>359045.8467287785</v>
      </c>
      <c r="DT48" s="19">
        <v>356393.75583709526</v>
      </c>
      <c r="DU48" s="19">
        <v>340966.67570072628</v>
      </c>
      <c r="DV48" s="19">
        <v>293032.69252515415</v>
      </c>
      <c r="DW48" s="19">
        <v>284530.72242752794</v>
      </c>
      <c r="DX48" s="19">
        <v>315151.4942720079</v>
      </c>
      <c r="DY48" s="187"/>
      <c r="DZ48" s="187"/>
      <c r="EA48" s="132"/>
      <c r="FH48" s="132"/>
    </row>
    <row r="49" spans="1:164" s="4" customFormat="1" ht="15" customHeight="1" outlineLevel="1" x14ac:dyDescent="0.25">
      <c r="A49" s="276"/>
      <c r="B49" s="15" t="s">
        <v>45</v>
      </c>
      <c r="C49" s="19">
        <f>IF(C48="","",0)</f>
        <v>0</v>
      </c>
      <c r="D49" s="19">
        <f t="shared" ref="D49:I49" si="39">IF(D48="","",0)</f>
        <v>0</v>
      </c>
      <c r="E49" s="19">
        <f t="shared" si="39"/>
        <v>0</v>
      </c>
      <c r="F49" s="19">
        <f t="shared" si="39"/>
        <v>0</v>
      </c>
      <c r="G49" s="19">
        <f t="shared" si="39"/>
        <v>0</v>
      </c>
      <c r="H49" s="19">
        <f t="shared" si="39"/>
        <v>0</v>
      </c>
      <c r="I49" s="19">
        <f t="shared" si="39"/>
        <v>0</v>
      </c>
      <c r="J49" s="19">
        <f>IF(J48="","",0)</f>
        <v>0</v>
      </c>
      <c r="M49" s="132"/>
      <c r="N49" s="132"/>
      <c r="O49" s="276"/>
      <c r="P49" s="14" t="s">
        <v>27</v>
      </c>
      <c r="Q49" s="19">
        <v>122696.92137199735</v>
      </c>
      <c r="R49" s="19">
        <v>123411.87388052933</v>
      </c>
      <c r="S49" s="19">
        <v>47446.211556775474</v>
      </c>
      <c r="T49" s="19">
        <v>83556.534245541465</v>
      </c>
      <c r="U49" s="19">
        <v>189049.36683437167</v>
      </c>
      <c r="V49" s="19">
        <v>265484.4397628404</v>
      </c>
      <c r="W49" s="19">
        <v>248590.59560852987</v>
      </c>
      <c r="X49" s="19">
        <v>229992.78825383674</v>
      </c>
      <c r="Y49" s="19">
        <v>142655.78999924072</v>
      </c>
      <c r="Z49" s="2"/>
      <c r="AA49" s="2"/>
      <c r="AB49" s="141"/>
      <c r="AC49" s="106"/>
      <c r="AD49" s="106"/>
      <c r="AE49" s="106"/>
      <c r="AF49" s="106"/>
      <c r="AG49" s="106"/>
      <c r="AH49" s="106"/>
      <c r="AI49" s="106"/>
      <c r="AJ49" s="106"/>
      <c r="AK49" s="2"/>
      <c r="BF49" s="132"/>
      <c r="BY49" s="132"/>
      <c r="BZ49" s="276"/>
      <c r="CA49" s="15" t="s">
        <v>46</v>
      </c>
      <c r="CB49" s="192">
        <v>163457.59711939399</v>
      </c>
      <c r="CC49" s="192">
        <v>214406.61993017496</v>
      </c>
      <c r="CD49" s="192">
        <v>206785.10653110137</v>
      </c>
      <c r="CE49" s="192">
        <v>220949.79538769458</v>
      </c>
      <c r="CF49" s="192">
        <v>115364.05445489516</v>
      </c>
      <c r="CG49" s="192">
        <v>98333.437943159501</v>
      </c>
      <c r="CH49" s="192">
        <v>115494.81261451752</v>
      </c>
      <c r="CK49" s="276"/>
      <c r="CL49" s="15" t="s">
        <v>46</v>
      </c>
      <c r="CM49" s="192">
        <v>162792.26536408585</v>
      </c>
      <c r="CN49" s="192">
        <v>212919.23508106789</v>
      </c>
      <c r="CO49" s="192">
        <v>204303.9674963078</v>
      </c>
      <c r="CP49" s="192">
        <v>218689.44877011713</v>
      </c>
      <c r="CQ49" s="192">
        <v>114567.39988173667</v>
      </c>
      <c r="CR49" s="192">
        <v>97872.621738818023</v>
      </c>
      <c r="CS49" s="192">
        <v>115440.08721467895</v>
      </c>
      <c r="CT49" s="4" t="s">
        <v>105</v>
      </c>
      <c r="CU49" s="4" t="s">
        <v>106</v>
      </c>
      <c r="CV49" s="4" t="s">
        <v>107</v>
      </c>
      <c r="CW49" s="132"/>
      <c r="CX49" s="276"/>
      <c r="CY49" s="15" t="s">
        <v>45</v>
      </c>
      <c r="CZ49" s="19">
        <v>37469.9</v>
      </c>
      <c r="DA49" s="19">
        <v>40157.82</v>
      </c>
      <c r="DB49" s="19">
        <v>-26804.880000000001</v>
      </c>
      <c r="DC49" s="19">
        <v>-46741.51</v>
      </c>
      <c r="DD49" s="19">
        <v>-41624.800000000003</v>
      </c>
      <c r="DE49" s="19">
        <v>-42397.51</v>
      </c>
      <c r="DF49" s="19">
        <v>-47114.93</v>
      </c>
      <c r="DG49" s="19">
        <v>-55182.37</v>
      </c>
      <c r="DH49" s="19">
        <v>-54689.09</v>
      </c>
      <c r="DI49" s="19">
        <v>-55739.85</v>
      </c>
      <c r="DJ49" s="19">
        <v>-48995.69</v>
      </c>
      <c r="DK49" s="19">
        <v>-43533.32</v>
      </c>
      <c r="DL49" s="19">
        <v>-47580.19</v>
      </c>
      <c r="DM49" s="19">
        <v>-50865.22</v>
      </c>
      <c r="DN49" s="19">
        <v>38543.78</v>
      </c>
      <c r="DO49" s="19">
        <v>23075.85</v>
      </c>
      <c r="DP49" s="19">
        <v>21444.13</v>
      </c>
      <c r="DQ49" s="19">
        <v>22179.41</v>
      </c>
      <c r="DR49" s="19">
        <v>24889.02</v>
      </c>
      <c r="DS49" s="19">
        <v>27910.6</v>
      </c>
      <c r="DT49" s="19">
        <v>27712.27</v>
      </c>
      <c r="DU49" s="19">
        <v>26504</v>
      </c>
      <c r="DV49" s="19">
        <v>22775.33</v>
      </c>
      <c r="DW49" s="19">
        <v>22147.35</v>
      </c>
      <c r="DX49" s="19">
        <v>24687.83</v>
      </c>
      <c r="DY49" s="187"/>
      <c r="DZ49" s="187"/>
      <c r="EA49" s="132"/>
      <c r="FH49" s="132"/>
    </row>
    <row r="50" spans="1:164" s="4" customFormat="1" ht="15" customHeight="1" outlineLevel="1" x14ac:dyDescent="0.25">
      <c r="A50" s="276"/>
      <c r="B50" s="15" t="s">
        <v>46</v>
      </c>
      <c r="C50" s="7">
        <f t="shared" ref="C50:I50" si="40">IF(OR(C49="",C48=""),"",C48+C49)</f>
        <v>0</v>
      </c>
      <c r="D50" s="7">
        <f t="shared" si="40"/>
        <v>0</v>
      </c>
      <c r="E50" s="7">
        <f t="shared" si="40"/>
        <v>-48.583419353926594</v>
      </c>
      <c r="F50" s="7">
        <f t="shared" si="40"/>
        <v>4125.9071778961579</v>
      </c>
      <c r="G50" s="7">
        <f t="shared" si="40"/>
        <v>6806.3797850987785</v>
      </c>
      <c r="H50" s="7">
        <f t="shared" si="40"/>
        <v>7524.9044581782691</v>
      </c>
      <c r="I50" s="7">
        <f t="shared" si="40"/>
        <v>7658.4495072300715</v>
      </c>
      <c r="J50" s="7">
        <f>IF(OR(J49="",J48=""),"",J48+J49)</f>
        <v>7241.6490844376849</v>
      </c>
      <c r="M50" s="132"/>
      <c r="N50" s="132"/>
      <c r="O50" s="276"/>
      <c r="P50" s="15" t="s">
        <v>25</v>
      </c>
      <c r="Q50" s="19">
        <v>104313.87773241718</v>
      </c>
      <c r="R50" s="19">
        <v>98420.974410363575</v>
      </c>
      <c r="S50" s="19">
        <v>84560.155028366615</v>
      </c>
      <c r="T50" s="19">
        <v>79147.524446379844</v>
      </c>
      <c r="U50" s="19">
        <v>94049.927973792379</v>
      </c>
      <c r="V50" s="19">
        <v>109708.48677351972</v>
      </c>
      <c r="W50" s="19">
        <v>109463.73998502946</v>
      </c>
      <c r="X50" s="19">
        <v>109154.24836711264</v>
      </c>
      <c r="Y50" s="19">
        <v>93111.170115006884</v>
      </c>
      <c r="AB50" s="141"/>
      <c r="AC50" s="106"/>
      <c r="AD50" s="106"/>
      <c r="AE50" s="106"/>
      <c r="AF50" s="106"/>
      <c r="AG50" s="106"/>
      <c r="AH50" s="106"/>
      <c r="AI50" s="106"/>
      <c r="AJ50" s="106"/>
      <c r="BF50" s="132"/>
      <c r="BY50" s="132"/>
      <c r="BZ50" s="276"/>
      <c r="CA50" s="15" t="s">
        <v>12</v>
      </c>
      <c r="CB50" s="192">
        <v>-70203.704490376258</v>
      </c>
      <c r="CC50" s="192">
        <v>-110918.02150773036</v>
      </c>
      <c r="CD50" s="192">
        <v>-62370.276640203519</v>
      </c>
      <c r="CE50" s="192">
        <v>-110883.16032173509</v>
      </c>
      <c r="CF50" s="192">
        <v>-65035.886470164958</v>
      </c>
      <c r="CG50" s="192">
        <v>-49514.800112431563</v>
      </c>
      <c r="CH50" s="192">
        <v>-46355.214909730319</v>
      </c>
      <c r="CK50" s="276"/>
      <c r="CL50" s="15" t="s">
        <v>12</v>
      </c>
      <c r="CM50" s="192">
        <v>-68292.829641952645</v>
      </c>
      <c r="CN50" s="192">
        <v>-106545.6030327927</v>
      </c>
      <c r="CO50" s="192">
        <v>-55443.41814989777</v>
      </c>
      <c r="CP50" s="192">
        <v>-104720.06078458938</v>
      </c>
      <c r="CQ50" s="192">
        <v>-62796.468116475859</v>
      </c>
      <c r="CR50" s="192">
        <v>-48235.139439679464</v>
      </c>
      <c r="CS50" s="192">
        <v>-46182.739786123188</v>
      </c>
      <c r="CT50" s="193">
        <f>SUM(CM50:CS50)</f>
        <v>-492216.258951511</v>
      </c>
      <c r="CU50" s="193">
        <f>SUM(CB50:CH50)</f>
        <v>-515281.06445237203</v>
      </c>
      <c r="CV50" s="193">
        <f>CT50-CU50</f>
        <v>23064.805500861024</v>
      </c>
      <c r="CW50" s="132"/>
      <c r="CX50" s="276"/>
      <c r="CY50" s="15" t="s">
        <v>46</v>
      </c>
      <c r="CZ50" s="7">
        <v>134042.50639033067</v>
      </c>
      <c r="DA50" s="7">
        <v>143131.38100695563</v>
      </c>
      <c r="DB50" s="7">
        <v>290249.24799449282</v>
      </c>
      <c r="DC50" s="7">
        <v>508533.18988765683</v>
      </c>
      <c r="DD50" s="7">
        <v>455334.2944456446</v>
      </c>
      <c r="DE50" s="7">
        <v>465065.09422851133</v>
      </c>
      <c r="DF50" s="7">
        <v>517281.07989380945</v>
      </c>
      <c r="DG50" s="7">
        <v>605264.89760719228</v>
      </c>
      <c r="DH50" s="7">
        <v>599571.58532357099</v>
      </c>
      <c r="DI50" s="7">
        <v>611217.5623582392</v>
      </c>
      <c r="DJ50" s="7">
        <v>538417.93430156587</v>
      </c>
      <c r="DK50" s="7">
        <v>476443.50051891321</v>
      </c>
      <c r="DL50" s="7">
        <v>520033.51409043762</v>
      </c>
      <c r="DM50" s="7">
        <v>555050.63091646251</v>
      </c>
      <c r="DN50" s="7">
        <v>529921.28787101444</v>
      </c>
      <c r="DO50" s="7">
        <v>318852.16891815152</v>
      </c>
      <c r="DP50" s="7">
        <v>296815.02343587007</v>
      </c>
      <c r="DQ50" s="7">
        <v>307709.54328453151</v>
      </c>
      <c r="DR50" s="7">
        <v>345515.20147462486</v>
      </c>
      <c r="DS50" s="7">
        <v>386956.44672877848</v>
      </c>
      <c r="DT50" s="7">
        <v>384106.02583709528</v>
      </c>
      <c r="DU50" s="7">
        <v>367470.67570072628</v>
      </c>
      <c r="DV50" s="7">
        <v>315808.02252515417</v>
      </c>
      <c r="DW50" s="7">
        <v>306678.07242752792</v>
      </c>
      <c r="DX50" s="7">
        <v>339839.32427200791</v>
      </c>
      <c r="DY50" s="187"/>
      <c r="DZ50" s="187"/>
      <c r="EA50" s="132"/>
      <c r="FH50" s="132"/>
    </row>
    <row r="51" spans="1:164" s="4" customFormat="1" ht="15" outlineLevel="1" x14ac:dyDescent="0.25">
      <c r="A51" s="276"/>
      <c r="B51" s="15" t="s">
        <v>12</v>
      </c>
      <c r="C51" s="7">
        <f t="shared" ref="C51:I51" si="41">IF(OR(C48="",C47=""),"",C47-C48)</f>
        <v>0</v>
      </c>
      <c r="D51" s="7">
        <f t="shared" si="41"/>
        <v>0</v>
      </c>
      <c r="E51" s="7">
        <f t="shared" si="41"/>
        <v>226.62886871874906</v>
      </c>
      <c r="F51" s="7">
        <f t="shared" si="41"/>
        <v>-3464.7476698101395</v>
      </c>
      <c r="G51" s="7">
        <f t="shared" si="41"/>
        <v>-5928.3871279913037</v>
      </c>
      <c r="H51" s="7">
        <f t="shared" si="41"/>
        <v>-6557.4226109136362</v>
      </c>
      <c r="I51" s="7">
        <f t="shared" si="41"/>
        <v>-6277.2380765726703</v>
      </c>
      <c r="J51" s="7">
        <f>IF(OR(J48="",J47=""),"",J47-J48)</f>
        <v>-6146.4495966786726</v>
      </c>
      <c r="K51" s="89" t="s">
        <v>72</v>
      </c>
      <c r="L51" s="89" t="s">
        <v>75</v>
      </c>
      <c r="M51" s="132"/>
      <c r="N51" s="132"/>
      <c r="O51" s="276"/>
      <c r="P51" s="15" t="s">
        <v>45</v>
      </c>
      <c r="Q51" s="19">
        <v>40612.01</v>
      </c>
      <c r="R51" s="19">
        <v>38351.11</v>
      </c>
      <c r="S51" s="19">
        <v>32774.379999999997</v>
      </c>
      <c r="T51" s="19">
        <v>30569.17</v>
      </c>
      <c r="U51" s="19">
        <v>36225.06</v>
      </c>
      <c r="V51" s="19">
        <v>42295.91</v>
      </c>
      <c r="W51" s="19">
        <v>42141.33</v>
      </c>
      <c r="X51" s="19">
        <v>41942.74</v>
      </c>
      <c r="Y51" s="19">
        <v>35788.269999999997</v>
      </c>
      <c r="AB51" s="141"/>
      <c r="AC51" s="106"/>
      <c r="AD51" s="106"/>
      <c r="AE51" s="106"/>
      <c r="AF51" s="106"/>
      <c r="AG51" s="106"/>
      <c r="AH51" s="106"/>
      <c r="AI51" s="106"/>
      <c r="AJ51" s="106"/>
      <c r="BF51" s="132"/>
      <c r="BY51" s="132"/>
      <c r="BZ51" s="276"/>
      <c r="CA51" s="16" t="s">
        <v>7</v>
      </c>
      <c r="CB51" s="192">
        <v>-25.96</v>
      </c>
      <c r="CC51" s="192">
        <v>-70.53</v>
      </c>
      <c r="CD51" s="192">
        <v>-77.709999999999994</v>
      </c>
      <c r="CE51" s="192">
        <v>-110.94</v>
      </c>
      <c r="CF51" s="192">
        <v>-277.91000000000003</v>
      </c>
      <c r="CG51" s="192">
        <v>-254.26</v>
      </c>
      <c r="CH51" s="192">
        <v>-414.91</v>
      </c>
      <c r="CK51" s="276"/>
      <c r="CL51" s="16" t="s">
        <v>7</v>
      </c>
      <c r="CM51" s="192">
        <v>-25.71</v>
      </c>
      <c r="CN51" s="192">
        <v>-69.17</v>
      </c>
      <c r="CO51" s="192">
        <v>-75.13</v>
      </c>
      <c r="CP51" s="192">
        <v>-106.16</v>
      </c>
      <c r="CQ51" s="192">
        <v>-265.5</v>
      </c>
      <c r="CR51" s="192">
        <v>-242.8</v>
      </c>
      <c r="CS51" s="192">
        <v>-396.63</v>
      </c>
      <c r="CW51" s="132"/>
      <c r="CX51" s="276"/>
      <c r="CY51" s="15" t="s">
        <v>12</v>
      </c>
      <c r="CZ51" s="7">
        <v>37741.626400806097</v>
      </c>
      <c r="DA51" s="7">
        <v>140666.06930596294</v>
      </c>
      <c r="DB51" s="7">
        <v>-79767.380758116313</v>
      </c>
      <c r="DC51" s="7">
        <v>-275605.62432818773</v>
      </c>
      <c r="DD51" s="7">
        <v>-234223.01482360862</v>
      </c>
      <c r="DE51" s="7">
        <v>-150385.29456222046</v>
      </c>
      <c r="DF51" s="7">
        <v>198018.32376938389</v>
      </c>
      <c r="DG51" s="7">
        <v>348362.52700391319</v>
      </c>
      <c r="DH51" s="7">
        <v>339738.84756536933</v>
      </c>
      <c r="DI51" s="7">
        <v>48397.62005543604</v>
      </c>
      <c r="DJ51" s="7">
        <v>-184848.74615168752</v>
      </c>
      <c r="DK51" s="7">
        <v>-132715.84841127816</v>
      </c>
      <c r="DL51" s="7">
        <v>-101183.46738778771</v>
      </c>
      <c r="DM51" s="7">
        <v>72006.352066173451</v>
      </c>
      <c r="DN51" s="7">
        <v>-54633.169777225121</v>
      </c>
      <c r="DO51" s="7">
        <v>-29854.812319360673</v>
      </c>
      <c r="DP51" s="7">
        <v>-43569.759852407646</v>
      </c>
      <c r="DQ51" s="7">
        <v>30009.702663524076</v>
      </c>
      <c r="DR51" s="7">
        <v>571898.61314727855</v>
      </c>
      <c r="DS51" s="7">
        <v>758640.57298325235</v>
      </c>
      <c r="DT51" s="7">
        <v>604760.56297479803</v>
      </c>
      <c r="DU51" s="7">
        <v>304894.59223014308</v>
      </c>
      <c r="DV51" s="108">
        <v>83751.398420539015</v>
      </c>
      <c r="DW51" s="7">
        <v>60847.032209797122</v>
      </c>
      <c r="DX51" s="7">
        <v>128572.25539508247</v>
      </c>
      <c r="DY51" s="187"/>
      <c r="DZ51" s="187"/>
      <c r="EA51" s="132"/>
      <c r="FH51" s="132"/>
    </row>
    <row r="52" spans="1:164" s="4" customFormat="1" ht="15" outlineLevel="1" x14ac:dyDescent="0.25">
      <c r="A52" s="276"/>
      <c r="B52" s="16" t="s">
        <v>7</v>
      </c>
      <c r="C52" s="7">
        <f>ROUND((C51+0)*'MEEIA 3 calcs'!F9/12,2)</f>
        <v>0</v>
      </c>
      <c r="D52" s="7">
        <f>ROUND((D51+C54)*'MEEIA 3 calcs'!G9/12,2)</f>
        <v>0</v>
      </c>
      <c r="E52" s="7">
        <f>ROUND((E51+D54)*'MEEIA 3 calcs'!H9/12,2)</f>
        <v>0.51</v>
      </c>
      <c r="F52" s="7">
        <f>ROUND((F51+E54)*'MEEIA 3 calcs'!I9/12,2)</f>
        <v>-7.15</v>
      </c>
      <c r="G52" s="7">
        <f>ROUND((G51+F54)*'MEEIA 3 calcs'!J9/12,2)</f>
        <v>-19.84</v>
      </c>
      <c r="H52" s="7">
        <f>ROUND((H51+G54)*'MEEIA 3 calcs'!K9/12,2)</f>
        <v>-30.86</v>
      </c>
      <c r="I52" s="7">
        <f>ROUND((I51+H54)*'MEEIA 3 calcs'!L9/12,2)</f>
        <v>-40.75</v>
      </c>
      <c r="J52" s="7">
        <f>ROUND((J51+I54)*'MEEIA 3 calcs'!M9/12,2)</f>
        <v>-49.76</v>
      </c>
      <c r="K52" s="90">
        <f>SUM('MEEIA 3 calcs'!F72:M72)</f>
        <v>-163.53</v>
      </c>
      <c r="L52" s="96">
        <f>SUM(C52:J52)-K52</f>
        <v>15.680000000000007</v>
      </c>
      <c r="M52" s="132"/>
      <c r="N52" s="132"/>
      <c r="O52" s="276"/>
      <c r="P52" s="15" t="s">
        <v>46</v>
      </c>
      <c r="Q52" s="7">
        <v>144925.88773241718</v>
      </c>
      <c r="R52" s="7">
        <v>136772.08441036358</v>
      </c>
      <c r="S52" s="7">
        <v>117334.5350283666</v>
      </c>
      <c r="T52" s="7">
        <v>109716.69444637984</v>
      </c>
      <c r="U52" s="7">
        <v>130274.98797379238</v>
      </c>
      <c r="V52" s="7">
        <v>152004.39677351972</v>
      </c>
      <c r="W52" s="7">
        <v>151605.06998502946</v>
      </c>
      <c r="X52" s="7">
        <v>151096.98836711264</v>
      </c>
      <c r="Y52" s="7">
        <v>128899.44011500687</v>
      </c>
      <c r="AB52" s="141"/>
      <c r="AC52" s="106"/>
      <c r="AD52" s="106"/>
      <c r="AE52" s="106"/>
      <c r="AF52" s="106"/>
      <c r="AG52" s="106"/>
      <c r="AH52" s="106"/>
      <c r="AI52" s="106"/>
      <c r="AJ52" s="106"/>
      <c r="BF52" s="132"/>
      <c r="BY52" s="132"/>
      <c r="BZ52" s="276"/>
      <c r="CA52" s="15" t="s">
        <v>13</v>
      </c>
      <c r="CB52" s="192">
        <v>-70229.664490376264</v>
      </c>
      <c r="CC52" s="192">
        <v>-110988.55150773036</v>
      </c>
      <c r="CD52" s="192">
        <v>-62447.986640203519</v>
      </c>
      <c r="CE52" s="192">
        <v>-110994.1003217351</v>
      </c>
      <c r="CF52" s="192">
        <v>-65313.796470164962</v>
      </c>
      <c r="CG52" s="192">
        <v>-49769.060112431565</v>
      </c>
      <c r="CH52" s="192">
        <v>-46770.124909730323</v>
      </c>
      <c r="CK52" s="276"/>
      <c r="CL52" s="15" t="s">
        <v>13</v>
      </c>
      <c r="CM52" s="192">
        <v>-68318.539641952651</v>
      </c>
      <c r="CN52" s="192">
        <v>-106614.7730327927</v>
      </c>
      <c r="CO52" s="192">
        <v>-55518.548149897768</v>
      </c>
      <c r="CP52" s="192">
        <v>-104826.22078458939</v>
      </c>
      <c r="CQ52" s="192">
        <v>-63061.968116475859</v>
      </c>
      <c r="CR52" s="192">
        <v>-48477.939439679467</v>
      </c>
      <c r="CS52" s="192">
        <v>-46579.369786123185</v>
      </c>
      <c r="CW52" s="132"/>
      <c r="CX52" s="276"/>
      <c r="CY52" s="16" t="s">
        <v>7</v>
      </c>
      <c r="CZ52" s="7">
        <v>66.36</v>
      </c>
      <c r="DA52" s="7">
        <v>99.47</v>
      </c>
      <c r="DB52" s="7">
        <v>91.45</v>
      </c>
      <c r="DC52" s="7">
        <v>26.76</v>
      </c>
      <c r="DD52" s="7">
        <v>-23.55</v>
      </c>
      <c r="DE52" s="7">
        <v>-59.49</v>
      </c>
      <c r="DF52" s="7">
        <v>-28.14</v>
      </c>
      <c r="DG52" s="7">
        <v>14.61</v>
      </c>
      <c r="DH52" s="7">
        <v>70.2</v>
      </c>
      <c r="DI52" s="7">
        <v>64.97</v>
      </c>
      <c r="DJ52" s="7">
        <v>21.21</v>
      </c>
      <c r="DK52" s="7">
        <v>-0.83</v>
      </c>
      <c r="DL52" s="7">
        <v>-33.71</v>
      </c>
      <c r="DM52" s="7">
        <v>-26.22</v>
      </c>
      <c r="DN52" s="7">
        <v>-37.06</v>
      </c>
      <c r="DO52" s="7">
        <v>-90.13</v>
      </c>
      <c r="DP52" s="7">
        <v>-89.73</v>
      </c>
      <c r="DQ52" s="7">
        <v>-100.7</v>
      </c>
      <c r="DR52" s="7">
        <v>581.27</v>
      </c>
      <c r="DS52" s="7">
        <v>2153.65</v>
      </c>
      <c r="DT52" s="7">
        <v>4040.95</v>
      </c>
      <c r="DU52" s="7">
        <v>5272.86</v>
      </c>
      <c r="DV52" s="7">
        <v>6762.22</v>
      </c>
      <c r="DW52" s="7">
        <v>8672.91</v>
      </c>
      <c r="DX52" s="7">
        <v>9966.83</v>
      </c>
      <c r="DY52" s="187">
        <f>SUM('MEEIA 3 calcs'!AA52:AY52)</f>
        <v>37444.9</v>
      </c>
      <c r="DZ52" s="200">
        <f>SUM(CZ52:DX52)-DY52</f>
        <v>-28.739999999997963</v>
      </c>
      <c r="EA52" s="132"/>
      <c r="FH52" s="132"/>
    </row>
    <row r="53" spans="1:164" s="4" customFormat="1" ht="15" outlineLevel="1" x14ac:dyDescent="0.25">
      <c r="A53" s="276"/>
      <c r="B53" s="15" t="s">
        <v>13</v>
      </c>
      <c r="C53" s="7">
        <f t="shared" ref="C53:J53" si="42">IF(OR(C51="",C52=""),"",C51+C52)</f>
        <v>0</v>
      </c>
      <c r="D53" s="7">
        <f t="shared" si="42"/>
        <v>0</v>
      </c>
      <c r="E53" s="7">
        <f t="shared" si="42"/>
        <v>227.13886871874905</v>
      </c>
      <c r="F53" s="7">
        <f t="shared" si="42"/>
        <v>-3471.8976698101396</v>
      </c>
      <c r="G53" s="7">
        <f t="shared" si="42"/>
        <v>-5948.2271279913039</v>
      </c>
      <c r="H53" s="7">
        <f t="shared" si="42"/>
        <v>-6588.2826109136358</v>
      </c>
      <c r="I53" s="7">
        <f t="shared" si="42"/>
        <v>-6317.9880765726703</v>
      </c>
      <c r="J53" s="7">
        <f t="shared" si="42"/>
        <v>-6196.2095966786728</v>
      </c>
      <c r="M53" s="132"/>
      <c r="N53" s="132"/>
      <c r="O53" s="276"/>
      <c r="P53" s="15" t="s">
        <v>12</v>
      </c>
      <c r="Q53" s="7">
        <v>-22228.966360419829</v>
      </c>
      <c r="R53" s="7">
        <v>-13360.21052983425</v>
      </c>
      <c r="S53" s="7">
        <v>-69888.323471591139</v>
      </c>
      <c r="T53" s="7">
        <v>-26160.160200838378</v>
      </c>
      <c r="U53" s="7">
        <v>58774.378860579294</v>
      </c>
      <c r="V53" s="7">
        <v>113480.04298932067</v>
      </c>
      <c r="W53" s="7">
        <v>96985.525623500405</v>
      </c>
      <c r="X53" s="7">
        <v>78895.799886724097</v>
      </c>
      <c r="Y53" s="7">
        <v>13756.349884233845</v>
      </c>
      <c r="Z53" s="89" t="s">
        <v>72</v>
      </c>
      <c r="AA53" s="89" t="s">
        <v>75</v>
      </c>
      <c r="AB53" s="141"/>
      <c r="AC53" s="106"/>
      <c r="AD53" s="106"/>
      <c r="AE53" s="106"/>
      <c r="AF53" s="106"/>
      <c r="AG53" s="106"/>
      <c r="AH53" s="106"/>
      <c r="AI53" s="106"/>
      <c r="AJ53" s="106"/>
      <c r="AK53" s="117"/>
      <c r="BF53" s="132"/>
      <c r="BY53" s="132"/>
      <c r="BZ53" s="276"/>
      <c r="CA53" s="17" t="s">
        <v>17</v>
      </c>
      <c r="CB53" s="192">
        <v>-203337.21655740903</v>
      </c>
      <c r="CC53" s="192">
        <v>-325033.1280651394</v>
      </c>
      <c r="CD53" s="192">
        <v>-397821.40470534295</v>
      </c>
      <c r="CE53" s="192">
        <v>-450087.04502707807</v>
      </c>
      <c r="CF53" s="192">
        <v>-484790.47149724304</v>
      </c>
      <c r="CG53" s="192">
        <v>-508424.90160967462</v>
      </c>
      <c r="CH53" s="192">
        <v>-524679.61651940492</v>
      </c>
      <c r="CK53" s="276"/>
      <c r="CL53" s="17" t="s">
        <v>17</v>
      </c>
      <c r="CM53" s="192">
        <v>-201426.09170898545</v>
      </c>
      <c r="CN53" s="192">
        <v>-318748.22474177816</v>
      </c>
      <c r="CO53" s="192">
        <v>-384607.06289167592</v>
      </c>
      <c r="CP53" s="192">
        <v>-430704.82367626531</v>
      </c>
      <c r="CQ53" s="192">
        <v>-463156.42179274117</v>
      </c>
      <c r="CR53" s="192">
        <v>-485499.73123242066</v>
      </c>
      <c r="CS53" s="192">
        <v>-501563.69101854385</v>
      </c>
      <c r="CW53" s="132"/>
      <c r="CX53" s="276"/>
      <c r="CY53" s="15" t="s">
        <v>13</v>
      </c>
      <c r="CZ53" s="7">
        <v>37807.986400806098</v>
      </c>
      <c r="DA53" s="7">
        <v>140765.53930596294</v>
      </c>
      <c r="DB53" s="7">
        <v>-79675.930758116316</v>
      </c>
      <c r="DC53" s="7">
        <v>-275578.86432818772</v>
      </c>
      <c r="DD53" s="7">
        <v>-234246.56482360861</v>
      </c>
      <c r="DE53" s="7">
        <v>-150444.78456222045</v>
      </c>
      <c r="DF53" s="7">
        <v>197990.18376938388</v>
      </c>
      <c r="DG53" s="7">
        <v>348377.13700391317</v>
      </c>
      <c r="DH53" s="7">
        <v>339809.04756536934</v>
      </c>
      <c r="DI53" s="7">
        <v>48462.590055436041</v>
      </c>
      <c r="DJ53" s="7">
        <v>-184827.53615168753</v>
      </c>
      <c r="DK53" s="7">
        <v>-132716.67841127815</v>
      </c>
      <c r="DL53" s="7">
        <v>-101217.17738778771</v>
      </c>
      <c r="DM53" s="7">
        <v>71980.13206617345</v>
      </c>
      <c r="DN53" s="7">
        <v>-54670.229777225119</v>
      </c>
      <c r="DO53" s="7">
        <v>-29944.942319360674</v>
      </c>
      <c r="DP53" s="7">
        <v>-43659.489852407649</v>
      </c>
      <c r="DQ53" s="7">
        <v>29909.002663524076</v>
      </c>
      <c r="DR53" s="7">
        <v>572479.88314727857</v>
      </c>
      <c r="DS53" s="7">
        <v>760794.22298325237</v>
      </c>
      <c r="DT53" s="7">
        <v>608801.51297479798</v>
      </c>
      <c r="DU53" s="7">
        <v>310167.45223014307</v>
      </c>
      <c r="DV53" s="7">
        <v>90513.618420539016</v>
      </c>
      <c r="DW53" s="7">
        <v>69519.942209797126</v>
      </c>
      <c r="DX53" s="7">
        <v>138539.08539508245</v>
      </c>
      <c r="DY53" s="187"/>
      <c r="DZ53" s="187"/>
      <c r="EA53" s="132"/>
      <c r="FH53" s="132"/>
    </row>
    <row r="54" spans="1:164" s="4" customFormat="1" ht="15" outlineLevel="1" x14ac:dyDescent="0.25">
      <c r="A54" s="276"/>
      <c r="B54" s="17" t="s">
        <v>18</v>
      </c>
      <c r="C54" s="7">
        <f>IF(OR(C53=""),"",C53)</f>
        <v>0</v>
      </c>
      <c r="D54" s="7">
        <f t="shared" ref="D54:J54" si="43">IF(OR(D53="",C54=""),"",D53+C54)</f>
        <v>0</v>
      </c>
      <c r="E54" s="7">
        <f t="shared" si="43"/>
        <v>227.13886871874905</v>
      </c>
      <c r="F54" s="7">
        <f t="shared" si="43"/>
        <v>-3244.7588010913905</v>
      </c>
      <c r="G54" s="7">
        <f t="shared" si="43"/>
        <v>-9192.9859290826935</v>
      </c>
      <c r="H54" s="7">
        <f t="shared" si="43"/>
        <v>-15781.26853999633</v>
      </c>
      <c r="I54" s="7">
        <f t="shared" si="43"/>
        <v>-22099.256616569</v>
      </c>
      <c r="J54" s="7">
        <f t="shared" si="43"/>
        <v>-28295.466213247673</v>
      </c>
      <c r="M54" s="132"/>
      <c r="N54" s="132"/>
      <c r="O54" s="276"/>
      <c r="P54" s="16" t="s">
        <v>7</v>
      </c>
      <c r="Q54" s="7">
        <v>-419.27</v>
      </c>
      <c r="R54" s="7">
        <v>-400.36</v>
      </c>
      <c r="S54" s="7">
        <v>-228.28</v>
      </c>
      <c r="T54" s="7">
        <v>-30.95</v>
      </c>
      <c r="U54" s="7">
        <v>-20.18</v>
      </c>
      <c r="V54" s="7">
        <v>-5.97</v>
      </c>
      <c r="W54" s="7">
        <v>11.62</v>
      </c>
      <c r="X54" s="7">
        <v>23.03</v>
      </c>
      <c r="Y54" s="7">
        <v>45.42</v>
      </c>
      <c r="Z54" s="90">
        <v>-1201.2799999999997</v>
      </c>
      <c r="AA54" s="96">
        <v>176.33999999999946</v>
      </c>
      <c r="AB54" s="141"/>
      <c r="AC54" s="106"/>
      <c r="AD54" s="106"/>
      <c r="AE54" s="106"/>
      <c r="AF54" s="106"/>
      <c r="AG54" s="106"/>
      <c r="AH54" s="106"/>
      <c r="AI54" s="106"/>
      <c r="AJ54" s="106"/>
      <c r="AK54" s="118"/>
      <c r="BF54" s="132"/>
      <c r="BY54" s="132"/>
      <c r="BZ54" s="35"/>
      <c r="CA54" s="11"/>
      <c r="CB54" s="2"/>
      <c r="CC54" s="2"/>
      <c r="CD54" s="2"/>
      <c r="CE54" s="2"/>
      <c r="CF54" s="2"/>
      <c r="CG54" s="2"/>
      <c r="CH54" s="2"/>
      <c r="CK54" s="35"/>
      <c r="CL54" s="11"/>
      <c r="CM54" s="2"/>
      <c r="CN54" s="2"/>
      <c r="CO54" s="2"/>
      <c r="CP54" s="2"/>
      <c r="CQ54" s="2"/>
      <c r="CR54" s="2"/>
      <c r="CS54" s="2"/>
      <c r="CW54" s="132"/>
      <c r="CX54" s="276"/>
      <c r="CY54" s="17" t="s">
        <v>16</v>
      </c>
      <c r="CZ54" s="7">
        <v>398211.7526286483</v>
      </c>
      <c r="DA54" s="7">
        <v>579135.11193461122</v>
      </c>
      <c r="DB54" s="7">
        <v>472654.30117649492</v>
      </c>
      <c r="DC54" s="7">
        <v>150333.92684830719</v>
      </c>
      <c r="DD54" s="7">
        <v>-125537.43797530141</v>
      </c>
      <c r="DE54" s="7">
        <v>-318379.73253752186</v>
      </c>
      <c r="DF54" s="7">
        <v>-167504.47876813798</v>
      </c>
      <c r="DG54" s="7">
        <v>125690.2882357752</v>
      </c>
      <c r="DH54" s="7">
        <v>410810.24580114451</v>
      </c>
      <c r="DI54" s="7">
        <v>403532.98585658055</v>
      </c>
      <c r="DJ54" s="7">
        <v>169709.75970489302</v>
      </c>
      <c r="DK54" s="7">
        <v>-6540.2387063851347</v>
      </c>
      <c r="DL54" s="7">
        <v>-155337.60609417286</v>
      </c>
      <c r="DM54" s="7">
        <v>-134222.69402799942</v>
      </c>
      <c r="DN54" s="7">
        <v>-150349.14380522454</v>
      </c>
      <c r="DO54" s="7">
        <v>-157218.23612458521</v>
      </c>
      <c r="DP54" s="7">
        <v>-179433.59597699286</v>
      </c>
      <c r="DQ54" s="7">
        <v>-127345.18331346879</v>
      </c>
      <c r="DR54" s="7">
        <v>470023.71983380977</v>
      </c>
      <c r="DS54" s="7">
        <v>1258728.5428170622</v>
      </c>
      <c r="DT54" s="7">
        <v>1895242.3257918602</v>
      </c>
      <c r="DU54" s="7">
        <v>2231913.7780220034</v>
      </c>
      <c r="DV54" s="7">
        <v>2345202.7264425424</v>
      </c>
      <c r="DW54" s="7">
        <v>2436870.0186523395</v>
      </c>
      <c r="DX54" s="7">
        <v>2600096.9340474219</v>
      </c>
      <c r="DY54" s="187"/>
      <c r="DZ54" s="187"/>
      <c r="EA54" s="132"/>
      <c r="FH54" s="132"/>
    </row>
    <row r="55" spans="1:164" s="4" customFormat="1" ht="16.5" customHeight="1" outlineLevel="1" x14ac:dyDescent="0.25">
      <c r="A55" s="35"/>
      <c r="B55" s="11"/>
      <c r="C55" s="84"/>
      <c r="D55" s="12"/>
      <c r="E55" s="12"/>
      <c r="F55" s="12"/>
      <c r="G55" s="12"/>
      <c r="H55" s="12"/>
      <c r="I55" s="12"/>
      <c r="J55" s="12"/>
      <c r="M55" s="132"/>
      <c r="N55" s="132"/>
      <c r="O55" s="276"/>
      <c r="P55" s="15" t="s">
        <v>13</v>
      </c>
      <c r="Q55" s="7">
        <v>-22648.236360419829</v>
      </c>
      <c r="R55" s="7">
        <v>-13760.570529834251</v>
      </c>
      <c r="S55" s="7">
        <v>-70116.603471591137</v>
      </c>
      <c r="T55" s="7">
        <v>-26191.110200838379</v>
      </c>
      <c r="U55" s="7">
        <v>58754.198860579294</v>
      </c>
      <c r="V55" s="7">
        <v>113474.07298932067</v>
      </c>
      <c r="W55" s="7">
        <v>96997.145623500401</v>
      </c>
      <c r="X55" s="7">
        <v>78918.829886724096</v>
      </c>
      <c r="Y55" s="7">
        <v>13801.769884233845</v>
      </c>
      <c r="AB55" s="141"/>
      <c r="AC55" s="106"/>
      <c r="AD55" s="106"/>
      <c r="AE55" s="106"/>
      <c r="AF55" s="106"/>
      <c r="AG55" s="106"/>
      <c r="AH55" s="106"/>
      <c r="AI55" s="106"/>
      <c r="AJ55" s="106"/>
      <c r="BF55" s="132"/>
      <c r="BY55" s="132"/>
      <c r="BZ55" s="276" t="s">
        <v>23</v>
      </c>
      <c r="CA55" s="14"/>
      <c r="CB55" s="2"/>
      <c r="CC55" s="2"/>
      <c r="CD55" s="2"/>
      <c r="CE55" s="2"/>
      <c r="CF55" s="2"/>
      <c r="CG55" s="2"/>
      <c r="CH55" s="2"/>
      <c r="CK55" s="276" t="s">
        <v>23</v>
      </c>
      <c r="CL55" s="14"/>
      <c r="CM55" s="2"/>
      <c r="CN55" s="2"/>
      <c r="CO55" s="2"/>
      <c r="CP55" s="2"/>
      <c r="CQ55" s="2"/>
      <c r="CR55" s="2"/>
      <c r="CS55" s="2"/>
      <c r="CW55" s="132"/>
      <c r="CX55" s="35"/>
      <c r="CY55" s="11"/>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87"/>
      <c r="DZ55" s="187"/>
      <c r="EA55" s="132"/>
      <c r="FH55" s="132"/>
    </row>
    <row r="56" spans="1:164" ht="15" customHeight="1" x14ac:dyDescent="0.25">
      <c r="O56" s="276"/>
      <c r="P56" s="17" t="s">
        <v>16</v>
      </c>
      <c r="Q56" s="7">
        <v>-279378.1186167358</v>
      </c>
      <c r="R56" s="7">
        <v>-254787.57914657006</v>
      </c>
      <c r="S56" s="7">
        <v>-292129.80261816119</v>
      </c>
      <c r="T56" s="7">
        <v>-287751.74281899957</v>
      </c>
      <c r="U56" s="7">
        <v>-192772.48395842029</v>
      </c>
      <c r="V56" s="7">
        <v>-37002.500969099608</v>
      </c>
      <c r="W56" s="7">
        <v>102135.97465440081</v>
      </c>
      <c r="X56" s="7">
        <v>222997.54454112489</v>
      </c>
      <c r="Y56" s="7">
        <v>272587.58442535874</v>
      </c>
      <c r="Z56" s="4"/>
      <c r="AA56" s="4"/>
      <c r="AB56" s="141"/>
      <c r="AC56" s="106"/>
      <c r="AD56" s="106"/>
      <c r="AE56" s="106"/>
      <c r="AF56" s="106"/>
      <c r="AG56" s="106"/>
      <c r="AH56" s="106"/>
      <c r="AI56" s="106"/>
      <c r="AJ56" s="106"/>
      <c r="AK56" s="4"/>
      <c r="BZ56" s="276"/>
      <c r="CA56" s="14" t="s">
        <v>27</v>
      </c>
      <c r="CB56" s="192">
        <v>16125.741463642871</v>
      </c>
      <c r="CC56" s="192">
        <v>19063.36096942682</v>
      </c>
      <c r="CD56" s="192">
        <v>18825.407725594807</v>
      </c>
      <c r="CE56" s="192">
        <v>15042.280346882986</v>
      </c>
      <c r="CF56" s="192">
        <v>5372.5491881501548</v>
      </c>
      <c r="CG56" s="192">
        <v>5761.1753207721658</v>
      </c>
      <c r="CH56" s="192">
        <v>7701.1665386990999</v>
      </c>
      <c r="CK56" s="276"/>
      <c r="CL56" s="14" t="s">
        <v>27</v>
      </c>
      <c r="CM56" s="192">
        <v>16558.791766912029</v>
      </c>
      <c r="CN56" s="192">
        <v>19892.787315116471</v>
      </c>
      <c r="CO56" s="192">
        <v>20416.214708454521</v>
      </c>
      <c r="CP56" s="192">
        <v>16443.115349845692</v>
      </c>
      <c r="CQ56" s="192">
        <v>5902.3817319222526</v>
      </c>
      <c r="CR56" s="192">
        <v>6070.3877610296313</v>
      </c>
      <c r="CS56" s="192">
        <v>7738.3416483766814</v>
      </c>
      <c r="CX56" s="276" t="s">
        <v>22</v>
      </c>
      <c r="CY56" s="14"/>
      <c r="CZ56" s="7"/>
      <c r="DA56" s="7"/>
      <c r="DB56" s="7"/>
      <c r="DC56" s="7"/>
      <c r="DD56" s="7"/>
      <c r="DE56" s="7"/>
      <c r="DF56" s="7"/>
      <c r="DG56" s="7"/>
      <c r="DH56" s="7"/>
      <c r="DI56" s="7"/>
      <c r="DJ56" s="7"/>
      <c r="DK56" s="7"/>
      <c r="DL56" s="7"/>
      <c r="DM56" s="7"/>
      <c r="DN56" s="7"/>
      <c r="DO56" s="7"/>
      <c r="DP56" s="7"/>
      <c r="DQ56" s="7"/>
      <c r="DR56" s="7"/>
      <c r="DS56" s="7"/>
      <c r="DT56" s="7"/>
      <c r="DU56" s="7"/>
      <c r="DV56" s="108">
        <v>23064.805500861024</v>
      </c>
      <c r="DW56" s="7"/>
      <c r="DX56" s="7"/>
    </row>
    <row r="57" spans="1:164" ht="15" x14ac:dyDescent="0.25">
      <c r="O57" s="35"/>
      <c r="P57" s="11"/>
      <c r="Q57" s="12"/>
      <c r="R57" s="12"/>
      <c r="S57" s="12"/>
      <c r="T57" s="12"/>
      <c r="U57" s="12"/>
      <c r="V57" s="12"/>
      <c r="W57" s="12"/>
      <c r="X57" s="12"/>
      <c r="Y57" s="12"/>
      <c r="Z57" s="4"/>
      <c r="AA57" s="4"/>
      <c r="AB57" s="141"/>
      <c r="AC57" s="106"/>
      <c r="AD57" s="106"/>
      <c r="AE57" s="106"/>
      <c r="AF57" s="106"/>
      <c r="AG57" s="106"/>
      <c r="AH57" s="106"/>
      <c r="AI57" s="106"/>
      <c r="AJ57" s="106"/>
      <c r="AK57" s="4"/>
      <c r="BZ57" s="276"/>
      <c r="CA57" s="15" t="s">
        <v>25</v>
      </c>
      <c r="CB57" s="192">
        <v>31542.387518483061</v>
      </c>
      <c r="CC57" s="192">
        <v>43557.154949803051</v>
      </c>
      <c r="CD57" s="192">
        <v>40956.195027623748</v>
      </c>
      <c r="CE57" s="192">
        <v>34081.150442443461</v>
      </c>
      <c r="CF57" s="192">
        <v>5569.4805559214219</v>
      </c>
      <c r="CG57" s="192">
        <v>-23801.130148762259</v>
      </c>
      <c r="CH57" s="192">
        <v>4425.0020023903071</v>
      </c>
      <c r="CK57" s="276"/>
      <c r="CL57" s="15" t="s">
        <v>25</v>
      </c>
      <c r="CM57" s="192">
        <v>31311.065037548167</v>
      </c>
      <c r="CN57" s="192">
        <v>43129.542540372691</v>
      </c>
      <c r="CO57" s="192">
        <v>40068.371731193831</v>
      </c>
      <c r="CP57" s="192">
        <v>33269.832706991961</v>
      </c>
      <c r="CQ57" s="192">
        <v>5276.9215627583089</v>
      </c>
      <c r="CR57" s="192">
        <v>-23975.143784503343</v>
      </c>
      <c r="CS57" s="192">
        <v>4407.7244863500364</v>
      </c>
      <c r="CX57" s="276"/>
      <c r="CY57" s="14" t="s">
        <v>27</v>
      </c>
      <c r="CZ57" s="19">
        <v>51735.412802116007</v>
      </c>
      <c r="DA57" s="19">
        <v>90838.744276912417</v>
      </c>
      <c r="DB57" s="19">
        <v>65459.948883100595</v>
      </c>
      <c r="DC57" s="19">
        <v>71534.944524128558</v>
      </c>
      <c r="DD57" s="19">
        <v>71343.757771636898</v>
      </c>
      <c r="DE57" s="19">
        <v>103296.3103477702</v>
      </c>
      <c r="DF57" s="19">
        <v>256562.81120160531</v>
      </c>
      <c r="DG57" s="19">
        <v>319479.07850425603</v>
      </c>
      <c r="DH57" s="19">
        <v>309875.12991512951</v>
      </c>
      <c r="DI57" s="19">
        <v>200668.49634980995</v>
      </c>
      <c r="DJ57" s="19">
        <v>111417.50190042912</v>
      </c>
      <c r="DK57" s="19">
        <v>93253.892629017733</v>
      </c>
      <c r="DL57" s="19">
        <v>103488.5984224446</v>
      </c>
      <c r="DM57" s="19">
        <v>144414.82989089785</v>
      </c>
      <c r="DN57" s="19">
        <v>110066.63506595949</v>
      </c>
      <c r="DO57" s="19">
        <v>50328.1679847302</v>
      </c>
      <c r="DP57" s="19">
        <v>48818.637830727937</v>
      </c>
      <c r="DQ57" s="19">
        <v>69139.5977047872</v>
      </c>
      <c r="DR57" s="19">
        <v>204404.00741586328</v>
      </c>
      <c r="DS57" s="19">
        <v>281050.68735267245</v>
      </c>
      <c r="DT57" s="19">
        <v>243115.17544525067</v>
      </c>
      <c r="DU57" s="19">
        <v>160177.67633933009</v>
      </c>
      <c r="DV57" s="19">
        <v>71401.608823197399</v>
      </c>
      <c r="DW57" s="19">
        <v>68759.703767405808</v>
      </c>
      <c r="DX57" s="19">
        <v>79423.074388787179</v>
      </c>
    </row>
    <row r="58" spans="1:164" s="1" customFormat="1" ht="15" x14ac:dyDescent="0.25">
      <c r="B58"/>
      <c r="C58"/>
      <c r="D58"/>
      <c r="E58"/>
      <c r="F58"/>
      <c r="G58"/>
      <c r="H58"/>
      <c r="I58"/>
      <c r="J58"/>
      <c r="K58"/>
      <c r="L58"/>
      <c r="M58" s="131"/>
      <c r="N58" s="131"/>
      <c r="O58" s="276" t="s">
        <v>22</v>
      </c>
      <c r="P58" s="14"/>
      <c r="Q58" s="7"/>
      <c r="R58" s="7"/>
      <c r="S58" s="7"/>
      <c r="T58" s="7"/>
      <c r="U58" s="7"/>
      <c r="V58" s="7"/>
      <c r="W58" s="7"/>
      <c r="X58" s="7"/>
      <c r="Y58" s="7"/>
      <c r="Z58" s="4"/>
      <c r="AA58" s="4"/>
      <c r="AB58" s="141"/>
      <c r="AC58" s="106"/>
      <c r="AD58" s="106"/>
      <c r="AE58" s="106"/>
      <c r="AF58" s="106"/>
      <c r="AG58" s="106"/>
      <c r="AH58" s="106"/>
      <c r="AI58" s="106"/>
      <c r="AJ58" s="106"/>
      <c r="AK58" s="4"/>
      <c r="BF58" s="161"/>
      <c r="BY58" s="161"/>
      <c r="BZ58" s="276"/>
      <c r="CA58" s="15" t="s">
        <v>45</v>
      </c>
      <c r="CB58" s="192">
        <v>3698.89</v>
      </c>
      <c r="CC58" s="192">
        <v>5186.1400000000003</v>
      </c>
      <c r="CD58" s="192">
        <v>4832.3100000000004</v>
      </c>
      <c r="CE58" s="192">
        <v>75442.73</v>
      </c>
      <c r="CF58" s="192">
        <v>13631.28</v>
      </c>
      <c r="CG58" s="192">
        <v>-48097.27</v>
      </c>
      <c r="CH58" s="192">
        <v>10628.22</v>
      </c>
      <c r="CK58" s="276"/>
      <c r="CL58" s="15" t="s">
        <v>45</v>
      </c>
      <c r="CM58" s="192">
        <v>3698.89</v>
      </c>
      <c r="CN58" s="192">
        <v>5186.1400000000003</v>
      </c>
      <c r="CO58" s="192">
        <v>4832.3100000000004</v>
      </c>
      <c r="CP58" s="192">
        <v>75442.73</v>
      </c>
      <c r="CQ58" s="192">
        <v>13631.28</v>
      </c>
      <c r="CR58" s="192">
        <v>-48097.27</v>
      </c>
      <c r="CS58" s="192">
        <v>10628.22</v>
      </c>
      <c r="CW58" s="161"/>
      <c r="CX58" s="276"/>
      <c r="CY58" s="15" t="s">
        <v>25</v>
      </c>
      <c r="CZ58" s="19">
        <v>41188.257144152223</v>
      </c>
      <c r="DA58" s="19">
        <v>40226.995717895465</v>
      </c>
      <c r="DB58" s="19">
        <v>108585.49808616596</v>
      </c>
      <c r="DC58" s="19">
        <v>181792.64072508441</v>
      </c>
      <c r="DD58" s="19">
        <v>183572.05910467496</v>
      </c>
      <c r="DE58" s="19">
        <v>190770.53370651661</v>
      </c>
      <c r="DF58" s="19">
        <v>183881.99525765545</v>
      </c>
      <c r="DG58" s="19">
        <v>245635.92921565124</v>
      </c>
      <c r="DH58" s="19">
        <v>225402.14448890529</v>
      </c>
      <c r="DI58" s="19">
        <v>228315.5064563354</v>
      </c>
      <c r="DJ58" s="19">
        <v>197613.76683715408</v>
      </c>
      <c r="DK58" s="19">
        <v>171603.607119394</v>
      </c>
      <c r="DL58" s="19">
        <v>225113.97993017494</v>
      </c>
      <c r="DM58" s="19">
        <v>217125.39653110137</v>
      </c>
      <c r="DN58" s="19">
        <v>162221.33538769459</v>
      </c>
      <c r="DO58" s="19">
        <v>84753.684454895163</v>
      </c>
      <c r="DP58" s="19">
        <v>72198.807943159496</v>
      </c>
      <c r="DQ58" s="19">
        <v>84979.402614517516</v>
      </c>
      <c r="DR58" s="19">
        <v>96900.261492082005</v>
      </c>
      <c r="DS58" s="19">
        <v>100482.39287136923</v>
      </c>
      <c r="DT58" s="19">
        <v>99567.440007197365</v>
      </c>
      <c r="DU58" s="19">
        <v>97105.740111514999</v>
      </c>
      <c r="DV58" s="19">
        <v>86103.564631792964</v>
      </c>
      <c r="DW58" s="19">
        <v>86765.912910017505</v>
      </c>
      <c r="DX58" s="19">
        <v>89195.654381293964</v>
      </c>
      <c r="DY58" s="199"/>
      <c r="DZ58" s="199"/>
      <c r="EA58" s="161"/>
      <c r="FH58" s="161"/>
    </row>
    <row r="59" spans="1:164" ht="15" x14ac:dyDescent="0.25">
      <c r="C59" s="10">
        <v>43525</v>
      </c>
      <c r="D59" s="10">
        <v>43556</v>
      </c>
      <c r="E59" s="10">
        <v>43586</v>
      </c>
      <c r="F59" s="10">
        <v>43617</v>
      </c>
      <c r="G59" s="10">
        <v>43677</v>
      </c>
      <c r="H59" s="10">
        <v>43708</v>
      </c>
      <c r="I59" s="10">
        <v>43738</v>
      </c>
      <c r="J59" s="10">
        <v>43769</v>
      </c>
      <c r="O59" s="276"/>
      <c r="P59" s="14" t="s">
        <v>27</v>
      </c>
      <c r="Q59" s="19">
        <v>29425.974245256413</v>
      </c>
      <c r="R59" s="19">
        <v>32165.147795809222</v>
      </c>
      <c r="S59" s="19">
        <v>21213.003373036219</v>
      </c>
      <c r="T59" s="19">
        <v>41395.000804902586</v>
      </c>
      <c r="U59" s="19">
        <v>92952.761963081415</v>
      </c>
      <c r="V59" s="19">
        <v>123951.10916307675</v>
      </c>
      <c r="W59" s="19">
        <v>122809.27801030048</v>
      </c>
      <c r="X59" s="19">
        <v>96049.861338882605</v>
      </c>
      <c r="Y59" s="19">
        <v>51830.00376307463</v>
      </c>
      <c r="Z59" s="2"/>
      <c r="AA59" s="2"/>
      <c r="AB59" s="141"/>
      <c r="AC59" s="106"/>
      <c r="AD59" s="106"/>
      <c r="AE59" s="106"/>
      <c r="AF59" s="106"/>
      <c r="AG59" s="106"/>
      <c r="AH59" s="106"/>
      <c r="AI59" s="106"/>
      <c r="AJ59" s="106"/>
      <c r="AK59" s="2"/>
      <c r="BZ59" s="276"/>
      <c r="CA59" s="15" t="s">
        <v>46</v>
      </c>
      <c r="CB59" s="192">
        <v>35241.277518483061</v>
      </c>
      <c r="CC59" s="192">
        <v>48743.29494980305</v>
      </c>
      <c r="CD59" s="192">
        <v>45788.505027623745</v>
      </c>
      <c r="CE59" s="192">
        <v>109523.88044244345</v>
      </c>
      <c r="CF59" s="192">
        <v>19200.760555921421</v>
      </c>
      <c r="CG59" s="192">
        <v>-71898.400148762259</v>
      </c>
      <c r="CH59" s="192">
        <v>15053.222002390306</v>
      </c>
      <c r="CK59" s="276"/>
      <c r="CL59" s="15" t="s">
        <v>46</v>
      </c>
      <c r="CM59" s="192">
        <v>35009.95503754817</v>
      </c>
      <c r="CN59" s="192">
        <v>48315.682540372691</v>
      </c>
      <c r="CO59" s="192">
        <v>44900.681731193828</v>
      </c>
      <c r="CP59" s="192">
        <v>108712.56270699196</v>
      </c>
      <c r="CQ59" s="192">
        <v>18908.20156275831</v>
      </c>
      <c r="CR59" s="192">
        <v>-72072.41378450334</v>
      </c>
      <c r="CS59" s="192">
        <v>15035.944486350036</v>
      </c>
      <c r="CT59" s="4" t="s">
        <v>105</v>
      </c>
      <c r="CU59" s="4" t="s">
        <v>106</v>
      </c>
      <c r="CV59" s="4" t="s">
        <v>107</v>
      </c>
      <c r="CX59" s="276"/>
      <c r="CY59" s="15" t="s">
        <v>45</v>
      </c>
      <c r="CZ59" s="19">
        <v>19565.84</v>
      </c>
      <c r="DA59" s="19">
        <v>19211.02</v>
      </c>
      <c r="DB59" s="19">
        <v>-5225.53</v>
      </c>
      <c r="DC59" s="19">
        <v>-8688.59</v>
      </c>
      <c r="DD59" s="19">
        <v>-8718.77</v>
      </c>
      <c r="DE59" s="19">
        <v>-9032.2099999999991</v>
      </c>
      <c r="DF59" s="19">
        <v>-8700.5300000000007</v>
      </c>
      <c r="DG59" s="19">
        <v>-11631.74</v>
      </c>
      <c r="DH59" s="19">
        <v>-10679.45</v>
      </c>
      <c r="DI59" s="19">
        <v>-10815</v>
      </c>
      <c r="DJ59" s="19">
        <v>-9338.6</v>
      </c>
      <c r="DK59" s="19">
        <v>-8146.01</v>
      </c>
      <c r="DL59" s="19">
        <v>-10707.36</v>
      </c>
      <c r="DM59" s="19">
        <v>-10340.290000000001</v>
      </c>
      <c r="DN59" s="19">
        <v>58728.46</v>
      </c>
      <c r="DO59" s="19">
        <v>30610.37</v>
      </c>
      <c r="DP59" s="19">
        <v>26134.63</v>
      </c>
      <c r="DQ59" s="19">
        <v>30515.41</v>
      </c>
      <c r="DR59" s="19">
        <v>34741.599999999999</v>
      </c>
      <c r="DS59" s="19">
        <v>36119.75</v>
      </c>
      <c r="DT59" s="19">
        <v>35830</v>
      </c>
      <c r="DU59" s="19">
        <v>34903.65</v>
      </c>
      <c r="DV59" s="19">
        <v>30944.84</v>
      </c>
      <c r="DW59" s="19">
        <v>31250.06</v>
      </c>
      <c r="DX59" s="19">
        <v>32438.34</v>
      </c>
    </row>
    <row r="60" spans="1:164" ht="15" x14ac:dyDescent="0.25">
      <c r="B60" s="31" t="s">
        <v>37</v>
      </c>
      <c r="C60" s="25"/>
      <c r="D60" s="25"/>
      <c r="E60" s="25"/>
      <c r="F60" s="25"/>
      <c r="G60" s="25"/>
      <c r="H60" s="25"/>
      <c r="I60" s="25"/>
      <c r="J60" s="25"/>
      <c r="O60" s="276"/>
      <c r="P60" s="15" t="s">
        <v>25</v>
      </c>
      <c r="Q60" s="19">
        <v>43471.756585125317</v>
      </c>
      <c r="R60" s="19">
        <v>37573.855689531287</v>
      </c>
      <c r="S60" s="19">
        <v>36905.295455925545</v>
      </c>
      <c r="T60" s="19">
        <v>34871.894488322658</v>
      </c>
      <c r="U60" s="19">
        <v>40727.091457001268</v>
      </c>
      <c r="V60" s="19">
        <v>42825.077518324979</v>
      </c>
      <c r="W60" s="19">
        <v>44954.202556147626</v>
      </c>
      <c r="X60" s="19">
        <v>45054.75137109276</v>
      </c>
      <c r="Y60" s="19">
        <v>40035.738044047088</v>
      </c>
      <c r="Z60" s="4"/>
      <c r="AA60" s="4"/>
      <c r="AB60" s="141"/>
      <c r="AC60" s="106"/>
      <c r="AD60" s="106"/>
      <c r="AE60" s="106"/>
      <c r="AF60" s="106"/>
      <c r="AG60" s="106"/>
      <c r="AH60" s="106"/>
      <c r="AI60" s="106"/>
      <c r="AJ60" s="106"/>
      <c r="AK60" s="4"/>
      <c r="BZ60" s="276"/>
      <c r="CA60" s="15" t="s">
        <v>12</v>
      </c>
      <c r="CB60" s="192">
        <v>-19115.536054840188</v>
      </c>
      <c r="CC60" s="192">
        <v>-29679.93398037623</v>
      </c>
      <c r="CD60" s="192">
        <v>-26963.097302028938</v>
      </c>
      <c r="CE60" s="192">
        <v>-94481.600095560469</v>
      </c>
      <c r="CF60" s="192">
        <v>-13828.211367771266</v>
      </c>
      <c r="CG60" s="192">
        <v>77659.575469534422</v>
      </c>
      <c r="CH60" s="192">
        <v>-7352.0554636912066</v>
      </c>
      <c r="CK60" s="276"/>
      <c r="CL60" s="15" t="s">
        <v>12</v>
      </c>
      <c r="CM60" s="192">
        <v>-18451.163270636142</v>
      </c>
      <c r="CN60" s="192">
        <v>-28422.895225256219</v>
      </c>
      <c r="CO60" s="192">
        <v>-24484.467022739307</v>
      </c>
      <c r="CP60" s="192">
        <v>-92269.447357146273</v>
      </c>
      <c r="CQ60" s="192">
        <v>-13005.819830836057</v>
      </c>
      <c r="CR60" s="192">
        <v>78142.801545532973</v>
      </c>
      <c r="CS60" s="192">
        <v>-7297.6028379733543</v>
      </c>
      <c r="CT60" s="193">
        <f>SUM(CM60:CS60)</f>
        <v>-105788.59399905437</v>
      </c>
      <c r="CU60" s="193">
        <f>SUM(CB60:CH60)</f>
        <v>-113760.85879473387</v>
      </c>
      <c r="CV60" s="193">
        <f>CT60-CU60</f>
        <v>7972.2647956794972</v>
      </c>
      <c r="CX60" s="276"/>
      <c r="CY60" s="15" t="s">
        <v>46</v>
      </c>
      <c r="CZ60" s="7">
        <v>60754.097144152227</v>
      </c>
      <c r="DA60" s="7">
        <v>59438.015717895469</v>
      </c>
      <c r="DB60" s="7">
        <v>103359.96808616596</v>
      </c>
      <c r="DC60" s="7">
        <v>173104.05072508441</v>
      </c>
      <c r="DD60" s="7">
        <v>174853.28910467497</v>
      </c>
      <c r="DE60" s="7">
        <v>181738.32370651662</v>
      </c>
      <c r="DF60" s="7">
        <v>175181.46525765545</v>
      </c>
      <c r="DG60" s="7">
        <v>234004.18921565125</v>
      </c>
      <c r="DH60" s="7">
        <v>214722.69448890528</v>
      </c>
      <c r="DI60" s="7">
        <v>217500.5064563354</v>
      </c>
      <c r="DJ60" s="7">
        <v>188275.16683715407</v>
      </c>
      <c r="DK60" s="7">
        <v>163457.59711939399</v>
      </c>
      <c r="DL60" s="7">
        <v>214406.61993017496</v>
      </c>
      <c r="DM60" s="7">
        <v>206785.10653110137</v>
      </c>
      <c r="DN60" s="7">
        <v>220949.79538769458</v>
      </c>
      <c r="DO60" s="7">
        <v>115364.05445489516</v>
      </c>
      <c r="DP60" s="7">
        <v>98333.437943159501</v>
      </c>
      <c r="DQ60" s="7">
        <v>115494.81261451752</v>
      </c>
      <c r="DR60" s="7">
        <v>131641.86149208201</v>
      </c>
      <c r="DS60" s="7">
        <v>136602.14287136923</v>
      </c>
      <c r="DT60" s="7">
        <v>135397.44000719738</v>
      </c>
      <c r="DU60" s="7">
        <v>132009.39011151501</v>
      </c>
      <c r="DV60" s="7">
        <v>117048.40463179296</v>
      </c>
      <c r="DW60" s="7">
        <v>118015.9729100175</v>
      </c>
      <c r="DX60" s="7">
        <v>121633.99438129396</v>
      </c>
    </row>
    <row r="61" spans="1:164" ht="15" x14ac:dyDescent="0.25">
      <c r="B61" t="s">
        <v>32</v>
      </c>
      <c r="C61" s="36">
        <v>0</v>
      </c>
      <c r="D61" s="36">
        <v>3542.7066619947968</v>
      </c>
      <c r="E61" s="36">
        <v>30136.455518898227</v>
      </c>
      <c r="F61" s="36">
        <v>273500.38459568418</v>
      </c>
      <c r="G61" s="36">
        <v>714630.19454973028</v>
      </c>
      <c r="H61" s="36">
        <v>1252115.2720556506</v>
      </c>
      <c r="I61" s="36">
        <v>1625934.6179925092</v>
      </c>
      <c r="J61" s="36">
        <v>1762960.5580065004</v>
      </c>
      <c r="O61" s="276"/>
      <c r="P61" s="15" t="s">
        <v>45</v>
      </c>
      <c r="Q61" s="19">
        <v>20708.53</v>
      </c>
      <c r="R61" s="19">
        <v>17927.830000000002</v>
      </c>
      <c r="S61" s="19">
        <v>17511.97</v>
      </c>
      <c r="T61" s="19">
        <v>16485.95</v>
      </c>
      <c r="U61" s="19">
        <v>19200.04</v>
      </c>
      <c r="V61" s="19">
        <v>20208.66</v>
      </c>
      <c r="W61" s="19">
        <v>21182.03</v>
      </c>
      <c r="X61" s="19">
        <v>21187.42</v>
      </c>
      <c r="Y61" s="19">
        <v>18832.849999999999</v>
      </c>
      <c r="Z61" s="4"/>
      <c r="AA61" s="4"/>
      <c r="AB61" s="141"/>
      <c r="AC61" s="106"/>
      <c r="AD61" s="106"/>
      <c r="AE61" s="106"/>
      <c r="AF61" s="106"/>
      <c r="AG61" s="106"/>
      <c r="AH61" s="106"/>
      <c r="AI61" s="106"/>
      <c r="AJ61" s="106"/>
      <c r="AK61" s="4"/>
      <c r="BZ61" s="276"/>
      <c r="CA61" s="16" t="s">
        <v>7</v>
      </c>
      <c r="CB61" s="192">
        <v>-16.3</v>
      </c>
      <c r="CC61" s="192">
        <v>-33.03</v>
      </c>
      <c r="CD61" s="192">
        <v>-34.06</v>
      </c>
      <c r="CE61" s="192">
        <v>-47.68</v>
      </c>
      <c r="CF61" s="192">
        <v>-111.07</v>
      </c>
      <c r="CG61" s="192">
        <v>-82.15</v>
      </c>
      <c r="CH61" s="192">
        <v>-127.42</v>
      </c>
      <c r="CK61" s="276"/>
      <c r="CL61" s="16" t="s">
        <v>7</v>
      </c>
      <c r="CM61" s="192">
        <v>-16.21</v>
      </c>
      <c r="CN61" s="192">
        <v>-32.61</v>
      </c>
      <c r="CO61" s="192">
        <v>-33.200000000000003</v>
      </c>
      <c r="CP61" s="192">
        <v>-46.05</v>
      </c>
      <c r="CQ61" s="192">
        <v>-106.81</v>
      </c>
      <c r="CR61" s="192">
        <v>-78.19</v>
      </c>
      <c r="CS61" s="192">
        <v>-121.1</v>
      </c>
      <c r="CX61" s="276"/>
      <c r="CY61" s="15" t="s">
        <v>12</v>
      </c>
      <c r="CZ61" s="7">
        <v>-9018.6843420362202</v>
      </c>
      <c r="DA61" s="7">
        <v>31400.728559016949</v>
      </c>
      <c r="DB61" s="7">
        <v>-37900.019203065363</v>
      </c>
      <c r="DC61" s="7">
        <v>-101569.10620095585</v>
      </c>
      <c r="DD61" s="7">
        <v>-103509.53133303807</v>
      </c>
      <c r="DE61" s="7">
        <v>-78442.013358746422</v>
      </c>
      <c r="DF61" s="7">
        <v>81381.345943949855</v>
      </c>
      <c r="DG61" s="7">
        <v>85474.889288604783</v>
      </c>
      <c r="DH61" s="7">
        <v>95152.435426224227</v>
      </c>
      <c r="DI61" s="7">
        <v>-16832.010106525442</v>
      </c>
      <c r="DJ61" s="7">
        <v>-76857.664936724948</v>
      </c>
      <c r="DK61" s="7">
        <v>-70203.704490376258</v>
      </c>
      <c r="DL61" s="7">
        <v>-110918.02150773036</v>
      </c>
      <c r="DM61" s="7">
        <v>-62370.276640203519</v>
      </c>
      <c r="DN61" s="7">
        <v>-110883.16032173509</v>
      </c>
      <c r="DO61" s="7">
        <v>-65035.886470164958</v>
      </c>
      <c r="DP61" s="7">
        <v>-49514.800112431563</v>
      </c>
      <c r="DQ61" s="7">
        <v>-46355.214909730319</v>
      </c>
      <c r="DR61" s="7">
        <v>72762.145923781267</v>
      </c>
      <c r="DS61" s="7">
        <v>144448.54448130322</v>
      </c>
      <c r="DT61" s="7">
        <v>107717.73543805329</v>
      </c>
      <c r="DU61" s="7">
        <v>28168.286227815086</v>
      </c>
      <c r="DV61" s="108">
        <v>-22581.990307734537</v>
      </c>
      <c r="DW61" s="7">
        <v>-49256.269142611694</v>
      </c>
      <c r="DX61" s="7">
        <v>-42210.919992506781</v>
      </c>
    </row>
    <row r="62" spans="1:164" ht="15" x14ac:dyDescent="0.25">
      <c r="B62" t="s">
        <v>33</v>
      </c>
      <c r="C62" s="36">
        <v>0.34412602678174997</v>
      </c>
      <c r="D62" s="36">
        <v>594.19753610000055</v>
      </c>
      <c r="E62" s="36">
        <v>8962.7201321071716</v>
      </c>
      <c r="F62" s="36">
        <v>32604.534313513876</v>
      </c>
      <c r="G62" s="36">
        <v>80268.39554484954</v>
      </c>
      <c r="H62" s="36">
        <v>133550.07117798761</v>
      </c>
      <c r="I62" s="36">
        <v>205226.49945065699</v>
      </c>
      <c r="J62" s="36">
        <v>266976.49556192581</v>
      </c>
      <c r="O62" s="276"/>
      <c r="P62" s="15" t="s">
        <v>46</v>
      </c>
      <c r="Q62" s="7">
        <v>64180.286585125315</v>
      </c>
      <c r="R62" s="7">
        <v>55501.685689531289</v>
      </c>
      <c r="S62" s="7">
        <v>54417.265455925546</v>
      </c>
      <c r="T62" s="7">
        <v>51357.844488322662</v>
      </c>
      <c r="U62" s="7">
        <v>59927.131457001269</v>
      </c>
      <c r="V62" s="7">
        <v>63033.737518324982</v>
      </c>
      <c r="W62" s="7">
        <v>66136.232556147617</v>
      </c>
      <c r="X62" s="7">
        <v>66242.171371092758</v>
      </c>
      <c r="Y62" s="7">
        <v>58868.588044047086</v>
      </c>
      <c r="Z62" s="4"/>
      <c r="AA62" s="4"/>
      <c r="AB62" s="141"/>
      <c r="AC62" s="106"/>
      <c r="AD62" s="106"/>
      <c r="AE62" s="106"/>
      <c r="AF62" s="106"/>
      <c r="AG62" s="106"/>
      <c r="AH62" s="106"/>
      <c r="AI62" s="106"/>
      <c r="AJ62" s="106"/>
      <c r="AK62" s="4"/>
      <c r="BZ62" s="276"/>
      <c r="CA62" s="15" t="s">
        <v>13</v>
      </c>
      <c r="CB62" s="192">
        <v>-19131.836054840187</v>
      </c>
      <c r="CC62" s="192">
        <v>-29712.963980376229</v>
      </c>
      <c r="CD62" s="192">
        <v>-26997.15730202894</v>
      </c>
      <c r="CE62" s="192">
        <v>-94529.280095560462</v>
      </c>
      <c r="CF62" s="192">
        <v>-13939.281367771266</v>
      </c>
      <c r="CG62" s="192">
        <v>77577.425469534428</v>
      </c>
      <c r="CH62" s="192">
        <v>-7479.4754636912066</v>
      </c>
      <c r="CK62" s="276"/>
      <c r="CL62" s="15" t="s">
        <v>13</v>
      </c>
      <c r="CM62" s="192">
        <v>-18467.373270636141</v>
      </c>
      <c r="CN62" s="192">
        <v>-28455.50522525622</v>
      </c>
      <c r="CO62" s="192">
        <v>-24517.667022739308</v>
      </c>
      <c r="CP62" s="192">
        <v>-92315.497357146276</v>
      </c>
      <c r="CQ62" s="192">
        <v>-13112.629830836056</v>
      </c>
      <c r="CR62" s="192">
        <v>78064.611545532971</v>
      </c>
      <c r="CS62" s="192">
        <v>-7418.7028379733547</v>
      </c>
      <c r="CX62" s="276"/>
      <c r="CY62" s="16" t="s">
        <v>7</v>
      </c>
      <c r="CZ62" s="7">
        <v>10.08</v>
      </c>
      <c r="DA62" s="7">
        <v>19.079999999999998</v>
      </c>
      <c r="DB62" s="7">
        <v>13.15</v>
      </c>
      <c r="DC62" s="7">
        <v>-7.53</v>
      </c>
      <c r="DD62" s="7">
        <v>-28.99</v>
      </c>
      <c r="DE62" s="7">
        <v>-45.23</v>
      </c>
      <c r="DF62" s="7">
        <v>-28.46</v>
      </c>
      <c r="DG62" s="7">
        <v>-11.11</v>
      </c>
      <c r="DH62" s="7">
        <v>-1.9</v>
      </c>
      <c r="DI62" s="7">
        <v>-6.24</v>
      </c>
      <c r="DJ62" s="7">
        <v>-15.62</v>
      </c>
      <c r="DK62" s="7">
        <v>-25.96</v>
      </c>
      <c r="DL62" s="7">
        <v>-70.540000000000006</v>
      </c>
      <c r="DM62" s="7">
        <v>-77.709999999999994</v>
      </c>
      <c r="DN62" s="7">
        <v>-110.94</v>
      </c>
      <c r="DO62" s="7">
        <v>-277.91000000000003</v>
      </c>
      <c r="DP62" s="7">
        <v>-254.26</v>
      </c>
      <c r="DQ62" s="7">
        <v>-414.92</v>
      </c>
      <c r="DR62" s="7">
        <v>-516.55999999999995</v>
      </c>
      <c r="DS62" s="7">
        <v>-406.42</v>
      </c>
      <c r="DT62" s="7">
        <v>-200.82</v>
      </c>
      <c r="DU62" s="7">
        <v>-73.69</v>
      </c>
      <c r="DV62" s="7">
        <v>-66.010000000000005</v>
      </c>
      <c r="DW62" s="7">
        <v>-146.08000000000001</v>
      </c>
      <c r="DX62" s="7">
        <v>-195.55</v>
      </c>
      <c r="DY62" s="187">
        <f>SUM('MEEIA 3 calcs'!AA62:AY62)</f>
        <v>-2935.78</v>
      </c>
      <c r="DZ62" s="200">
        <f>SUM(CZ62:DX62)-DY62</f>
        <v>-4.3600000000001273</v>
      </c>
    </row>
    <row r="63" spans="1:164" ht="15" x14ac:dyDescent="0.25">
      <c r="B63" t="s">
        <v>34</v>
      </c>
      <c r="C63" s="36">
        <v>0.38250960519337501</v>
      </c>
      <c r="D63" s="36">
        <v>592.84700439506275</v>
      </c>
      <c r="E63" s="36">
        <v>3788.6582603776305</v>
      </c>
      <c r="F63" s="36">
        <v>18535.810544392894</v>
      </c>
      <c r="G63" s="36">
        <v>43757.113824202133</v>
      </c>
      <c r="H63" s="36">
        <v>58774.468786924044</v>
      </c>
      <c r="I63" s="36">
        <v>83102.627859122615</v>
      </c>
      <c r="J63" s="36">
        <v>59438.654651636796</v>
      </c>
      <c r="O63" s="276"/>
      <c r="P63" s="15" t="s">
        <v>12</v>
      </c>
      <c r="Q63" s="7">
        <v>-34754.312339868906</v>
      </c>
      <c r="R63" s="7">
        <v>-23336.537893722067</v>
      </c>
      <c r="S63" s="7">
        <v>-33204.262082889327</v>
      </c>
      <c r="T63" s="7">
        <v>-9962.8436834200766</v>
      </c>
      <c r="U63" s="7">
        <v>33025.630506080146</v>
      </c>
      <c r="V63" s="7">
        <v>60917.371644751765</v>
      </c>
      <c r="W63" s="7">
        <v>56673.04545415286</v>
      </c>
      <c r="X63" s="7">
        <v>29807.689967789847</v>
      </c>
      <c r="Y63" s="7">
        <v>-7038.5842809724563</v>
      </c>
      <c r="Z63" s="89" t="s">
        <v>72</v>
      </c>
      <c r="AA63" s="89" t="s">
        <v>75</v>
      </c>
      <c r="AB63" s="141"/>
      <c r="AC63" s="106"/>
      <c r="AD63" s="106"/>
      <c r="AE63" s="106"/>
      <c r="AF63" s="106"/>
      <c r="AG63" s="106"/>
      <c r="AH63" s="106"/>
      <c r="AI63" s="106"/>
      <c r="AJ63" s="106"/>
      <c r="AK63" s="117"/>
      <c r="BZ63" s="276"/>
      <c r="CA63" s="17" t="s">
        <v>18</v>
      </c>
      <c r="CB63" s="192">
        <v>-127671.70965678364</v>
      </c>
      <c r="CC63" s="192">
        <v>-152198.53363715988</v>
      </c>
      <c r="CD63" s="192">
        <v>-174363.38093918882</v>
      </c>
      <c r="CE63" s="192">
        <v>-193449.93103474929</v>
      </c>
      <c r="CF63" s="192">
        <v>-193757.93240252056</v>
      </c>
      <c r="CG63" s="192">
        <v>-164277.77693298613</v>
      </c>
      <c r="CH63" s="192">
        <v>-161129.03239667733</v>
      </c>
      <c r="CK63" s="276"/>
      <c r="CL63" s="17" t="s">
        <v>18</v>
      </c>
      <c r="CM63" s="192">
        <v>-127007.24687257959</v>
      </c>
      <c r="CN63" s="192">
        <v>-150276.61209783581</v>
      </c>
      <c r="CO63" s="192">
        <v>-169961.96912057512</v>
      </c>
      <c r="CP63" s="192">
        <v>-186834.7364777214</v>
      </c>
      <c r="CQ63" s="192">
        <v>-186316.08630855745</v>
      </c>
      <c r="CR63" s="192">
        <v>-156348.74476302447</v>
      </c>
      <c r="CS63" s="192">
        <v>-153139.22760099784</v>
      </c>
      <c r="CX63" s="276"/>
      <c r="CY63" s="15" t="s">
        <v>13</v>
      </c>
      <c r="CZ63" s="7">
        <v>-9008.6043420362203</v>
      </c>
      <c r="DA63" s="7">
        <v>31419.80855901695</v>
      </c>
      <c r="DB63" s="7">
        <v>-37886.869203065362</v>
      </c>
      <c r="DC63" s="7">
        <v>-101576.63620095585</v>
      </c>
      <c r="DD63" s="7">
        <v>-103538.52133303808</v>
      </c>
      <c r="DE63" s="7">
        <v>-78487.243358746418</v>
      </c>
      <c r="DF63" s="7">
        <v>81352.885943949848</v>
      </c>
      <c r="DG63" s="7">
        <v>85463.779288604783</v>
      </c>
      <c r="DH63" s="7">
        <v>95150.535426224233</v>
      </c>
      <c r="DI63" s="7">
        <v>-16838.250106525444</v>
      </c>
      <c r="DJ63" s="7">
        <v>-76873.284936724944</v>
      </c>
      <c r="DK63" s="7">
        <v>-70229.664490376264</v>
      </c>
      <c r="DL63" s="7">
        <v>-110988.56150773035</v>
      </c>
      <c r="DM63" s="7">
        <v>-62447.986640203519</v>
      </c>
      <c r="DN63" s="7">
        <v>-110994.1003217351</v>
      </c>
      <c r="DO63" s="7">
        <v>-65313.796470164962</v>
      </c>
      <c r="DP63" s="7">
        <v>-49769.060112431565</v>
      </c>
      <c r="DQ63" s="7">
        <v>-46770.134909730317</v>
      </c>
      <c r="DR63" s="7">
        <v>72245.585923781269</v>
      </c>
      <c r="DS63" s="7">
        <v>144042.12448130321</v>
      </c>
      <c r="DT63" s="7">
        <v>107516.91543805329</v>
      </c>
      <c r="DU63" s="7">
        <v>28094.596227815087</v>
      </c>
      <c r="DV63" s="7">
        <v>-22648.000307734535</v>
      </c>
      <c r="DW63" s="7">
        <v>-49402.349142611696</v>
      </c>
      <c r="DX63" s="7">
        <v>-42406.469992506783</v>
      </c>
    </row>
    <row r="64" spans="1:164" ht="15" x14ac:dyDescent="0.25">
      <c r="B64" t="s">
        <v>35</v>
      </c>
      <c r="C64" s="36">
        <v>0</v>
      </c>
      <c r="D64" s="36">
        <v>10.498979963866001</v>
      </c>
      <c r="E64" s="36">
        <v>1076.2976856366847</v>
      </c>
      <c r="F64" s="36">
        <v>8208.8465748072213</v>
      </c>
      <c r="G64" s="36">
        <v>17844.087336984448</v>
      </c>
      <c r="H64" s="36">
        <v>19693.510444666666</v>
      </c>
      <c r="I64" s="36">
        <v>21979.473223835281</v>
      </c>
      <c r="J64" s="36">
        <v>14165.40710660777</v>
      </c>
      <c r="O64" s="276"/>
      <c r="P64" s="16" t="s">
        <v>7</v>
      </c>
      <c r="Q64" s="7">
        <v>-328.55</v>
      </c>
      <c r="R64" s="7">
        <v>-353.07</v>
      </c>
      <c r="S64" s="7">
        <v>-187.99</v>
      </c>
      <c r="T64" s="7">
        <v>-25.17</v>
      </c>
      <c r="U64" s="7">
        <v>-19.04</v>
      </c>
      <c r="V64" s="7">
        <v>-16.260000000000002</v>
      </c>
      <c r="W64" s="7">
        <v>-2.61</v>
      </c>
      <c r="X64" s="7">
        <v>2.9</v>
      </c>
      <c r="Y64" s="7">
        <v>6.65</v>
      </c>
      <c r="Z64" s="90">
        <v>-1011.1099999999999</v>
      </c>
      <c r="AA64" s="96">
        <v>87.969999999999914</v>
      </c>
      <c r="AB64" s="141"/>
      <c r="AC64" s="106"/>
      <c r="AD64" s="106"/>
      <c r="AE64" s="106"/>
      <c r="AF64" s="106"/>
      <c r="AG64" s="106"/>
      <c r="AH64" s="106"/>
      <c r="AI64" s="106"/>
      <c r="AJ64" s="106"/>
      <c r="AK64" s="118"/>
      <c r="CX64" s="276"/>
      <c r="CY64" s="17" t="s">
        <v>17</v>
      </c>
      <c r="CZ64" s="7">
        <v>60467.393854227506</v>
      </c>
      <c r="DA64" s="7">
        <v>111098.22241324445</v>
      </c>
      <c r="DB64" s="7">
        <v>67985.823210179093</v>
      </c>
      <c r="DC64" s="7">
        <v>-42279.402990776754</v>
      </c>
      <c r="DD64" s="7">
        <v>-154536.69432381482</v>
      </c>
      <c r="DE64" s="7">
        <v>-242056.14768256125</v>
      </c>
      <c r="DF64" s="7">
        <v>-169403.79173861141</v>
      </c>
      <c r="DG64" s="7">
        <v>-95571.752450006636</v>
      </c>
      <c r="DH64" s="7">
        <v>-11100.6670237824</v>
      </c>
      <c r="DI64" s="7">
        <v>-38753.917130307847</v>
      </c>
      <c r="DJ64" s="7">
        <v>-124965.8020670328</v>
      </c>
      <c r="DK64" s="7">
        <v>-203341.47655740904</v>
      </c>
      <c r="DL64" s="7">
        <v>-325037.39806513942</v>
      </c>
      <c r="DM64" s="7">
        <v>-397825.67470534297</v>
      </c>
      <c r="DN64" s="7">
        <v>-450091.31502707809</v>
      </c>
      <c r="DO64" s="7">
        <v>-484794.74149724306</v>
      </c>
      <c r="DP64" s="7">
        <v>-508429.17160967464</v>
      </c>
      <c r="DQ64" s="7">
        <v>-524683.89651940495</v>
      </c>
      <c r="DR64" s="7">
        <v>-417696.71059562371</v>
      </c>
      <c r="DS64" s="7">
        <v>-237534.8361143205</v>
      </c>
      <c r="DT64" s="7">
        <v>-94187.920676267211</v>
      </c>
      <c r="DU64" s="7">
        <v>-31189.674448452119</v>
      </c>
      <c r="DV64" s="7">
        <v>-22892.834756186654</v>
      </c>
      <c r="DW64" s="7">
        <v>-41045.123898798352</v>
      </c>
      <c r="DX64" s="7">
        <v>-51013.253891305139</v>
      </c>
    </row>
    <row r="65" spans="2:130" ht="15" x14ac:dyDescent="0.25">
      <c r="B65" t="s">
        <v>36</v>
      </c>
      <c r="C65" s="36">
        <v>0</v>
      </c>
      <c r="D65" s="36">
        <v>0</v>
      </c>
      <c r="E65" s="36">
        <v>178.04544936482247</v>
      </c>
      <c r="F65" s="36">
        <v>661.15950808601849</v>
      </c>
      <c r="G65" s="36">
        <v>877.99265710747466</v>
      </c>
      <c r="H65" s="36">
        <v>909.22642550037904</v>
      </c>
      <c r="I65" s="36">
        <v>1261.0041997151543</v>
      </c>
      <c r="J65" s="36">
        <v>997.60306748635742</v>
      </c>
      <c r="O65" s="276"/>
      <c r="P65" s="15" t="s">
        <v>13</v>
      </c>
      <c r="Q65" s="7">
        <v>-35082.862339868909</v>
      </c>
      <c r="R65" s="7">
        <v>-23689.607893722066</v>
      </c>
      <c r="S65" s="7">
        <v>-33392.252082889325</v>
      </c>
      <c r="T65" s="7">
        <v>-9988.0136834200766</v>
      </c>
      <c r="U65" s="7">
        <v>33006.590506080145</v>
      </c>
      <c r="V65" s="7">
        <v>60901.111644751763</v>
      </c>
      <c r="W65" s="7">
        <v>56670.435454152859</v>
      </c>
      <c r="X65" s="7">
        <v>29810.589967789849</v>
      </c>
      <c r="Y65" s="7">
        <v>-7031.9342809724567</v>
      </c>
      <c r="Z65" s="4"/>
      <c r="AA65" s="4"/>
      <c r="AB65" s="141"/>
      <c r="AC65" s="106"/>
      <c r="AD65" s="106"/>
      <c r="AE65" s="106"/>
      <c r="AF65" s="106"/>
      <c r="AG65" s="106"/>
      <c r="AH65" s="106"/>
      <c r="AI65" s="106"/>
      <c r="AJ65" s="106"/>
      <c r="AK65" s="4"/>
      <c r="CX65" s="35"/>
      <c r="CY65" s="11"/>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row>
    <row r="66" spans="2:130" ht="15" customHeight="1" x14ac:dyDescent="0.25">
      <c r="B66" t="s">
        <v>28</v>
      </c>
      <c r="C66" s="36">
        <v>0</v>
      </c>
      <c r="D66" s="36">
        <v>0</v>
      </c>
      <c r="E66" s="36">
        <v>0</v>
      </c>
      <c r="F66" s="36">
        <v>0</v>
      </c>
      <c r="G66" s="36">
        <v>0</v>
      </c>
      <c r="H66" s="36">
        <v>1171.3068451326408</v>
      </c>
      <c r="I66" s="36">
        <v>3700.907022561827</v>
      </c>
      <c r="J66" s="36">
        <v>5539.3571582453487</v>
      </c>
      <c r="O66" s="276"/>
      <c r="P66" s="17" t="s">
        <v>17</v>
      </c>
      <c r="Q66" s="7">
        <v>-218928.41939694106</v>
      </c>
      <c r="R66" s="7">
        <v>-224690.19729066311</v>
      </c>
      <c r="S66" s="7">
        <v>-240570.47937355243</v>
      </c>
      <c r="T66" s="7">
        <v>-234072.5430569725</v>
      </c>
      <c r="U66" s="7">
        <v>-181865.91255089236</v>
      </c>
      <c r="V66" s="7">
        <v>-100756.1409061406</v>
      </c>
      <c r="W66" s="7">
        <v>-22903.675451987743</v>
      </c>
      <c r="X66" s="7">
        <v>28094.334515802104</v>
      </c>
      <c r="Y66" s="7">
        <v>39895.250234829648</v>
      </c>
      <c r="Z66" s="4"/>
      <c r="AA66" s="4"/>
      <c r="AB66" s="141"/>
      <c r="AC66" s="106"/>
      <c r="AD66" s="106"/>
      <c r="AE66" s="106"/>
      <c r="AF66" s="106"/>
      <c r="AG66" s="106"/>
      <c r="AH66" s="106"/>
      <c r="AI66" s="106"/>
      <c r="AJ66" s="106"/>
      <c r="AK66" s="4"/>
      <c r="CX66" s="276" t="s">
        <v>23</v>
      </c>
      <c r="CY66" s="14"/>
      <c r="CZ66" s="7"/>
      <c r="DA66" s="7"/>
      <c r="DB66" s="7"/>
      <c r="DC66" s="7"/>
      <c r="DD66" s="7"/>
      <c r="DE66" s="7"/>
      <c r="DF66" s="7"/>
      <c r="DG66" s="7"/>
      <c r="DH66" s="7"/>
      <c r="DI66" s="7"/>
      <c r="DJ66" s="7"/>
      <c r="DK66" s="7"/>
      <c r="DL66" s="7"/>
      <c r="DM66" s="7"/>
      <c r="DN66" s="7"/>
      <c r="DO66" s="7"/>
      <c r="DP66" s="7"/>
      <c r="DQ66" s="7"/>
      <c r="DR66" s="7"/>
      <c r="DS66" s="7"/>
      <c r="DT66" s="7"/>
      <c r="DU66" s="7"/>
      <c r="DV66" s="108">
        <v>7972.2647956794972</v>
      </c>
      <c r="DW66" s="7"/>
      <c r="DX66" s="7"/>
    </row>
    <row r="67" spans="2:130" ht="15" x14ac:dyDescent="0.25">
      <c r="B67" s="28" t="s">
        <v>30</v>
      </c>
      <c r="C67" s="39">
        <f>SUM(C61:C66)</f>
        <v>0.72663563197512504</v>
      </c>
      <c r="D67" s="39">
        <f t="shared" ref="D67:J67" si="44">SUM(D61:D66)</f>
        <v>4740.2501824537267</v>
      </c>
      <c r="E67" s="39">
        <f t="shared" si="44"/>
        <v>44142.177046384539</v>
      </c>
      <c r="F67" s="39">
        <f t="shared" si="44"/>
        <v>333510.73553648428</v>
      </c>
      <c r="G67" s="39">
        <f t="shared" si="44"/>
        <v>857377.78391287383</v>
      </c>
      <c r="H67" s="39">
        <f t="shared" si="44"/>
        <v>1466213.8557358622</v>
      </c>
      <c r="I67" s="39">
        <f t="shared" si="44"/>
        <v>1941205.129748401</v>
      </c>
      <c r="J67" s="39">
        <f t="shared" si="44"/>
        <v>2110078.0755524025</v>
      </c>
      <c r="O67" s="35"/>
      <c r="P67" s="11"/>
      <c r="Q67" s="12"/>
      <c r="R67" s="12"/>
      <c r="S67" s="12"/>
      <c r="T67" s="12"/>
      <c r="U67" s="12"/>
      <c r="V67" s="12"/>
      <c r="W67" s="12"/>
      <c r="X67" s="12"/>
      <c r="Y67" s="12"/>
      <c r="Z67" s="4"/>
      <c r="AA67" s="4"/>
      <c r="AB67" s="141"/>
      <c r="AC67" s="106"/>
      <c r="AD67" s="106"/>
      <c r="AE67" s="106"/>
      <c r="AF67" s="106"/>
      <c r="AG67" s="106"/>
      <c r="AH67" s="106"/>
      <c r="AI67" s="106"/>
      <c r="AJ67" s="106"/>
      <c r="AK67" s="4"/>
      <c r="BZ67" s="24"/>
      <c r="CA67" s="24" t="s">
        <v>31</v>
      </c>
      <c r="CK67" s="24"/>
      <c r="CL67" s="24" t="s">
        <v>31</v>
      </c>
      <c r="CX67" s="276"/>
      <c r="CY67" s="14" t="s">
        <v>27</v>
      </c>
      <c r="CZ67" s="19">
        <v>12471.245557264963</v>
      </c>
      <c r="DA67" s="19">
        <v>12960.956487818141</v>
      </c>
      <c r="DB67" s="19">
        <v>11180.008563256184</v>
      </c>
      <c r="DC67" s="19">
        <v>10723.724250200386</v>
      </c>
      <c r="DD67" s="19">
        <v>12186.584798764601</v>
      </c>
      <c r="DE67" s="19">
        <v>21281.154475581399</v>
      </c>
      <c r="DF67" s="19">
        <v>66612.208134140514</v>
      </c>
      <c r="DG67" s="19">
        <v>73408.187300820806</v>
      </c>
      <c r="DH67" s="19">
        <v>73181.995355948209</v>
      </c>
      <c r="DI67" s="19">
        <v>44682.245754003154</v>
      </c>
      <c r="DJ67" s="19">
        <v>19447.902145822471</v>
      </c>
      <c r="DK67" s="19">
        <v>16125.741463642871</v>
      </c>
      <c r="DL67" s="19">
        <v>19063.36096942682</v>
      </c>
      <c r="DM67" s="19">
        <v>18825.407725594807</v>
      </c>
      <c r="DN67" s="19">
        <v>15042.280346882986</v>
      </c>
      <c r="DO67" s="19">
        <v>5372.5491881501548</v>
      </c>
      <c r="DP67" s="19">
        <v>5761.1753207721658</v>
      </c>
      <c r="DQ67" s="19">
        <v>7701.1665386990999</v>
      </c>
      <c r="DR67" s="19">
        <v>20816.695916117322</v>
      </c>
      <c r="DS67" s="19">
        <v>29321.450972661642</v>
      </c>
      <c r="DT67" s="19">
        <v>29057.042020850196</v>
      </c>
      <c r="DU67" s="19">
        <v>22639.119300577775</v>
      </c>
      <c r="DV67" s="19">
        <v>10522.674846079888</v>
      </c>
      <c r="DW67" s="19">
        <v>8402.9395721317924</v>
      </c>
      <c r="DX67" s="19">
        <v>10147.866510048789</v>
      </c>
    </row>
    <row r="68" spans="2:130" ht="15" x14ac:dyDescent="0.25">
      <c r="C68" s="40"/>
      <c r="D68" s="40"/>
      <c r="E68" s="40"/>
      <c r="F68" s="40"/>
      <c r="G68" s="40"/>
      <c r="H68" s="40"/>
      <c r="I68" s="40"/>
      <c r="J68" s="40"/>
      <c r="O68" s="276" t="s">
        <v>23</v>
      </c>
      <c r="P68" s="14"/>
      <c r="Q68" s="7"/>
      <c r="R68" s="7"/>
      <c r="S68" s="7"/>
      <c r="T68" s="7"/>
      <c r="U68" s="7"/>
      <c r="V68" s="7"/>
      <c r="W68" s="7"/>
      <c r="X68" s="7"/>
      <c r="Y68" s="7"/>
      <c r="Z68" s="4"/>
      <c r="AA68" s="4"/>
      <c r="AB68" s="141"/>
      <c r="AC68" s="106"/>
      <c r="AD68" s="106"/>
      <c r="AE68" s="106"/>
      <c r="AF68" s="106"/>
      <c r="AG68" s="106"/>
      <c r="AH68" s="106"/>
      <c r="AI68" s="106"/>
      <c r="AJ68" s="106"/>
      <c r="AK68" s="4"/>
      <c r="CA68" t="s">
        <v>32</v>
      </c>
      <c r="CB68" s="38">
        <v>849229853</v>
      </c>
      <c r="CC68" s="38">
        <v>1063566547</v>
      </c>
      <c r="CD68" s="38">
        <v>1372451320</v>
      </c>
      <c r="CE68" s="38">
        <v>1445914846</v>
      </c>
      <c r="CF68" s="38">
        <v>1156058653</v>
      </c>
      <c r="CG68" s="38">
        <v>900363528</v>
      </c>
      <c r="CH68" s="38">
        <v>837159184</v>
      </c>
      <c r="CL68" t="s">
        <v>32</v>
      </c>
      <c r="CM68" s="38">
        <v>616534565.60039997</v>
      </c>
      <c r="CN68" s="38">
        <v>621003419.78059995</v>
      </c>
      <c r="CO68" s="38">
        <v>656971283.38569999</v>
      </c>
      <c r="CP68" s="38">
        <v>646272651.48329997</v>
      </c>
      <c r="CQ68" s="38">
        <v>615981334.59430003</v>
      </c>
      <c r="CR68" s="38">
        <v>577077250.67460001</v>
      </c>
      <c r="CS68" s="38">
        <v>787949883.91209996</v>
      </c>
      <c r="CX68" s="276"/>
      <c r="CY68" s="15" t="s">
        <v>25</v>
      </c>
      <c r="CZ68" s="19">
        <v>22338.840952659717</v>
      </c>
      <c r="DA68" s="19">
        <v>20382.980401475455</v>
      </c>
      <c r="DB68" s="19">
        <v>32953.904164207008</v>
      </c>
      <c r="DC68" s="19">
        <v>23500.247497740351</v>
      </c>
      <c r="DD68" s="19">
        <v>40293.609086971141</v>
      </c>
      <c r="DE68" s="19">
        <v>41000.534789952151</v>
      </c>
      <c r="DF68" s="19">
        <v>39665.300517775315</v>
      </c>
      <c r="DG68" s="19">
        <v>50592.172457307752</v>
      </c>
      <c r="DH68" s="19">
        <v>48111.888839753803</v>
      </c>
      <c r="DI68" s="19">
        <v>52046.073170238742</v>
      </c>
      <c r="DJ68" s="19">
        <v>47917.124744080225</v>
      </c>
      <c r="DK68" s="19">
        <v>31542.387518483061</v>
      </c>
      <c r="DL68" s="19">
        <v>43557.154949803051</v>
      </c>
      <c r="DM68" s="19">
        <v>40956.195027623748</v>
      </c>
      <c r="DN68" s="19">
        <v>34081.150442443461</v>
      </c>
      <c r="DO68" s="19">
        <v>5569.4805559214219</v>
      </c>
      <c r="DP68" s="19">
        <v>-23801.130148762259</v>
      </c>
      <c r="DQ68" s="19">
        <v>4425.0020023903071</v>
      </c>
      <c r="DR68" s="19">
        <v>5427.3573983012948</v>
      </c>
      <c r="DS68" s="19">
        <v>6149.5954103370386</v>
      </c>
      <c r="DT68" s="19">
        <v>6063.694935624073</v>
      </c>
      <c r="DU68" s="19">
        <v>6340.9099918320171</v>
      </c>
      <c r="DV68" s="19">
        <v>5452.5804092461303</v>
      </c>
      <c r="DW68" s="19">
        <v>5374.9963437301585</v>
      </c>
      <c r="DX68" s="19">
        <v>4968.6713975309985</v>
      </c>
    </row>
    <row r="69" spans="2:130" ht="15" x14ac:dyDescent="0.25">
      <c r="B69" s="31" t="s">
        <v>38</v>
      </c>
      <c r="C69" s="40"/>
      <c r="D69" s="40"/>
      <c r="E69" s="40"/>
      <c r="F69" s="40"/>
      <c r="G69" s="40"/>
      <c r="H69" s="40"/>
      <c r="I69" s="40"/>
      <c r="J69" s="40"/>
      <c r="O69" s="276"/>
      <c r="P69" s="14" t="s">
        <v>27</v>
      </c>
      <c r="Q69" s="19">
        <v>4714.4220035550234</v>
      </c>
      <c r="R69" s="19">
        <v>4933.2233077077817</v>
      </c>
      <c r="S69" s="19">
        <v>4340.5509347173938</v>
      </c>
      <c r="T69" s="19">
        <v>11799.946486826884</v>
      </c>
      <c r="U69" s="19">
        <v>38257.943252341713</v>
      </c>
      <c r="V69" s="19">
        <v>40690.592006909494</v>
      </c>
      <c r="W69" s="19">
        <v>41885.585703975645</v>
      </c>
      <c r="X69" s="19">
        <v>26780.761635291285</v>
      </c>
      <c r="Y69" s="19">
        <v>10597.262650374174</v>
      </c>
      <c r="Z69" s="2"/>
      <c r="AA69" s="2"/>
      <c r="AB69" s="141"/>
      <c r="AC69" s="106"/>
      <c r="AD69" s="106"/>
      <c r="AE69" s="106"/>
      <c r="AF69" s="106"/>
      <c r="AG69" s="106"/>
      <c r="AH69" s="106"/>
      <c r="AI69" s="106"/>
      <c r="AJ69" s="106"/>
      <c r="AK69" s="2"/>
      <c r="CA69" t="s">
        <v>33</v>
      </c>
      <c r="CB69" s="38">
        <v>219607166</v>
      </c>
      <c r="CC69" s="38">
        <v>250466096</v>
      </c>
      <c r="CD69" s="38">
        <v>295383726</v>
      </c>
      <c r="CE69" s="38">
        <v>301077290</v>
      </c>
      <c r="CF69" s="38">
        <v>261058604</v>
      </c>
      <c r="CG69" s="38">
        <v>230949228</v>
      </c>
      <c r="CH69" s="38">
        <v>223998788</v>
      </c>
      <c r="CL69" t="s">
        <v>33</v>
      </c>
      <c r="CM69" s="38">
        <v>219607159</v>
      </c>
      <c r="CN69" s="38">
        <v>250528302</v>
      </c>
      <c r="CO69" s="38">
        <v>295412831</v>
      </c>
      <c r="CP69" s="38">
        <v>301068791</v>
      </c>
      <c r="CQ69" s="38">
        <v>261058604</v>
      </c>
      <c r="CR69" s="38">
        <v>230949228</v>
      </c>
      <c r="CS69" s="38">
        <v>223998788</v>
      </c>
      <c r="CX69" s="276"/>
      <c r="CY69" s="15" t="s">
        <v>45</v>
      </c>
      <c r="CZ69" s="19">
        <v>2985.57</v>
      </c>
      <c r="DA69" s="19">
        <v>2730.44</v>
      </c>
      <c r="DB69" s="19">
        <v>3897.15</v>
      </c>
      <c r="DC69" s="19">
        <v>2784.02</v>
      </c>
      <c r="DD69" s="19">
        <v>4719.3</v>
      </c>
      <c r="DE69" s="19">
        <v>4794.6000000000004</v>
      </c>
      <c r="DF69" s="19">
        <v>4627.3500000000004</v>
      </c>
      <c r="DG69" s="19">
        <v>5905.37</v>
      </c>
      <c r="DH69" s="19">
        <v>5621.67</v>
      </c>
      <c r="DI69" s="19">
        <v>6078.73</v>
      </c>
      <c r="DJ69" s="19">
        <v>5571.58</v>
      </c>
      <c r="DK69" s="19">
        <v>3698.89</v>
      </c>
      <c r="DL69" s="19">
        <v>5186.1400000000003</v>
      </c>
      <c r="DM69" s="19">
        <v>4832.3100000000004</v>
      </c>
      <c r="DN69" s="19">
        <v>75442.73</v>
      </c>
      <c r="DO69" s="19">
        <v>13631.28</v>
      </c>
      <c r="DP69" s="19">
        <v>-48097.27</v>
      </c>
      <c r="DQ69" s="19">
        <v>10628.22</v>
      </c>
      <c r="DR69" s="19">
        <v>12955.95</v>
      </c>
      <c r="DS69" s="19">
        <v>14863.58</v>
      </c>
      <c r="DT69" s="19">
        <v>14696.75</v>
      </c>
      <c r="DU69" s="19">
        <v>15321.62</v>
      </c>
      <c r="DV69" s="19">
        <v>13162.71</v>
      </c>
      <c r="DW69" s="19">
        <v>13147.52</v>
      </c>
      <c r="DX69" s="19">
        <v>12907.03</v>
      </c>
    </row>
    <row r="70" spans="2:130" ht="15" x14ac:dyDescent="0.25">
      <c r="B70" s="33" t="s">
        <v>32</v>
      </c>
      <c r="C70" s="40">
        <v>0</v>
      </c>
      <c r="D70" s="40">
        <v>3542.7066619947968</v>
      </c>
      <c r="E70" s="40">
        <v>26593.748856903429</v>
      </c>
      <c r="F70" s="40">
        <v>243363.92907678595</v>
      </c>
      <c r="G70" s="40">
        <v>441129.8099540461</v>
      </c>
      <c r="H70" s="40">
        <v>537485.07750592032</v>
      </c>
      <c r="I70" s="40">
        <v>373819.34593685856</v>
      </c>
      <c r="J70" s="40">
        <v>137025.9400139912</v>
      </c>
      <c r="O70" s="276"/>
      <c r="P70" s="15" t="s">
        <v>25</v>
      </c>
      <c r="Q70" s="19">
        <v>10792.766596240668</v>
      </c>
      <c r="R70" s="19">
        <v>19312.38401960209</v>
      </c>
      <c r="S70" s="19">
        <v>21254.31297935671</v>
      </c>
      <c r="T70" s="19">
        <v>21637.663415217026</v>
      </c>
      <c r="U70" s="19">
        <v>16834.533975023267</v>
      </c>
      <c r="V70" s="19">
        <v>24355.538593432568</v>
      </c>
      <c r="W70" s="19">
        <v>25113.656296491379</v>
      </c>
      <c r="X70" s="19">
        <v>25507.793919774442</v>
      </c>
      <c r="Y70" s="19">
        <v>22463.576853042847</v>
      </c>
      <c r="Z70" s="4"/>
      <c r="AA70" s="4"/>
      <c r="AB70" s="141"/>
      <c r="AC70" s="106"/>
      <c r="AD70" s="106"/>
      <c r="AE70" s="106"/>
      <c r="AF70" s="106"/>
      <c r="AG70" s="106"/>
      <c r="AH70" s="106"/>
      <c r="AI70" s="106"/>
      <c r="AJ70" s="106"/>
      <c r="AK70" s="4"/>
      <c r="CA70" t="s">
        <v>34</v>
      </c>
      <c r="CB70" s="38">
        <v>505304455</v>
      </c>
      <c r="CC70" s="38">
        <v>555282313.60000002</v>
      </c>
      <c r="CD70" s="38">
        <v>590675076</v>
      </c>
      <c r="CE70" s="38">
        <v>582248455</v>
      </c>
      <c r="CF70" s="38">
        <v>534070902</v>
      </c>
      <c r="CG70" s="38">
        <v>506459043</v>
      </c>
      <c r="CH70" s="38">
        <v>516003997</v>
      </c>
      <c r="CL70" t="s">
        <v>34</v>
      </c>
      <c r="CM70" s="38">
        <v>505304455</v>
      </c>
      <c r="CN70" s="38">
        <v>552284069</v>
      </c>
      <c r="CO70" s="38">
        <v>590858313</v>
      </c>
      <c r="CP70" s="38">
        <v>582248455</v>
      </c>
      <c r="CQ70" s="38">
        <v>534070902</v>
      </c>
      <c r="CR70" s="38">
        <v>506459043</v>
      </c>
      <c r="CS70" s="38">
        <v>516003997</v>
      </c>
      <c r="CX70" s="276"/>
      <c r="CY70" s="15" t="s">
        <v>46</v>
      </c>
      <c r="CZ70" s="7">
        <v>25324.410952659717</v>
      </c>
      <c r="DA70" s="7">
        <v>23113.420401475454</v>
      </c>
      <c r="DB70" s="7">
        <v>36851.054164207009</v>
      </c>
      <c r="DC70" s="7">
        <v>26284.267497740351</v>
      </c>
      <c r="DD70" s="7">
        <v>45012.909086971144</v>
      </c>
      <c r="DE70" s="7">
        <v>45795.13478995215</v>
      </c>
      <c r="DF70" s="7">
        <v>44292.650517775313</v>
      </c>
      <c r="DG70" s="7">
        <v>56497.542457307754</v>
      </c>
      <c r="DH70" s="7">
        <v>53733.558839753801</v>
      </c>
      <c r="DI70" s="7">
        <v>58124.803170238738</v>
      </c>
      <c r="DJ70" s="7">
        <v>53488.704744080227</v>
      </c>
      <c r="DK70" s="7">
        <v>35241.277518483061</v>
      </c>
      <c r="DL70" s="7">
        <v>48743.29494980305</v>
      </c>
      <c r="DM70" s="7">
        <v>45788.505027623745</v>
      </c>
      <c r="DN70" s="7">
        <v>109523.88044244345</v>
      </c>
      <c r="DO70" s="7">
        <v>19200.760555921421</v>
      </c>
      <c r="DP70" s="7">
        <v>-71898.400148762259</v>
      </c>
      <c r="DQ70" s="7">
        <v>15053.222002390306</v>
      </c>
      <c r="DR70" s="7">
        <v>18383.307398301295</v>
      </c>
      <c r="DS70" s="7">
        <v>21013.17541033704</v>
      </c>
      <c r="DT70" s="7">
        <v>20760.444935624073</v>
      </c>
      <c r="DU70" s="7">
        <v>21662.529991832016</v>
      </c>
      <c r="DV70" s="7">
        <v>18615.290409246129</v>
      </c>
      <c r="DW70" s="7">
        <v>18522.51634373016</v>
      </c>
      <c r="DX70" s="7">
        <v>17875.701397531</v>
      </c>
    </row>
    <row r="71" spans="2:130" ht="15" x14ac:dyDescent="0.25">
      <c r="B71" s="33" t="s">
        <v>33</v>
      </c>
      <c r="C71" s="40">
        <v>0.34412602678174997</v>
      </c>
      <c r="D71" s="40">
        <v>593.85341007321881</v>
      </c>
      <c r="E71" s="40">
        <v>8368.5225960071712</v>
      </c>
      <c r="F71" s="40">
        <v>23641.814181406706</v>
      </c>
      <c r="G71" s="40">
        <v>47663.861231335664</v>
      </c>
      <c r="H71" s="40">
        <v>53281.675633138075</v>
      </c>
      <c r="I71" s="40">
        <v>71676.428272669378</v>
      </c>
      <c r="J71" s="40">
        <v>61749.996111268818</v>
      </c>
      <c r="O71" s="276"/>
      <c r="P71" s="15" t="s">
        <v>45</v>
      </c>
      <c r="Q71" s="19">
        <v>1504.68</v>
      </c>
      <c r="R71" s="19">
        <v>2591.88</v>
      </c>
      <c r="S71" s="19">
        <v>2838.35</v>
      </c>
      <c r="T71" s="19">
        <v>2881.77</v>
      </c>
      <c r="U71" s="19">
        <v>2250.5100000000002</v>
      </c>
      <c r="V71" s="19">
        <v>3239.4</v>
      </c>
      <c r="W71" s="19">
        <v>3336.64</v>
      </c>
      <c r="X71" s="19">
        <v>3384.12</v>
      </c>
      <c r="Y71" s="19">
        <v>2980.87</v>
      </c>
      <c r="Z71" s="4"/>
      <c r="AA71" s="4"/>
      <c r="AB71" s="141"/>
      <c r="AC71" s="106"/>
      <c r="AD71" s="106"/>
      <c r="AE71" s="106"/>
      <c r="AF71" s="106"/>
      <c r="AG71" s="106"/>
      <c r="AH71" s="106"/>
      <c r="AI71" s="106"/>
      <c r="AJ71" s="106"/>
      <c r="AK71" s="4"/>
      <c r="CA71" t="s">
        <v>35</v>
      </c>
      <c r="CB71" s="38">
        <v>200697530</v>
      </c>
      <c r="CC71" s="38">
        <v>269908616.5</v>
      </c>
      <c r="CD71" s="38">
        <v>254759231</v>
      </c>
      <c r="CE71" s="38">
        <v>236605471</v>
      </c>
      <c r="CF71" s="38">
        <v>220600472</v>
      </c>
      <c r="CG71" s="38">
        <v>227017145</v>
      </c>
      <c r="CH71" s="38">
        <v>225997805</v>
      </c>
      <c r="CL71" t="s">
        <v>35</v>
      </c>
      <c r="CM71" s="38">
        <v>200697530</v>
      </c>
      <c r="CN71" s="38">
        <v>263803028</v>
      </c>
      <c r="CO71" s="38">
        <v>254759231</v>
      </c>
      <c r="CP71" s="38">
        <v>236605471</v>
      </c>
      <c r="CQ71" s="38">
        <v>220600472</v>
      </c>
      <c r="CR71" s="38">
        <v>227017145</v>
      </c>
      <c r="CS71" s="38">
        <v>225997805</v>
      </c>
      <c r="CX71" s="276"/>
      <c r="CY71" s="15" t="s">
        <v>12</v>
      </c>
      <c r="CZ71" s="7">
        <v>-12853.165395394753</v>
      </c>
      <c r="DA71" s="7">
        <v>-10152.463913657313</v>
      </c>
      <c r="DB71" s="7">
        <v>-25671.045600950827</v>
      </c>
      <c r="DC71" s="7">
        <v>-15560.543247539965</v>
      </c>
      <c r="DD71" s="7">
        <v>-32826.324288206539</v>
      </c>
      <c r="DE71" s="7">
        <v>-24513.98031437075</v>
      </c>
      <c r="DF71" s="7">
        <v>22319.5576163652</v>
      </c>
      <c r="DG71" s="7">
        <v>16910.644843513051</v>
      </c>
      <c r="DH71" s="7">
        <v>19448.436516194408</v>
      </c>
      <c r="DI71" s="7">
        <v>-13442.557416235584</v>
      </c>
      <c r="DJ71" s="7">
        <v>-34040.802598257753</v>
      </c>
      <c r="DK71" s="7">
        <v>-19115.536054840188</v>
      </c>
      <c r="DL71" s="7">
        <v>-29679.93398037623</v>
      </c>
      <c r="DM71" s="7">
        <v>-26963.097302028938</v>
      </c>
      <c r="DN71" s="7">
        <v>-94481.600095560469</v>
      </c>
      <c r="DO71" s="7">
        <v>-13828.211367771266</v>
      </c>
      <c r="DP71" s="7">
        <v>77659.575469534422</v>
      </c>
      <c r="DQ71" s="7">
        <v>-7352.0554636912066</v>
      </c>
      <c r="DR71" s="7">
        <v>2433.3885178160272</v>
      </c>
      <c r="DS71" s="7">
        <v>8308.2755623246012</v>
      </c>
      <c r="DT71" s="7">
        <v>8296.5970852261235</v>
      </c>
      <c r="DU71" s="7">
        <v>976.5893087457589</v>
      </c>
      <c r="DV71" s="108">
        <v>-120.35076748674328</v>
      </c>
      <c r="DW71" s="7">
        <v>-10119.576771598367</v>
      </c>
      <c r="DX71" s="7">
        <v>-7727.8348874822113</v>
      </c>
    </row>
    <row r="72" spans="2:130" ht="15" x14ac:dyDescent="0.25">
      <c r="B72" s="33" t="s">
        <v>34</v>
      </c>
      <c r="C72" s="40">
        <v>0.38250960519337501</v>
      </c>
      <c r="D72" s="40">
        <v>592.84700439506275</v>
      </c>
      <c r="E72" s="40">
        <v>3788.6582603776305</v>
      </c>
      <c r="F72" s="40">
        <v>18535.810544392894</v>
      </c>
      <c r="G72" s="40">
        <v>43757.113824202133</v>
      </c>
      <c r="H72" s="40">
        <v>58774.468786924044</v>
      </c>
      <c r="I72" s="40">
        <v>83102.627859122615</v>
      </c>
      <c r="J72" s="40">
        <v>59438.654651636796</v>
      </c>
      <c r="O72" s="276"/>
      <c r="P72" s="15" t="s">
        <v>46</v>
      </c>
      <c r="Q72" s="7">
        <v>12297.446596240668</v>
      </c>
      <c r="R72" s="7">
        <v>21904.264019602091</v>
      </c>
      <c r="S72" s="7">
        <v>24092.662979356708</v>
      </c>
      <c r="T72" s="7">
        <v>24519.433415217027</v>
      </c>
      <c r="U72" s="7">
        <v>19085.043975023269</v>
      </c>
      <c r="V72" s="7">
        <v>27594.938593432569</v>
      </c>
      <c r="W72" s="7">
        <v>28450.296296491379</v>
      </c>
      <c r="X72" s="7">
        <v>28891.913919774441</v>
      </c>
      <c r="Y72" s="7">
        <v>25444.446853042846</v>
      </c>
      <c r="Z72" s="4"/>
      <c r="AA72" s="4"/>
      <c r="AB72" s="141"/>
      <c r="AC72" s="106"/>
      <c r="AD72" s="106"/>
      <c r="AE72" s="106"/>
      <c r="AF72" s="106"/>
      <c r="AG72" s="106"/>
      <c r="AH72" s="106"/>
      <c r="AI72" s="106"/>
      <c r="AJ72" s="106"/>
      <c r="AK72" s="4"/>
      <c r="CA72" t="s">
        <v>36</v>
      </c>
      <c r="CB72" s="38">
        <v>69778498</v>
      </c>
      <c r="CC72" s="38">
        <v>120928612.40000001</v>
      </c>
      <c r="CD72" s="38">
        <v>91160220</v>
      </c>
      <c r="CE72" s="38">
        <v>84926008</v>
      </c>
      <c r="CF72" s="38">
        <v>81012090</v>
      </c>
      <c r="CG72" s="38">
        <v>85726323</v>
      </c>
      <c r="CH72" s="38">
        <v>71350428</v>
      </c>
      <c r="CL72" t="s">
        <v>36</v>
      </c>
      <c r="CM72" s="38">
        <v>69778498</v>
      </c>
      <c r="CN72" s="38">
        <v>110311543</v>
      </c>
      <c r="CO72" s="38">
        <v>91160220</v>
      </c>
      <c r="CP72" s="38">
        <v>84926008</v>
      </c>
      <c r="CQ72" s="38">
        <v>81012090</v>
      </c>
      <c r="CR72" s="38">
        <v>85726323</v>
      </c>
      <c r="CS72" s="38">
        <v>71350428</v>
      </c>
      <c r="CX72" s="276"/>
      <c r="CY72" s="16" t="s">
        <v>7</v>
      </c>
      <c r="CZ72" s="7">
        <v>-10.210000000000001</v>
      </c>
      <c r="DA72" s="7">
        <v>-11.8</v>
      </c>
      <c r="DB72" s="7">
        <v>-17.510000000000002</v>
      </c>
      <c r="DC72" s="7">
        <v>-18.39</v>
      </c>
      <c r="DD72" s="7">
        <v>-24.65</v>
      </c>
      <c r="DE72" s="7">
        <v>-28.25</v>
      </c>
      <c r="DF72" s="7">
        <v>-20.87</v>
      </c>
      <c r="DG72" s="7">
        <v>-11.79</v>
      </c>
      <c r="DH72" s="7">
        <v>-13.05</v>
      </c>
      <c r="DI72" s="7">
        <v>-13.48</v>
      </c>
      <c r="DJ72" s="7">
        <v>-14.03</v>
      </c>
      <c r="DK72" s="7">
        <v>-16.3</v>
      </c>
      <c r="DL72" s="7">
        <v>-33.03</v>
      </c>
      <c r="DM72" s="7">
        <v>-34.06</v>
      </c>
      <c r="DN72" s="7">
        <v>-47.68</v>
      </c>
      <c r="DO72" s="7">
        <v>-111.07</v>
      </c>
      <c r="DP72" s="7">
        <v>-82.15</v>
      </c>
      <c r="DQ72" s="7">
        <v>-127.42</v>
      </c>
      <c r="DR72" s="7">
        <v>-180.45</v>
      </c>
      <c r="DS72" s="7">
        <v>-210.37</v>
      </c>
      <c r="DT72" s="7">
        <v>-213.59</v>
      </c>
      <c r="DU72" s="7">
        <v>-198.63</v>
      </c>
      <c r="DV72" s="7">
        <v>-205.41</v>
      </c>
      <c r="DW72" s="7">
        <v>-243.63</v>
      </c>
      <c r="DX72" s="7">
        <v>-243.48</v>
      </c>
      <c r="DY72" s="187">
        <f>SUM('MEEIA 3 calcs'!AA72:AY72)</f>
        <v>-2135.6999999999998</v>
      </c>
      <c r="DZ72" s="200">
        <f>SUM(CZ72:DX72)-DY72</f>
        <v>4.4000000000000909</v>
      </c>
    </row>
    <row r="73" spans="2:130" ht="15" x14ac:dyDescent="0.25">
      <c r="B73" s="33" t="s">
        <v>34</v>
      </c>
      <c r="C73" s="40">
        <v>0</v>
      </c>
      <c r="D73" s="40">
        <v>10.498979963866001</v>
      </c>
      <c r="E73" s="40">
        <v>1076.2976856366847</v>
      </c>
      <c r="F73" s="40">
        <v>8208.8465748072213</v>
      </c>
      <c r="G73" s="40">
        <v>17844.087336984448</v>
      </c>
      <c r="H73" s="40">
        <v>19693.510444666666</v>
      </c>
      <c r="I73" s="40">
        <v>21979.473223835281</v>
      </c>
      <c r="J73" s="40">
        <v>14165.40710660777</v>
      </c>
      <c r="O73" s="276"/>
      <c r="P73" s="15" t="s">
        <v>12</v>
      </c>
      <c r="Q73" s="7">
        <v>-7583.0245926856451</v>
      </c>
      <c r="R73" s="7">
        <v>-16971.040711894311</v>
      </c>
      <c r="S73" s="7">
        <v>-19752.112044639314</v>
      </c>
      <c r="T73" s="7">
        <v>-12719.486928390143</v>
      </c>
      <c r="U73" s="7">
        <v>19172.899277318444</v>
      </c>
      <c r="V73" s="7">
        <v>13095.653413476924</v>
      </c>
      <c r="W73" s="7">
        <v>13435.289407484266</v>
      </c>
      <c r="X73" s="7">
        <v>-2111.1522844831561</v>
      </c>
      <c r="Y73" s="7">
        <v>-14847.184202668672</v>
      </c>
      <c r="Z73" s="89" t="s">
        <v>72</v>
      </c>
      <c r="AA73" s="89" t="s">
        <v>75</v>
      </c>
      <c r="AB73" s="141"/>
      <c r="AC73" s="106"/>
      <c r="AD73" s="106"/>
      <c r="AE73" s="106"/>
      <c r="AF73" s="106"/>
      <c r="AG73" s="106"/>
      <c r="AH73" s="106"/>
      <c r="AI73" s="106"/>
      <c r="AJ73" s="106"/>
      <c r="AK73" s="117"/>
      <c r="BZ73" s="28"/>
      <c r="CA73" s="28" t="s">
        <v>30</v>
      </c>
      <c r="CB73" s="29">
        <v>1844617502</v>
      </c>
      <c r="CC73" s="29">
        <v>2260152185.5</v>
      </c>
      <c r="CD73" s="29">
        <v>2604429573</v>
      </c>
      <c r="CE73" s="29">
        <v>2650772070</v>
      </c>
      <c r="CF73" s="29">
        <v>2252800721</v>
      </c>
      <c r="CG73" s="29">
        <v>1950515267</v>
      </c>
      <c r="CH73" s="29">
        <v>1874510202</v>
      </c>
      <c r="CK73" s="28"/>
      <c r="CL73" s="28" t="s">
        <v>30</v>
      </c>
      <c r="CM73" s="29">
        <v>1611922207.6004</v>
      </c>
      <c r="CN73" s="29">
        <v>1797930361.7806001</v>
      </c>
      <c r="CO73" s="29">
        <v>1889161878.3857</v>
      </c>
      <c r="CP73" s="29">
        <v>1851121376.4833</v>
      </c>
      <c r="CQ73" s="29">
        <v>1712723402.5943</v>
      </c>
      <c r="CR73" s="29">
        <v>1627228989.6746001</v>
      </c>
      <c r="CS73" s="29">
        <v>1825300901.9120998</v>
      </c>
      <c r="CX73" s="276"/>
      <c r="CY73" s="15" t="s">
        <v>13</v>
      </c>
      <c r="CZ73" s="7">
        <v>-12863.375395394753</v>
      </c>
      <c r="DA73" s="7">
        <v>-10164.263913657313</v>
      </c>
      <c r="DB73" s="7">
        <v>-25688.555600950825</v>
      </c>
      <c r="DC73" s="7">
        <v>-15578.933247539964</v>
      </c>
      <c r="DD73" s="7">
        <v>-32850.97428820654</v>
      </c>
      <c r="DE73" s="7">
        <v>-24542.23031437075</v>
      </c>
      <c r="DF73" s="7">
        <v>22298.687616365201</v>
      </c>
      <c r="DG73" s="7">
        <v>16898.854843513051</v>
      </c>
      <c r="DH73" s="7">
        <v>19435.386516194409</v>
      </c>
      <c r="DI73" s="7">
        <v>-13456.037416235584</v>
      </c>
      <c r="DJ73" s="7">
        <v>-34054.832598257752</v>
      </c>
      <c r="DK73" s="7">
        <v>-19131.836054840187</v>
      </c>
      <c r="DL73" s="7">
        <v>-29712.963980376229</v>
      </c>
      <c r="DM73" s="7">
        <v>-26997.15730202894</v>
      </c>
      <c r="DN73" s="7">
        <v>-94529.280095560462</v>
      </c>
      <c r="DO73" s="7">
        <v>-13939.281367771266</v>
      </c>
      <c r="DP73" s="7">
        <v>77577.425469534428</v>
      </c>
      <c r="DQ73" s="7">
        <v>-7479.4754636912066</v>
      </c>
      <c r="DR73" s="7">
        <v>2252.9385178160273</v>
      </c>
      <c r="DS73" s="7">
        <v>8097.9055623246013</v>
      </c>
      <c r="DT73" s="7">
        <v>8083.0070852261233</v>
      </c>
      <c r="DU73" s="7">
        <v>777.9593087457589</v>
      </c>
      <c r="DV73" s="7">
        <v>-325.76076748674325</v>
      </c>
      <c r="DW73" s="7">
        <v>-10363.206771598367</v>
      </c>
      <c r="DX73" s="7">
        <v>-7971.3148874822109</v>
      </c>
    </row>
    <row r="74" spans="2:130" ht="15" x14ac:dyDescent="0.25">
      <c r="B74" s="33" t="s">
        <v>34</v>
      </c>
      <c r="C74" s="40">
        <v>0</v>
      </c>
      <c r="D74" s="40">
        <v>0</v>
      </c>
      <c r="E74" s="40">
        <v>178.04544936482247</v>
      </c>
      <c r="F74" s="40">
        <v>661.15950808601849</v>
      </c>
      <c r="G74" s="40">
        <v>877.99265710747466</v>
      </c>
      <c r="H74" s="40">
        <v>909.22642550037904</v>
      </c>
      <c r="I74" s="40">
        <v>1261.0041997151543</v>
      </c>
      <c r="J74" s="40">
        <v>997.60306748635742</v>
      </c>
      <c r="O74" s="276"/>
      <c r="P74" s="16" t="s">
        <v>7</v>
      </c>
      <c r="Q74" s="7">
        <v>-63.9</v>
      </c>
      <c r="R74" s="7">
        <v>-89.64</v>
      </c>
      <c r="S74" s="7">
        <v>-57.84</v>
      </c>
      <c r="T74" s="7">
        <v>-9.02</v>
      </c>
      <c r="U74" s="7">
        <v>-6.54</v>
      </c>
      <c r="V74" s="7">
        <v>-7.44</v>
      </c>
      <c r="W74" s="7">
        <v>-3.34</v>
      </c>
      <c r="X74" s="7">
        <v>-2.9</v>
      </c>
      <c r="Y74" s="7">
        <v>-6.66</v>
      </c>
      <c r="Z74" s="90">
        <v>-258.16000000000003</v>
      </c>
      <c r="AA74" s="96">
        <v>10.880000000000024</v>
      </c>
      <c r="AB74" s="141"/>
      <c r="AC74" s="106"/>
      <c r="AD74" s="106"/>
      <c r="AE74" s="106"/>
      <c r="AF74" s="106"/>
      <c r="AG74" s="106"/>
      <c r="AH74" s="106"/>
      <c r="AI74" s="106"/>
      <c r="AJ74" s="106"/>
      <c r="AK74" s="118"/>
      <c r="CX74" s="276"/>
      <c r="CY74" s="17" t="s">
        <v>18</v>
      </c>
      <c r="CZ74" s="7">
        <v>-61261.755198797422</v>
      </c>
      <c r="DA74" s="7">
        <v>-68695.57911245474</v>
      </c>
      <c r="DB74" s="7">
        <v>-90486.98471340556</v>
      </c>
      <c r="DC74" s="7">
        <v>-103281.89796094553</v>
      </c>
      <c r="DD74" s="7">
        <v>-131413.57224915206</v>
      </c>
      <c r="DE74" s="7">
        <v>-151161.20256352279</v>
      </c>
      <c r="DF74" s="7">
        <v>-124235.16494715758</v>
      </c>
      <c r="DG74" s="7">
        <v>-101430.94010364453</v>
      </c>
      <c r="DH74" s="7">
        <v>-76373.883587450124</v>
      </c>
      <c r="DI74" s="7">
        <v>-83751.191003685701</v>
      </c>
      <c r="DJ74" s="7">
        <v>-112234.44360194345</v>
      </c>
      <c r="DK74" s="7">
        <v>-127667.38965678363</v>
      </c>
      <c r="DL74" s="7">
        <v>-152194.21363715988</v>
      </c>
      <c r="DM74" s="7">
        <v>-174359.06093918881</v>
      </c>
      <c r="DN74" s="7">
        <v>-193445.61103474928</v>
      </c>
      <c r="DO74" s="7">
        <v>-193753.61240252055</v>
      </c>
      <c r="DP74" s="7">
        <v>-164273.45693298613</v>
      </c>
      <c r="DQ74" s="7">
        <v>-161124.71239667732</v>
      </c>
      <c r="DR74" s="7">
        <v>-145915.82387886129</v>
      </c>
      <c r="DS74" s="7">
        <v>-122954.3383165367</v>
      </c>
      <c r="DT74" s="7">
        <v>-100174.58123131057</v>
      </c>
      <c r="DU74" s="7">
        <v>-84075.001922564814</v>
      </c>
      <c r="DV74" s="7">
        <v>-71238.052690051554</v>
      </c>
      <c r="DW74" s="7">
        <v>-68453.739461649922</v>
      </c>
      <c r="DX74" s="7">
        <v>-63518.024349132131</v>
      </c>
    </row>
    <row r="75" spans="2:130" ht="15" x14ac:dyDescent="0.25">
      <c r="B75" s="33" t="s">
        <v>34</v>
      </c>
      <c r="C75" s="40">
        <v>0</v>
      </c>
      <c r="D75" s="40">
        <v>0</v>
      </c>
      <c r="E75" s="40">
        <v>0</v>
      </c>
      <c r="F75" s="40">
        <v>0</v>
      </c>
      <c r="G75" s="40">
        <v>0</v>
      </c>
      <c r="H75" s="40">
        <v>1252.115980693439</v>
      </c>
      <c r="I75" s="40">
        <v>2448.7910418683878</v>
      </c>
      <c r="J75" s="40">
        <v>1841.3720541763271</v>
      </c>
      <c r="O75" s="276"/>
      <c r="P75" s="15" t="s">
        <v>13</v>
      </c>
      <c r="Q75" s="7">
        <v>-7646.9245926856447</v>
      </c>
      <c r="R75" s="7">
        <v>-17060.680711894311</v>
      </c>
      <c r="S75" s="7">
        <v>-19809.952044639314</v>
      </c>
      <c r="T75" s="7">
        <v>-12728.506928390143</v>
      </c>
      <c r="U75" s="7">
        <v>19166.359277318443</v>
      </c>
      <c r="V75" s="7">
        <v>13088.213413476924</v>
      </c>
      <c r="W75" s="7">
        <v>13431.949407484266</v>
      </c>
      <c r="X75" s="7">
        <v>-2114.0522844831562</v>
      </c>
      <c r="Y75" s="7">
        <v>-14853.844202668672</v>
      </c>
      <c r="Z75" s="4"/>
      <c r="AA75" s="4"/>
      <c r="AB75" s="141"/>
      <c r="AC75" s="106"/>
      <c r="AD75" s="106"/>
      <c r="AE75" s="106"/>
      <c r="AF75" s="106"/>
      <c r="AG75" s="106"/>
      <c r="AH75" s="106"/>
      <c r="AI75" s="106"/>
      <c r="AJ75" s="106"/>
      <c r="AK75" s="4"/>
      <c r="CX75" s="35"/>
      <c r="CY75" s="11"/>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row>
    <row r="76" spans="2:130" ht="15" customHeight="1" x14ac:dyDescent="0.25">
      <c r="B76" s="30" t="s">
        <v>30</v>
      </c>
      <c r="C76" s="39">
        <f>SUM(C70:C75)</f>
        <v>0.72663563197512504</v>
      </c>
      <c r="D76" s="39">
        <f t="shared" ref="D76:J76" si="45">SUM(D70:D75)</f>
        <v>4739.9060564269448</v>
      </c>
      <c r="E76" s="39">
        <f t="shared" si="45"/>
        <v>40005.272848289744</v>
      </c>
      <c r="F76" s="39">
        <f t="shared" si="45"/>
        <v>294411.55988547887</v>
      </c>
      <c r="G76" s="39">
        <f t="shared" si="45"/>
        <v>551272.8650036758</v>
      </c>
      <c r="H76" s="39">
        <f t="shared" si="45"/>
        <v>671396.07477684284</v>
      </c>
      <c r="I76" s="39">
        <f t="shared" si="45"/>
        <v>554287.6705340693</v>
      </c>
      <c r="J76" s="39">
        <f t="shared" si="45"/>
        <v>275218.97300516727</v>
      </c>
      <c r="O76" s="276"/>
      <c r="P76" s="17" t="s">
        <v>18</v>
      </c>
      <c r="Q76" s="7">
        <v>-42579.034760106762</v>
      </c>
      <c r="R76" s="7">
        <v>-57047.835472001068</v>
      </c>
      <c r="S76" s="7">
        <v>-74019.437516640377</v>
      </c>
      <c r="T76" s="7">
        <v>-83866.174445030512</v>
      </c>
      <c r="U76" s="7">
        <v>-62449.305167712067</v>
      </c>
      <c r="V76" s="7">
        <v>-46121.691754235144</v>
      </c>
      <c r="W76" s="7">
        <v>-29353.102346750878</v>
      </c>
      <c r="X76" s="7">
        <v>-28083.034631234033</v>
      </c>
      <c r="Y76" s="7">
        <v>-39956.008833902706</v>
      </c>
      <c r="Z76" s="4"/>
      <c r="AA76" s="4"/>
      <c r="AB76" s="141"/>
      <c r="AC76" s="106"/>
      <c r="AD76" s="106"/>
      <c r="AE76" s="106"/>
      <c r="AF76" s="106"/>
      <c r="AG76" s="106"/>
      <c r="AH76" s="106"/>
      <c r="AI76" s="106"/>
      <c r="AJ76" s="106"/>
      <c r="AK76" s="4"/>
      <c r="CX76" s="277" t="s">
        <v>58</v>
      </c>
      <c r="CY76" s="75"/>
      <c r="CZ76" s="135"/>
      <c r="DA76" s="135"/>
      <c r="DB76" s="134">
        <v>-50000</v>
      </c>
      <c r="DC76" s="25"/>
      <c r="DD76" s="25"/>
      <c r="DE76" s="25"/>
      <c r="DF76" s="153"/>
      <c r="DG76" s="25"/>
      <c r="DH76" s="25"/>
      <c r="DI76" s="25"/>
      <c r="DJ76" s="134">
        <v>-153732.06</v>
      </c>
      <c r="DK76" s="134">
        <v>-31.022527238338242</v>
      </c>
      <c r="DL76" s="25"/>
      <c r="DM76" s="25"/>
      <c r="DN76" s="189">
        <v>13638.67728098213</v>
      </c>
      <c r="DO76" s="25"/>
      <c r="DP76" s="25"/>
      <c r="DQ76" s="25"/>
      <c r="DR76" s="25"/>
      <c r="DS76" s="25"/>
      <c r="DT76" s="25"/>
      <c r="DU76" s="25"/>
      <c r="DV76" s="25"/>
      <c r="DW76" s="25"/>
      <c r="DX76" s="25"/>
    </row>
    <row r="77" spans="2:130" ht="15" x14ac:dyDescent="0.25">
      <c r="B77" s="30"/>
      <c r="O77" s="35"/>
      <c r="P77" s="11"/>
      <c r="Q77" s="128"/>
      <c r="R77" s="128"/>
      <c r="S77" s="128"/>
      <c r="T77" s="128"/>
      <c r="U77" s="128"/>
      <c r="V77" s="128"/>
      <c r="W77" s="128"/>
      <c r="X77" s="128"/>
      <c r="Y77" s="128"/>
      <c r="Z77" s="4"/>
      <c r="AA77" s="4"/>
      <c r="AB77" s="141"/>
      <c r="AC77" s="106"/>
      <c r="AD77" s="106"/>
      <c r="AE77" s="106"/>
      <c r="AF77" s="106"/>
      <c r="AG77" s="106"/>
      <c r="AH77" s="106"/>
      <c r="AI77" s="106"/>
      <c r="AJ77" s="106"/>
      <c r="AK77" s="4"/>
      <c r="CX77" s="277"/>
      <c r="CY77" s="75" t="s">
        <v>59</v>
      </c>
      <c r="CZ77" s="21"/>
      <c r="DA77" s="21">
        <v>0</v>
      </c>
      <c r="DB77" s="21">
        <v>0</v>
      </c>
      <c r="DC77" s="21">
        <v>0</v>
      </c>
      <c r="DD77" s="21">
        <v>0</v>
      </c>
      <c r="DE77" s="21">
        <v>0</v>
      </c>
      <c r="DF77" s="21">
        <v>0</v>
      </c>
      <c r="DG77" s="21">
        <v>0</v>
      </c>
      <c r="DH77" s="21">
        <v>0</v>
      </c>
      <c r="DI77" s="21">
        <v>0</v>
      </c>
      <c r="DJ77" s="21">
        <v>0</v>
      </c>
      <c r="DK77" s="21">
        <v>0</v>
      </c>
      <c r="DL77" s="21">
        <v>0</v>
      </c>
      <c r="DM77" s="21">
        <v>0</v>
      </c>
      <c r="DN77" s="21">
        <v>-7656.73</v>
      </c>
      <c r="DO77" s="21">
        <v>-17111.14</v>
      </c>
      <c r="DP77" s="21">
        <v>-14510.33</v>
      </c>
      <c r="DQ77" s="21">
        <v>-14291.36</v>
      </c>
      <c r="DR77" s="21">
        <v>-17612.43</v>
      </c>
      <c r="DS77" s="21">
        <v>-22392.62</v>
      </c>
      <c r="DT77" s="21">
        <v>-21403.22</v>
      </c>
      <c r="DU77" s="21">
        <v>-19009.3</v>
      </c>
      <c r="DV77" s="21">
        <v>-14623.32</v>
      </c>
      <c r="DW77" s="21">
        <v>-13738.07</v>
      </c>
      <c r="DX77" s="21">
        <v>-18464.63</v>
      </c>
    </row>
    <row r="78" spans="2:130" ht="15" x14ac:dyDescent="0.25">
      <c r="B78" s="24" t="s">
        <v>31</v>
      </c>
      <c r="O78" s="127"/>
      <c r="P78" s="120"/>
      <c r="Q78" s="25"/>
      <c r="R78" s="25"/>
      <c r="S78" s="25"/>
      <c r="T78" s="25"/>
      <c r="U78" s="25"/>
      <c r="V78" s="92"/>
      <c r="W78" s="25"/>
      <c r="X78" s="25"/>
      <c r="Y78" s="25"/>
      <c r="Z78" s="106"/>
      <c r="AA78" s="25"/>
      <c r="AB78" s="139"/>
      <c r="AC78" s="25"/>
      <c r="AD78" s="25"/>
      <c r="AE78" s="25"/>
      <c r="AF78" s="25"/>
      <c r="AG78" s="25"/>
      <c r="AH78" s="25"/>
      <c r="AI78" s="25"/>
      <c r="AJ78" s="25"/>
      <c r="CX78" s="277"/>
      <c r="CY78" s="75" t="s">
        <v>60</v>
      </c>
      <c r="CZ78" s="8"/>
      <c r="DA78" s="8">
        <v>0</v>
      </c>
      <c r="DB78" s="8">
        <v>-50000</v>
      </c>
      <c r="DC78" s="8">
        <v>0</v>
      </c>
      <c r="DD78" s="8">
        <v>0</v>
      </c>
      <c r="DE78" s="8">
        <v>0</v>
      </c>
      <c r="DF78" s="8">
        <v>0</v>
      </c>
      <c r="DG78" s="8">
        <v>0</v>
      </c>
      <c r="DH78" s="8">
        <v>0</v>
      </c>
      <c r="DI78" s="8">
        <v>0</v>
      </c>
      <c r="DJ78" s="8">
        <v>-153732.06</v>
      </c>
      <c r="DK78" s="97">
        <v>1793.31</v>
      </c>
      <c r="DL78" s="8">
        <v>0</v>
      </c>
      <c r="DM78" s="8">
        <v>0</v>
      </c>
      <c r="DN78" s="8">
        <v>7656.73</v>
      </c>
      <c r="DO78" s="8">
        <v>17111.14</v>
      </c>
      <c r="DP78" s="8">
        <v>14510.33</v>
      </c>
      <c r="DQ78" s="8">
        <v>14291.36</v>
      </c>
      <c r="DR78" s="8">
        <v>17612.43</v>
      </c>
      <c r="DS78" s="8">
        <v>22392.62</v>
      </c>
      <c r="DT78" s="8">
        <v>21403.22</v>
      </c>
      <c r="DU78" s="8">
        <v>19009.3</v>
      </c>
      <c r="DV78" s="8">
        <v>14623.32</v>
      </c>
      <c r="DW78" s="8">
        <v>13738.07</v>
      </c>
      <c r="DX78" s="8">
        <v>18464.63</v>
      </c>
    </row>
    <row r="79" spans="2:130" ht="15" x14ac:dyDescent="0.25">
      <c r="B79" t="s">
        <v>32</v>
      </c>
      <c r="C79" s="38">
        <v>1268128455</v>
      </c>
      <c r="D79" s="38">
        <v>872933544</v>
      </c>
      <c r="E79" s="38">
        <v>738196558</v>
      </c>
      <c r="F79" s="38">
        <v>978975302</v>
      </c>
      <c r="G79" s="38">
        <v>1243909773</v>
      </c>
      <c r="H79" s="38">
        <v>1310015315</v>
      </c>
      <c r="I79" s="38">
        <v>1208033233</v>
      </c>
      <c r="J79" s="94">
        <v>993546162</v>
      </c>
      <c r="O79" s="127"/>
      <c r="P79" s="120"/>
      <c r="Q79" s="106"/>
      <c r="R79" s="106"/>
      <c r="S79" s="106"/>
      <c r="T79" s="106"/>
      <c r="U79" s="106"/>
      <c r="V79" s="106"/>
      <c r="W79" s="115"/>
      <c r="X79" s="106"/>
      <c r="Y79" s="106"/>
      <c r="Z79" s="115"/>
      <c r="AA79" s="106"/>
      <c r="AB79" s="141"/>
      <c r="AC79" s="106"/>
      <c r="AD79" s="106"/>
      <c r="AE79" s="106"/>
      <c r="AF79" s="106"/>
      <c r="AG79" s="106"/>
      <c r="AH79" s="106"/>
      <c r="AI79" s="106"/>
      <c r="AJ79" s="106"/>
      <c r="AK79" s="3"/>
      <c r="CX79" s="277"/>
      <c r="CY79" s="76" t="s">
        <v>7</v>
      </c>
      <c r="CZ79" s="8" t="s">
        <v>116</v>
      </c>
      <c r="DA79" s="8">
        <v>0</v>
      </c>
      <c r="DB79" s="8">
        <v>-9.6757083333333345</v>
      </c>
      <c r="DC79" s="8">
        <v>-8.9048062060853468</v>
      </c>
      <c r="DD79" s="8">
        <v>-9.38361075097888</v>
      </c>
      <c r="DE79" s="8">
        <v>-9.3498929752559405</v>
      </c>
      <c r="DF79" s="8">
        <v>-8.4087289230078603</v>
      </c>
      <c r="DG79" s="8">
        <v>-5.8198588030395255</v>
      </c>
      <c r="DH79" s="8">
        <v>-8.55460111412191</v>
      </c>
      <c r="DI79" s="8">
        <v>-8.0610523030172327</v>
      </c>
      <c r="DJ79" s="8">
        <v>-25.475027282426108</v>
      </c>
      <c r="DK79" s="97">
        <v>-1850.1308041894602</v>
      </c>
      <c r="DL79" s="8">
        <v>-44.253379291805963</v>
      </c>
      <c r="DM79" s="8">
        <v>-39.842192194484952</v>
      </c>
      <c r="DN79" s="8">
        <v>-45.035910461108607</v>
      </c>
      <c r="DO79" s="8">
        <v>-94.987772278237017</v>
      </c>
      <c r="DP79" s="8">
        <v>-75.647290480831003</v>
      </c>
      <c r="DQ79" s="8">
        <v>-108.40411153673763</v>
      </c>
      <c r="DR79" s="8">
        <v>-147.93036414362186</v>
      </c>
      <c r="DS79" s="8">
        <v>-166.63529957939139</v>
      </c>
      <c r="DT79" s="8">
        <v>-162.36603398091862</v>
      </c>
      <c r="DU79" s="8">
        <v>-135.31637544471974</v>
      </c>
      <c r="DV79" s="8">
        <v>-123.34485306500206</v>
      </c>
      <c r="DW79" s="8">
        <v>-103.72028699292817</v>
      </c>
      <c r="DX79" s="8">
        <v>-41.089627469559161</v>
      </c>
    </row>
    <row r="80" spans="2:130" ht="15" x14ac:dyDescent="0.25">
      <c r="B80" t="s">
        <v>33</v>
      </c>
      <c r="C80" s="38">
        <v>290178959</v>
      </c>
      <c r="D80" s="38">
        <v>235096003</v>
      </c>
      <c r="E80" s="38">
        <v>221772499</v>
      </c>
      <c r="F80" s="38">
        <v>258735845</v>
      </c>
      <c r="G80" s="38">
        <v>295975497</v>
      </c>
      <c r="H80" s="38">
        <v>304175879</v>
      </c>
      <c r="I80" s="38">
        <v>293549572</v>
      </c>
      <c r="J80" s="94">
        <v>264736629</v>
      </c>
      <c r="O80" s="127"/>
      <c r="P80" s="120"/>
      <c r="Q80" s="106"/>
      <c r="R80" s="106"/>
      <c r="S80" s="106"/>
      <c r="T80" s="106"/>
      <c r="U80" s="106"/>
      <c r="V80" s="106"/>
      <c r="W80" s="106"/>
      <c r="X80" s="106"/>
      <c r="Y80" s="106"/>
      <c r="Z80" s="106"/>
      <c r="AA80" s="106"/>
      <c r="AB80" s="141"/>
      <c r="AC80" s="106"/>
      <c r="AD80" s="106"/>
      <c r="AE80" s="106"/>
      <c r="AF80" s="106"/>
      <c r="AG80" s="106"/>
      <c r="AH80" s="106"/>
      <c r="AI80" s="106"/>
      <c r="AJ80" s="106"/>
      <c r="AK80" s="3"/>
      <c r="CX80" s="277"/>
      <c r="CY80" s="76" t="s">
        <v>5</v>
      </c>
      <c r="CZ80" s="8" t="s">
        <v>116</v>
      </c>
      <c r="DA80" s="8">
        <v>0</v>
      </c>
      <c r="DB80" s="8">
        <v>-9.6757083333333345</v>
      </c>
      <c r="DC80" s="8">
        <v>-18.580514539418679</v>
      </c>
      <c r="DD80" s="8">
        <v>-27.964125290397561</v>
      </c>
      <c r="DE80" s="8">
        <v>-37.314018265653502</v>
      </c>
      <c r="DF80" s="8">
        <v>-45.722747188661359</v>
      </c>
      <c r="DG80" s="8">
        <v>-51.542605991700881</v>
      </c>
      <c r="DH80" s="8">
        <v>-60.09720710582279</v>
      </c>
      <c r="DI80" s="8">
        <v>-68.158259408840024</v>
      </c>
      <c r="DJ80" s="8">
        <v>-93.633286691266136</v>
      </c>
      <c r="DK80" s="8">
        <v>-1943.7640908807264</v>
      </c>
      <c r="DL80" s="8">
        <v>-1988.0174701725323</v>
      </c>
      <c r="DM80" s="8">
        <v>-2027.8596623670173</v>
      </c>
      <c r="DN80" s="8">
        <v>-2072.8955728281258</v>
      </c>
      <c r="DO80" s="8">
        <v>-2167.8833451063629</v>
      </c>
      <c r="DP80" s="8">
        <v>-2243.530635587194</v>
      </c>
      <c r="DQ80" s="8">
        <v>-2351.9347471239316</v>
      </c>
      <c r="DR80" s="8">
        <v>-2499.8651112675534</v>
      </c>
      <c r="DS80" s="8">
        <v>-2666.5004108469448</v>
      </c>
      <c r="DT80" s="8">
        <v>-2828.8664448278632</v>
      </c>
      <c r="DU80" s="8">
        <v>-2964.1828202725828</v>
      </c>
      <c r="DV80" s="8">
        <v>-3087.5276733375849</v>
      </c>
      <c r="DW80" s="8">
        <v>-3191.2479603305133</v>
      </c>
      <c r="DX80" s="8">
        <v>-3232.3375878000725</v>
      </c>
      <c r="DY80" s="40">
        <f>'MEEIA 3 calcs'!AY80</f>
        <v>-3232.3346728124429</v>
      </c>
      <c r="DZ80" s="200">
        <f>DX80-DY80</f>
        <v>-2.9149876295377908E-3</v>
      </c>
    </row>
    <row r="81" spans="2:164" ht="15" x14ac:dyDescent="0.25">
      <c r="B81" t="s">
        <v>34</v>
      </c>
      <c r="C81" s="38">
        <v>599641261</v>
      </c>
      <c r="D81" s="38">
        <v>546450417</v>
      </c>
      <c r="E81" s="38">
        <v>548775486</v>
      </c>
      <c r="F81" s="38">
        <v>609609142</v>
      </c>
      <c r="G81" s="38">
        <v>656813642</v>
      </c>
      <c r="H81" s="38">
        <v>671886437</v>
      </c>
      <c r="I81" s="38">
        <v>678219627</v>
      </c>
      <c r="J81" s="94">
        <v>622550219</v>
      </c>
      <c r="O81" s="48"/>
      <c r="P81" s="121"/>
      <c r="Q81" s="106"/>
      <c r="R81" s="106"/>
      <c r="S81" s="106"/>
      <c r="T81" s="106"/>
      <c r="U81" s="106"/>
      <c r="V81" s="106"/>
      <c r="W81" s="106"/>
      <c r="X81" s="106"/>
      <c r="Y81" s="106"/>
      <c r="Z81" s="106"/>
      <c r="AA81" s="106"/>
      <c r="AB81" s="141"/>
      <c r="AC81" s="106"/>
      <c r="AD81" s="106"/>
      <c r="AE81" s="106"/>
      <c r="AF81" s="106"/>
      <c r="AG81" s="106"/>
      <c r="AH81" s="106"/>
      <c r="AI81" s="106"/>
      <c r="AJ81" s="106"/>
      <c r="AK81" s="3"/>
      <c r="CX81" s="277"/>
      <c r="CY81" s="75" t="s">
        <v>61</v>
      </c>
      <c r="CZ81" s="8" t="s">
        <v>116</v>
      </c>
      <c r="DA81" s="8">
        <v>0</v>
      </c>
      <c r="DB81" s="8">
        <v>-50009.675708333336</v>
      </c>
      <c r="DC81" s="8">
        <v>-8.9048062060853468</v>
      </c>
      <c r="DD81" s="8">
        <v>-9.38361075097888</v>
      </c>
      <c r="DE81" s="8">
        <v>-9.3498929752559405</v>
      </c>
      <c r="DF81" s="8">
        <v>-8.4087289230078603</v>
      </c>
      <c r="DG81" s="8">
        <v>-5.8198588030395255</v>
      </c>
      <c r="DH81" s="8">
        <v>-8.55460111412191</v>
      </c>
      <c r="DI81" s="8">
        <v>-8.0610523030172327</v>
      </c>
      <c r="DJ81" s="8">
        <v>-153757.53502728243</v>
      </c>
      <c r="DK81" s="8">
        <v>-56.820804189460205</v>
      </c>
      <c r="DL81" s="8">
        <v>-44.253379291805963</v>
      </c>
      <c r="DM81" s="8">
        <v>-39.842192194484952</v>
      </c>
      <c r="DN81" s="8">
        <v>7611.6940895388907</v>
      </c>
      <c r="DO81" s="8">
        <v>17016.152227721763</v>
      </c>
      <c r="DP81" s="8">
        <v>14434.682709519169</v>
      </c>
      <c r="DQ81" s="8">
        <v>14182.955888463262</v>
      </c>
      <c r="DR81" s="8">
        <v>17464.499635856377</v>
      </c>
      <c r="DS81" s="8">
        <v>22225.984700420606</v>
      </c>
      <c r="DT81" s="8">
        <v>21240.853966019084</v>
      </c>
      <c r="DU81" s="8">
        <v>18873.98362455528</v>
      </c>
      <c r="DV81" s="8">
        <v>14499.975146934998</v>
      </c>
      <c r="DW81" s="8">
        <v>13634.349713007072</v>
      </c>
      <c r="DX81" s="8">
        <v>18423.540372530442</v>
      </c>
    </row>
    <row r="82" spans="2:164" ht="15" x14ac:dyDescent="0.25">
      <c r="B82" t="s">
        <v>35</v>
      </c>
      <c r="C82" s="38">
        <v>242499726</v>
      </c>
      <c r="D82" s="38">
        <v>232539680</v>
      </c>
      <c r="E82" s="38">
        <v>229224298</v>
      </c>
      <c r="F82" s="38">
        <v>266349220</v>
      </c>
      <c r="G82" s="38">
        <v>267674678</v>
      </c>
      <c r="H82" s="38">
        <v>281003685</v>
      </c>
      <c r="I82" s="38">
        <v>279302255</v>
      </c>
      <c r="J82" s="94">
        <v>258807768</v>
      </c>
      <c r="O82" s="127"/>
      <c r="P82" s="121"/>
      <c r="Q82" s="106"/>
      <c r="R82" s="106"/>
      <c r="S82" s="106"/>
      <c r="T82" s="106"/>
      <c r="U82" s="106"/>
      <c r="V82" s="106"/>
      <c r="W82" s="106"/>
      <c r="X82" s="106"/>
      <c r="Y82" s="106"/>
      <c r="Z82" s="106"/>
      <c r="AA82" s="106"/>
      <c r="AB82" s="141"/>
      <c r="AC82" s="106"/>
      <c r="AD82" s="106"/>
      <c r="AE82" s="106"/>
      <c r="AF82" s="106"/>
      <c r="AG82" s="106"/>
      <c r="AH82" s="106"/>
      <c r="AI82" s="106"/>
      <c r="AJ82" s="106"/>
      <c r="AK82" s="3"/>
      <c r="CX82" s="277"/>
      <c r="CY82" s="77" t="s">
        <v>62</v>
      </c>
      <c r="CZ82" s="8">
        <v>0</v>
      </c>
      <c r="DA82" s="8">
        <v>0</v>
      </c>
      <c r="DB82" s="8">
        <v>-50009.675708333336</v>
      </c>
      <c r="DC82" s="8">
        <v>-50018.580514539419</v>
      </c>
      <c r="DD82" s="8">
        <v>-50027.964125290397</v>
      </c>
      <c r="DE82" s="8">
        <v>-50037.31401826565</v>
      </c>
      <c r="DF82" s="8">
        <v>-50045.722747188658</v>
      </c>
      <c r="DG82" s="8">
        <v>-50051.542605991701</v>
      </c>
      <c r="DH82" s="8">
        <v>-50060.09720710582</v>
      </c>
      <c r="DI82" s="8">
        <v>-50068.15825940884</v>
      </c>
      <c r="DJ82" s="8">
        <v>-203825.69328669127</v>
      </c>
      <c r="DK82" s="8">
        <v>-203882.51409088072</v>
      </c>
      <c r="DL82" s="8">
        <v>-203926.76747017252</v>
      </c>
      <c r="DM82" s="8">
        <v>-203966.609662367</v>
      </c>
      <c r="DN82" s="8">
        <v>-182716.23829184598</v>
      </c>
      <c r="DO82" s="8">
        <v>-165700.08606412422</v>
      </c>
      <c r="DP82" s="8">
        <v>-151265.40335460505</v>
      </c>
      <c r="DQ82" s="8">
        <v>-137082.44746614178</v>
      </c>
      <c r="DR82" s="8">
        <v>-119617.9478302854</v>
      </c>
      <c r="DS82" s="8">
        <v>-97391.963129864787</v>
      </c>
      <c r="DT82" s="8">
        <v>-76151.1091638457</v>
      </c>
      <c r="DU82" s="8">
        <v>-57277.12553929042</v>
      </c>
      <c r="DV82" s="8">
        <v>-42777.150392355426</v>
      </c>
      <c r="DW82" s="8">
        <v>-29142.800679348355</v>
      </c>
      <c r="DX82" s="8">
        <v>-10719.260306817912</v>
      </c>
    </row>
    <row r="83" spans="2:164" ht="15" x14ac:dyDescent="0.25">
      <c r="B83" t="s">
        <v>36</v>
      </c>
      <c r="C83" s="38">
        <v>99309923</v>
      </c>
      <c r="D83" s="38">
        <v>98876748</v>
      </c>
      <c r="E83" s="38">
        <v>96480454</v>
      </c>
      <c r="F83" s="38">
        <v>121526151</v>
      </c>
      <c r="G83" s="38">
        <v>113123855</v>
      </c>
      <c r="H83" s="38">
        <v>125262874</v>
      </c>
      <c r="I83" s="38">
        <v>126945040</v>
      </c>
      <c r="J83" s="94">
        <v>119752379</v>
      </c>
      <c r="O83" s="127"/>
      <c r="P83" s="120"/>
      <c r="Q83" s="106"/>
      <c r="R83" s="106"/>
      <c r="S83" s="106"/>
      <c r="T83" s="106"/>
      <c r="U83" s="106"/>
      <c r="V83" s="106"/>
      <c r="W83" s="106"/>
      <c r="X83" s="106"/>
      <c r="Y83" s="106"/>
      <c r="Z83" s="106"/>
      <c r="AA83" s="106"/>
      <c r="AB83" s="141"/>
      <c r="AC83" s="106"/>
      <c r="AD83" s="106"/>
      <c r="AE83" s="106"/>
      <c r="AF83" s="106"/>
      <c r="AG83" s="106"/>
      <c r="AH83" s="106"/>
      <c r="AI83" s="106"/>
      <c r="AJ83" s="106"/>
      <c r="AK83" s="3"/>
      <c r="CX83" s="35"/>
      <c r="CY83" s="11"/>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row>
    <row r="84" spans="2:164" s="1" customFormat="1" ht="15" x14ac:dyDescent="0.25">
      <c r="B84" s="28" t="s">
        <v>30</v>
      </c>
      <c r="C84" s="29">
        <f>SUM(C79:C83)</f>
        <v>2499758324</v>
      </c>
      <c r="D84" s="29">
        <f t="shared" ref="D84:J84" si="46">SUM(D79:D83)</f>
        <v>1985896392</v>
      </c>
      <c r="E84" s="29">
        <f t="shared" si="46"/>
        <v>1834449295</v>
      </c>
      <c r="F84" s="29">
        <f t="shared" si="46"/>
        <v>2235195660</v>
      </c>
      <c r="G84" s="29">
        <f t="shared" si="46"/>
        <v>2577497445</v>
      </c>
      <c r="H84" s="29">
        <f t="shared" si="46"/>
        <v>2692344190</v>
      </c>
      <c r="I84" s="29">
        <f t="shared" si="46"/>
        <v>2586049727</v>
      </c>
      <c r="J84" s="29">
        <f t="shared" si="46"/>
        <v>2259393157</v>
      </c>
      <c r="K84"/>
      <c r="L84"/>
      <c r="M84" s="131"/>
      <c r="N84" s="131"/>
      <c r="O84" s="48"/>
      <c r="P84" s="80"/>
      <c r="Q84" s="106"/>
      <c r="R84" s="106"/>
      <c r="S84" s="106"/>
      <c r="T84" s="106"/>
      <c r="U84" s="106"/>
      <c r="V84" s="106"/>
      <c r="W84" s="106"/>
      <c r="X84" s="106"/>
      <c r="Y84" s="106"/>
      <c r="Z84" s="106"/>
      <c r="AA84" s="106"/>
      <c r="AB84" s="141"/>
      <c r="AC84" s="106"/>
      <c r="AD84" s="106"/>
      <c r="AE84" s="106"/>
      <c r="AF84" s="106"/>
      <c r="AG84" s="106"/>
      <c r="AH84" s="106"/>
      <c r="AI84" s="106"/>
      <c r="AJ84" s="106"/>
      <c r="AK84" s="3"/>
      <c r="BF84" s="161"/>
      <c r="BY84" s="161"/>
      <c r="CW84" s="161"/>
      <c r="CX84" s="105"/>
      <c r="CY84" s="45"/>
      <c r="CZ84" s="7"/>
      <c r="DA84" s="7"/>
      <c r="DB84" s="7"/>
      <c r="DC84" s="7"/>
      <c r="DD84" s="7"/>
      <c r="DE84" s="7"/>
      <c r="DF84" s="7"/>
      <c r="DG84" s="7"/>
      <c r="DH84" s="7"/>
      <c r="DI84" s="97">
        <v>9481708.5997034572</v>
      </c>
      <c r="DJ84" s="7"/>
      <c r="DK84" s="7"/>
      <c r="DL84" s="7"/>
      <c r="DM84" s="7"/>
      <c r="DN84" s="189">
        <v>-172092.00566277982</v>
      </c>
      <c r="DO84" s="7"/>
      <c r="DP84" s="7"/>
      <c r="DQ84" s="7"/>
      <c r="DR84" s="7"/>
      <c r="DS84" s="7"/>
      <c r="DT84" s="97">
        <v>11747686.43</v>
      </c>
      <c r="DU84" s="7"/>
      <c r="DV84" s="97">
        <v>-197.32</v>
      </c>
      <c r="DW84" s="7"/>
      <c r="DX84" s="97">
        <v>10734309.9</v>
      </c>
      <c r="DY84" s="199"/>
      <c r="DZ84" s="199"/>
      <c r="EA84" s="161"/>
      <c r="FH84" s="161"/>
    </row>
    <row r="85" spans="2:164" s="1" customFormat="1" ht="15" customHeight="1" x14ac:dyDescent="0.25">
      <c r="B85"/>
      <c r="C85"/>
      <c r="D85"/>
      <c r="E85"/>
      <c r="F85"/>
      <c r="G85"/>
      <c r="H85"/>
      <c r="I85"/>
      <c r="J85"/>
      <c r="K85"/>
      <c r="L85"/>
      <c r="M85" s="131"/>
      <c r="N85" s="131"/>
      <c r="O85" s="129"/>
      <c r="P85" s="80"/>
      <c r="Q85" s="106"/>
      <c r="R85" s="106"/>
      <c r="S85" s="106"/>
      <c r="T85" s="106"/>
      <c r="U85" s="106"/>
      <c r="V85" s="106"/>
      <c r="W85" s="106"/>
      <c r="X85" s="106"/>
      <c r="Y85" s="106"/>
      <c r="Z85" s="106"/>
      <c r="AA85" s="106"/>
      <c r="AB85" s="141"/>
      <c r="AC85" s="106"/>
      <c r="AD85" s="106"/>
      <c r="AE85" s="106"/>
      <c r="AF85" s="106"/>
      <c r="AG85" s="106"/>
      <c r="AH85" s="106"/>
      <c r="AI85" s="106"/>
      <c r="AJ85" s="106"/>
      <c r="AK85" s="4"/>
      <c r="BF85" s="161"/>
      <c r="BY85" s="161"/>
      <c r="CW85" s="161"/>
      <c r="CX85" s="278" t="s">
        <v>71</v>
      </c>
      <c r="CY85" s="45" t="s">
        <v>64</v>
      </c>
      <c r="CZ85" s="53"/>
      <c r="DA85" s="53"/>
      <c r="DB85" s="101">
        <v>519948.38999999996</v>
      </c>
      <c r="DC85" s="53">
        <v>519948.38999999996</v>
      </c>
      <c r="DD85" s="53">
        <v>519948.38999999996</v>
      </c>
      <c r="DE85" s="53">
        <v>519948.38999999996</v>
      </c>
      <c r="DF85" s="53">
        <v>519948.38999999996</v>
      </c>
      <c r="DG85" s="53">
        <v>519948.38999999996</v>
      </c>
      <c r="DH85" s="53">
        <v>519948.38999999996</v>
      </c>
      <c r="DI85" s="53">
        <v>519948.38999999996</v>
      </c>
      <c r="DJ85" s="53">
        <v>519948.38999999996</v>
      </c>
      <c r="DK85" s="53">
        <v>519948.38999999996</v>
      </c>
      <c r="DL85" s="53">
        <v>519948.38999999996</v>
      </c>
      <c r="DM85" s="53">
        <v>519948.38999999996</v>
      </c>
      <c r="DN85" s="53">
        <v>788489.91666666663</v>
      </c>
      <c r="DO85" s="53">
        <v>788489.91666666663</v>
      </c>
      <c r="DP85" s="53">
        <v>788489.91666666663</v>
      </c>
      <c r="DQ85" s="53">
        <v>788489.91666666663</v>
      </c>
      <c r="DR85" s="53">
        <v>788489.91666666663</v>
      </c>
      <c r="DS85" s="53">
        <v>788489.91666666663</v>
      </c>
      <c r="DT85" s="53">
        <v>788489.91666666663</v>
      </c>
      <c r="DU85" s="53">
        <v>788489.91666666663</v>
      </c>
      <c r="DV85" s="53">
        <v>788489.91666666663</v>
      </c>
      <c r="DW85" s="53">
        <v>788489.91666666663</v>
      </c>
      <c r="DX85" s="53">
        <v>788489.91666666663</v>
      </c>
      <c r="DY85" s="199"/>
      <c r="DZ85" s="199"/>
      <c r="EA85" s="161"/>
      <c r="FH85" s="161"/>
    </row>
    <row r="86" spans="2:164" s="1" customFormat="1" ht="15" x14ac:dyDescent="0.25">
      <c r="B86" s="24" t="s">
        <v>39</v>
      </c>
      <c r="C86"/>
      <c r="D86"/>
      <c r="E86"/>
      <c r="F86"/>
      <c r="G86"/>
      <c r="H86"/>
      <c r="I86"/>
      <c r="J86"/>
      <c r="K86"/>
      <c r="L86"/>
      <c r="M86" s="131"/>
      <c r="N86" s="131"/>
      <c r="O86" s="129"/>
      <c r="P86" s="120"/>
      <c r="Q86" s="25"/>
      <c r="R86" s="25"/>
      <c r="S86" s="25"/>
      <c r="T86" s="106"/>
      <c r="U86" s="106"/>
      <c r="V86" s="106"/>
      <c r="W86" s="106"/>
      <c r="X86" s="106"/>
      <c r="Y86" s="106"/>
      <c r="Z86" s="106"/>
      <c r="AA86" s="106"/>
      <c r="AB86" s="141"/>
      <c r="AC86" s="106"/>
      <c r="AD86" s="106"/>
      <c r="AE86" s="106"/>
      <c r="AF86" s="106"/>
      <c r="AG86" s="106"/>
      <c r="AH86" s="119"/>
      <c r="AI86" s="106"/>
      <c r="AJ86" s="106"/>
      <c r="AK86" s="4"/>
      <c r="BF86" s="161"/>
      <c r="BY86" s="161"/>
      <c r="CW86" s="161"/>
      <c r="CX86" s="278"/>
      <c r="CY86" s="45" t="s">
        <v>65</v>
      </c>
      <c r="CZ86" s="21">
        <v>0</v>
      </c>
      <c r="DA86" s="21">
        <v>0</v>
      </c>
      <c r="DB86" s="21">
        <v>285104.73</v>
      </c>
      <c r="DC86" s="21">
        <v>522237.53</v>
      </c>
      <c r="DD86" s="21">
        <v>417802.47</v>
      </c>
      <c r="DE86" s="21">
        <v>410351.7</v>
      </c>
      <c r="DF86" s="21">
        <v>482532.64</v>
      </c>
      <c r="DG86" s="21">
        <v>608996.41</v>
      </c>
      <c r="DH86" s="21">
        <v>606777.69999999995</v>
      </c>
      <c r="DI86" s="21">
        <v>608116.79</v>
      </c>
      <c r="DJ86" s="21">
        <v>477518.56</v>
      </c>
      <c r="DK86" s="21">
        <v>427851.21</v>
      </c>
      <c r="DL86" s="21">
        <v>515247.16</v>
      </c>
      <c r="DM86" s="21">
        <v>600539.75</v>
      </c>
      <c r="DN86" s="21">
        <v>2037727.16</v>
      </c>
      <c r="DO86" s="21">
        <v>795668.03</v>
      </c>
      <c r="DP86" s="21">
        <v>562116.91</v>
      </c>
      <c r="DQ86" s="21">
        <v>655732.05000000005</v>
      </c>
      <c r="DR86" s="21">
        <v>784339.36</v>
      </c>
      <c r="DS86" s="21">
        <v>965777.55</v>
      </c>
      <c r="DT86" s="21">
        <v>941053.79</v>
      </c>
      <c r="DU86" s="21">
        <v>844973.28</v>
      </c>
      <c r="DV86" s="21">
        <v>672120.46</v>
      </c>
      <c r="DW86" s="21">
        <v>651071.71</v>
      </c>
      <c r="DX86" s="21">
        <v>829595.91</v>
      </c>
      <c r="DY86" s="199"/>
      <c r="DZ86" s="199"/>
      <c r="EA86" s="161"/>
      <c r="FH86" s="161"/>
    </row>
    <row r="87" spans="2:164" s="1" customFormat="1" ht="15" x14ac:dyDescent="0.25">
      <c r="B87" t="s">
        <v>32</v>
      </c>
      <c r="C87" s="40">
        <f t="shared" ref="C87:J87" si="47">C70+(C$75*(C79/C$84))</f>
        <v>0</v>
      </c>
      <c r="D87" s="40">
        <f t="shared" si="47"/>
        <v>3542.7066619947968</v>
      </c>
      <c r="E87" s="40">
        <f t="shared" si="47"/>
        <v>26593.748856903429</v>
      </c>
      <c r="F87" s="40">
        <f t="shared" si="47"/>
        <v>243363.92907678595</v>
      </c>
      <c r="G87" s="40">
        <f t="shared" si="47"/>
        <v>441129.8099540461</v>
      </c>
      <c r="H87" s="40">
        <f t="shared" si="47"/>
        <v>538094.32023088727</v>
      </c>
      <c r="I87" s="40">
        <f t="shared" si="47"/>
        <v>374963.26089269412</v>
      </c>
      <c r="J87" s="40">
        <f t="shared" si="47"/>
        <v>137835.66546242539</v>
      </c>
      <c r="K87"/>
      <c r="L87"/>
      <c r="M87" s="131"/>
      <c r="N87" s="131"/>
      <c r="O87" s="127"/>
      <c r="P87" s="120"/>
      <c r="Q87" s="115"/>
      <c r="R87" s="115"/>
      <c r="S87" s="115"/>
      <c r="T87" s="115"/>
      <c r="U87" s="115"/>
      <c r="V87" s="115"/>
      <c r="W87" s="115"/>
      <c r="X87" s="115"/>
      <c r="Y87" s="115"/>
      <c r="Z87" s="115"/>
      <c r="AA87" s="115"/>
      <c r="AB87" s="140"/>
      <c r="AC87" s="115"/>
      <c r="AD87" s="115"/>
      <c r="AE87" s="115"/>
      <c r="AF87" s="115"/>
      <c r="AG87" s="115"/>
      <c r="AH87" s="115"/>
      <c r="AI87" s="115"/>
      <c r="AJ87" s="115"/>
      <c r="AK87"/>
      <c r="BF87" s="161"/>
      <c r="BY87" s="161"/>
      <c r="CW87" s="161"/>
      <c r="CX87" s="278"/>
      <c r="CY87" s="45" t="s">
        <v>66</v>
      </c>
      <c r="CZ87" s="8" t="s">
        <v>116</v>
      </c>
      <c r="DA87" s="8" t="s">
        <v>116</v>
      </c>
      <c r="DB87" s="7">
        <v>234843.65999999997</v>
      </c>
      <c r="DC87" s="7">
        <v>-2289.1400000000722</v>
      </c>
      <c r="DD87" s="7">
        <v>102145.91999999998</v>
      </c>
      <c r="DE87" s="7">
        <v>109596.68999999994</v>
      </c>
      <c r="DF87" s="7">
        <v>37415.749999999942</v>
      </c>
      <c r="DG87" s="7">
        <v>-89048.020000000077</v>
      </c>
      <c r="DH87" s="7">
        <v>-86829.31</v>
      </c>
      <c r="DI87" s="7">
        <v>-88168.400000000081</v>
      </c>
      <c r="DJ87" s="7">
        <v>42429.829999999958</v>
      </c>
      <c r="DK87" s="7">
        <v>92097.179999999935</v>
      </c>
      <c r="DL87" s="7">
        <v>4701.2299999999814</v>
      </c>
      <c r="DM87" s="7">
        <v>-80591.360000000044</v>
      </c>
      <c r="DN87" s="7">
        <v>-1249237.2433333332</v>
      </c>
      <c r="DO87" s="7">
        <v>-7178.1133333334001</v>
      </c>
      <c r="DP87" s="7">
        <v>226373.0066666666</v>
      </c>
      <c r="DQ87" s="7">
        <v>132757.86666666658</v>
      </c>
      <c r="DR87" s="7">
        <v>4150.5566666666418</v>
      </c>
      <c r="DS87" s="7">
        <v>-177287.63333333342</v>
      </c>
      <c r="DT87" s="7">
        <v>-152563.87333333341</v>
      </c>
      <c r="DU87" s="7">
        <v>-56483.3633333334</v>
      </c>
      <c r="DV87" s="7">
        <v>116369.45666666667</v>
      </c>
      <c r="DW87" s="7">
        <v>137418.20666666667</v>
      </c>
      <c r="DX87" s="7">
        <v>-41105.993333333405</v>
      </c>
      <c r="DY87" s="199"/>
      <c r="DZ87" s="199"/>
      <c r="EA87" s="161"/>
      <c r="FH87" s="161"/>
    </row>
    <row r="88" spans="2:164" s="1" customFormat="1" ht="15" x14ac:dyDescent="0.25">
      <c r="B88" t="s">
        <v>33</v>
      </c>
      <c r="C88" s="40">
        <f t="shared" ref="C88:J91" si="48">C71+(C$75*(C80/C$84))</f>
        <v>0.34412602678174997</v>
      </c>
      <c r="D88" s="40">
        <f t="shared" si="48"/>
        <v>593.85341007321881</v>
      </c>
      <c r="E88" s="40">
        <f t="shared" si="48"/>
        <v>8368.5225960071712</v>
      </c>
      <c r="F88" s="40">
        <f t="shared" si="48"/>
        <v>23641.814181406706</v>
      </c>
      <c r="G88" s="40">
        <f t="shared" si="48"/>
        <v>47663.861231335664</v>
      </c>
      <c r="H88" s="40">
        <f t="shared" si="48"/>
        <v>53423.137293371561</v>
      </c>
      <c r="I88" s="40">
        <f t="shared" si="48"/>
        <v>71954.397236201956</v>
      </c>
      <c r="J88" s="40">
        <f t="shared" si="48"/>
        <v>61965.752554031846</v>
      </c>
      <c r="K88"/>
      <c r="L88"/>
      <c r="M88" s="131"/>
      <c r="N88" s="131"/>
      <c r="O88" s="127"/>
      <c r="P88" s="120"/>
      <c r="Q88" s="106"/>
      <c r="R88" s="106"/>
      <c r="S88" s="106"/>
      <c r="T88" s="106"/>
      <c r="U88" s="106"/>
      <c r="V88" s="106"/>
      <c r="W88" s="106"/>
      <c r="X88" s="106"/>
      <c r="Y88" s="106"/>
      <c r="Z88" s="106"/>
      <c r="AA88" s="106"/>
      <c r="AB88" s="141"/>
      <c r="AC88" s="106"/>
      <c r="AD88" s="106"/>
      <c r="AE88" s="106"/>
      <c r="AF88" s="106"/>
      <c r="AG88" s="106"/>
      <c r="AH88" s="106"/>
      <c r="AI88" s="106"/>
      <c r="AJ88" s="106"/>
      <c r="AK88"/>
      <c r="BF88" s="161"/>
      <c r="BY88" s="161"/>
      <c r="CW88" s="161"/>
      <c r="CX88" s="278"/>
      <c r="CY88" s="45" t="s">
        <v>3</v>
      </c>
      <c r="CZ88" s="54" t="s">
        <v>116</v>
      </c>
      <c r="DA88" s="54" t="s">
        <v>116</v>
      </c>
      <c r="DB88" s="54">
        <v>2.3221700000000001E-3</v>
      </c>
      <c r="DC88" s="54">
        <v>2.1367399999999998E-3</v>
      </c>
      <c r="DD88" s="54">
        <v>2.2512299999999999E-3</v>
      </c>
      <c r="DE88" s="54">
        <v>2.2427200000000001E-3</v>
      </c>
      <c r="DF88" s="54">
        <v>2.01659E-3</v>
      </c>
      <c r="DG88" s="54">
        <v>1.3954900000000001E-3</v>
      </c>
      <c r="DH88" s="54">
        <v>2.0509899999999999E-3</v>
      </c>
      <c r="DI88" s="54">
        <v>1.9323299999999999E-3</v>
      </c>
      <c r="DJ88" s="54">
        <v>1.5E-3</v>
      </c>
      <c r="DK88" s="54">
        <v>1.5320900000000001E-3</v>
      </c>
      <c r="DL88" s="54">
        <v>2.6046400000000001E-3</v>
      </c>
      <c r="DM88" s="54">
        <v>2.3444999999999998E-3</v>
      </c>
      <c r="DN88" s="54">
        <v>2.9584899999999998E-3</v>
      </c>
      <c r="DO88" s="54">
        <v>6.8829599999999996E-3</v>
      </c>
      <c r="DP88" s="54">
        <v>6.0041599999999997E-3</v>
      </c>
      <c r="DQ88" s="54">
        <v>9.4970499999999999E-3</v>
      </c>
      <c r="DR88" s="54">
        <v>1.4858659999999999E-2</v>
      </c>
      <c r="DS88" s="54">
        <v>2.0566899999999999E-2</v>
      </c>
      <c r="DT88" s="54">
        <v>2.564054E-2</v>
      </c>
      <c r="DU88" s="54">
        <v>2.8416960000000002E-2</v>
      </c>
      <c r="DV88" s="54">
        <v>3.4701200000000001E-2</v>
      </c>
      <c r="DW88" s="54">
        <v>4.286098E-2</v>
      </c>
      <c r="DX88" s="54">
        <v>4.617603E-2</v>
      </c>
      <c r="DY88" s="199"/>
      <c r="DZ88" s="199"/>
      <c r="EA88" s="161"/>
      <c r="FH88" s="161"/>
    </row>
    <row r="89" spans="2:164" s="1" customFormat="1" ht="15" x14ac:dyDescent="0.25">
      <c r="B89" t="s">
        <v>34</v>
      </c>
      <c r="C89" s="40">
        <f>C72+(C$75*(C81/C$84))</f>
        <v>0.38250960519337501</v>
      </c>
      <c r="D89" s="40">
        <f t="shared" si="48"/>
        <v>592.84700439506275</v>
      </c>
      <c r="E89" s="40">
        <f t="shared" si="48"/>
        <v>3788.6582603776305</v>
      </c>
      <c r="F89" s="40">
        <f t="shared" si="48"/>
        <v>18535.810544392894</v>
      </c>
      <c r="G89" s="40">
        <f>G72+(G$75*(G81/G$84))</f>
        <v>43757.113824202133</v>
      </c>
      <c r="H89" s="40">
        <f t="shared" si="48"/>
        <v>59086.939884825857</v>
      </c>
      <c r="I89" s="40">
        <f t="shared" si="48"/>
        <v>83744.849905232913</v>
      </c>
      <c r="J89" s="40">
        <f t="shared" si="48"/>
        <v>59946.023885732408</v>
      </c>
      <c r="K89"/>
      <c r="L89"/>
      <c r="M89" s="131"/>
      <c r="N89" s="131"/>
      <c r="O89" s="127"/>
      <c r="P89" s="120"/>
      <c r="Q89" s="106"/>
      <c r="R89" s="106"/>
      <c r="S89" s="106"/>
      <c r="T89" s="106"/>
      <c r="U89" s="106"/>
      <c r="V89" s="106"/>
      <c r="W89" s="106"/>
      <c r="X89" s="106"/>
      <c r="Y89" s="106"/>
      <c r="Z89" s="106"/>
      <c r="AA89" s="106"/>
      <c r="AB89" s="141"/>
      <c r="AC89" s="106"/>
      <c r="AD89" s="106"/>
      <c r="AE89" s="106"/>
      <c r="AF89" s="106"/>
      <c r="AG89" s="106"/>
      <c r="AH89" s="106"/>
      <c r="AI89" s="106"/>
      <c r="AJ89" s="106"/>
      <c r="AK89"/>
      <c r="BF89" s="161"/>
      <c r="BY89" s="161"/>
      <c r="CW89" s="161"/>
      <c r="CX89" s="278"/>
      <c r="CY89" s="45" t="s">
        <v>44</v>
      </c>
      <c r="CZ89" s="8"/>
      <c r="DA89" s="8"/>
      <c r="DB89" s="8">
        <v>45.445575161850002</v>
      </c>
      <c r="DC89" s="8">
        <v>41.417137536922588</v>
      </c>
      <c r="DD89" s="8">
        <v>62.806934957159051</v>
      </c>
      <c r="DE89" s="8">
        <v>83.064143875482543</v>
      </c>
      <c r="DF89" s="8">
        <v>80.99055877632199</v>
      </c>
      <c r="DG89" s="8">
        <v>45.699807056250876</v>
      </c>
      <c r="DH89" s="8">
        <v>52.333569170584276</v>
      </c>
      <c r="DI89" s="8">
        <v>35.116701313934492</v>
      </c>
      <c r="DJ89" s="8">
        <v>32.567981803481018</v>
      </c>
      <c r="DK89" s="8">
        <v>45.027308292983584</v>
      </c>
      <c r="DL89" s="8">
        <v>77.579171951312262</v>
      </c>
      <c r="DM89" s="8">
        <v>54.100525163113389</v>
      </c>
      <c r="DN89" s="8">
        <v>-277.20628046448553</v>
      </c>
      <c r="DO89" s="8">
        <v>-649.19972718297527</v>
      </c>
      <c r="DP89" s="8">
        <v>-453.37129213395292</v>
      </c>
      <c r="DQ89" s="8">
        <v>-612.40923602319651</v>
      </c>
      <c r="DR89" s="8">
        <v>-953.76711086387024</v>
      </c>
      <c r="DS89" s="8">
        <v>-1625.66451086953</v>
      </c>
      <c r="DT89" s="8">
        <v>-2356.1575967605281</v>
      </c>
      <c r="DU89" s="8">
        <v>-2750.6247615729239</v>
      </c>
      <c r="DV89" s="8">
        <v>-3030.3497534615949</v>
      </c>
      <c r="DW89" s="8">
        <v>-3262.918801641827</v>
      </c>
      <c r="DX89" s="8">
        <v>-3686.0184671585507</v>
      </c>
      <c r="DY89" s="78"/>
      <c r="DZ89" s="199"/>
      <c r="EA89" s="161"/>
      <c r="FH89" s="161"/>
    </row>
    <row r="90" spans="2:164" s="1" customFormat="1" ht="15" x14ac:dyDescent="0.25">
      <c r="B90" t="s">
        <v>35</v>
      </c>
      <c r="C90" s="40">
        <f t="shared" si="48"/>
        <v>0</v>
      </c>
      <c r="D90" s="40">
        <f t="shared" si="48"/>
        <v>10.498979963866001</v>
      </c>
      <c r="E90" s="40">
        <f t="shared" si="48"/>
        <v>1076.2976856366847</v>
      </c>
      <c r="F90" s="40">
        <f t="shared" si="48"/>
        <v>8208.8465748072213</v>
      </c>
      <c r="G90" s="40">
        <f t="shared" si="48"/>
        <v>17844.087336984448</v>
      </c>
      <c r="H90" s="40">
        <f t="shared" si="48"/>
        <v>19824.195520493558</v>
      </c>
      <c r="I90" s="40">
        <f t="shared" si="48"/>
        <v>22243.951069283008</v>
      </c>
      <c r="J90" s="40">
        <f t="shared" si="48"/>
        <v>14376.331615218623</v>
      </c>
      <c r="K90"/>
      <c r="L90"/>
      <c r="M90" s="131"/>
      <c r="N90" s="131"/>
      <c r="O90" s="127"/>
      <c r="P90" s="121"/>
      <c r="Q90" s="136"/>
      <c r="R90" s="136"/>
      <c r="S90" s="136"/>
      <c r="T90" s="159"/>
      <c r="U90" s="160"/>
      <c r="V90" s="130"/>
      <c r="W90" s="116"/>
      <c r="X90" s="116"/>
      <c r="Y90" s="116"/>
      <c r="Z90" s="116"/>
      <c r="AA90" s="116"/>
      <c r="AB90" s="142"/>
      <c r="AC90" s="116"/>
      <c r="AD90" s="116"/>
      <c r="AE90" s="116"/>
      <c r="AF90" s="116"/>
      <c r="AG90" s="116"/>
      <c r="AH90" s="116"/>
      <c r="AI90" s="116"/>
      <c r="AJ90" s="116"/>
      <c r="AK90"/>
      <c r="BF90" s="161"/>
      <c r="BY90" s="161"/>
      <c r="CW90" s="161"/>
      <c r="CX90" s="278"/>
      <c r="CY90" s="46" t="s">
        <v>5</v>
      </c>
      <c r="CZ90" s="8"/>
      <c r="DA90" s="8"/>
      <c r="DB90" s="8">
        <v>45.445575161850002</v>
      </c>
      <c r="DC90" s="8">
        <v>86.862712698772583</v>
      </c>
      <c r="DD90" s="8">
        <v>149.66964765593164</v>
      </c>
      <c r="DE90" s="8">
        <v>232.73379153141417</v>
      </c>
      <c r="DF90" s="8">
        <v>313.72435030773613</v>
      </c>
      <c r="DG90" s="8">
        <v>359.42415736398698</v>
      </c>
      <c r="DH90" s="8">
        <v>411.75772653457125</v>
      </c>
      <c r="DI90" s="8">
        <v>446.87442784850572</v>
      </c>
      <c r="DJ90" s="8">
        <v>479.44240965198674</v>
      </c>
      <c r="DK90" s="8">
        <v>524.46971794497028</v>
      </c>
      <c r="DL90" s="8">
        <v>602.0488898962825</v>
      </c>
      <c r="DM90" s="8">
        <v>656.14941505939589</v>
      </c>
      <c r="DN90" s="8">
        <v>378.94313459491036</v>
      </c>
      <c r="DO90" s="8">
        <v>-270.2565925880649</v>
      </c>
      <c r="DP90" s="8">
        <v>-723.62788472201782</v>
      </c>
      <c r="DQ90" s="8">
        <v>-1336.0371207452145</v>
      </c>
      <c r="DR90" s="8">
        <v>-2289.8042316090846</v>
      </c>
      <c r="DS90" s="8">
        <v>-3915.4687424786143</v>
      </c>
      <c r="DT90" s="8">
        <v>-6271.6263392391429</v>
      </c>
      <c r="DU90" s="8">
        <v>-9022.2511008120673</v>
      </c>
      <c r="DV90" s="8">
        <v>-12052.600854273662</v>
      </c>
      <c r="DW90" s="8">
        <v>-15315.519655915488</v>
      </c>
      <c r="DX90" s="8">
        <v>-19001.538123074039</v>
      </c>
      <c r="DY90" s="78">
        <f>'MEEIA 3 calcs'!AY90</f>
        <v>-19001.53815523634</v>
      </c>
      <c r="DZ90" s="201">
        <f>DX90-DY90</f>
        <v>3.2162301067728549E-5</v>
      </c>
      <c r="EA90" s="161"/>
      <c r="FH90" s="161"/>
    </row>
    <row r="91" spans="2:164" s="1" customFormat="1" ht="15" x14ac:dyDescent="0.25">
      <c r="B91" t="s">
        <v>36</v>
      </c>
      <c r="C91" s="40">
        <f t="shared" si="48"/>
        <v>0</v>
      </c>
      <c r="D91" s="40">
        <f t="shared" si="48"/>
        <v>0</v>
      </c>
      <c r="E91" s="40">
        <f t="shared" si="48"/>
        <v>178.04544936482247</v>
      </c>
      <c r="F91" s="40">
        <f t="shared" si="48"/>
        <v>661.15950808601849</v>
      </c>
      <c r="G91" s="40">
        <f t="shared" si="48"/>
        <v>877.99265710747466</v>
      </c>
      <c r="H91" s="40">
        <f t="shared" si="48"/>
        <v>967.48184726463296</v>
      </c>
      <c r="I91" s="40">
        <f t="shared" si="48"/>
        <v>1381.2114306574015</v>
      </c>
      <c r="J91" s="40">
        <f t="shared" si="48"/>
        <v>1095.1994877590121</v>
      </c>
      <c r="K91"/>
      <c r="L91"/>
      <c r="M91" s="131"/>
      <c r="N91" s="131"/>
      <c r="O91" s="127"/>
      <c r="P91" s="121"/>
      <c r="Q91" s="106"/>
      <c r="R91" s="106"/>
      <c r="S91" s="106"/>
      <c r="T91" s="106"/>
      <c r="U91" s="106"/>
      <c r="V91" s="106"/>
      <c r="W91" s="106"/>
      <c r="X91" s="106"/>
      <c r="Y91" s="106"/>
      <c r="Z91" s="106"/>
      <c r="AA91" s="106"/>
      <c r="AB91" s="141"/>
      <c r="AC91" s="106"/>
      <c r="AD91" s="106"/>
      <c r="AE91" s="106"/>
      <c r="AF91" s="106"/>
      <c r="AG91" s="106"/>
      <c r="AH91" s="106"/>
      <c r="AI91" s="106"/>
      <c r="AJ91" s="106"/>
      <c r="AK91"/>
      <c r="BF91" s="161"/>
      <c r="BY91" s="161"/>
      <c r="CW91" s="161"/>
      <c r="CX91" s="278"/>
      <c r="CY91" s="61" t="s">
        <v>67</v>
      </c>
      <c r="CZ91" s="8"/>
      <c r="DA91" s="8"/>
      <c r="DB91" s="8">
        <v>234889.10557516181</v>
      </c>
      <c r="DC91" s="8">
        <v>-2247.7228624631498</v>
      </c>
      <c r="DD91" s="8">
        <v>102208.72693495714</v>
      </c>
      <c r="DE91" s="8">
        <v>109679.75414387543</v>
      </c>
      <c r="DF91" s="8">
        <v>37496.740558776262</v>
      </c>
      <c r="DG91" s="8">
        <v>-89002.320192943822</v>
      </c>
      <c r="DH91" s="8">
        <v>-86776.976430829411</v>
      </c>
      <c r="DI91" s="8">
        <v>-88133.283298686147</v>
      </c>
      <c r="DJ91" s="8">
        <v>42462.397981803442</v>
      </c>
      <c r="DK91" s="8">
        <v>92142.207308292913</v>
      </c>
      <c r="DL91" s="8">
        <v>4778.809171951294</v>
      </c>
      <c r="DM91" s="8">
        <v>-80537.25947483693</v>
      </c>
      <c r="DN91" s="8">
        <v>-1249514.4496137977</v>
      </c>
      <c r="DO91" s="8">
        <v>-7827.3130605163751</v>
      </c>
      <c r="DP91" s="8">
        <v>225919.63537453263</v>
      </c>
      <c r="DQ91" s="8">
        <v>132145.45743064338</v>
      </c>
      <c r="DR91" s="8">
        <v>3196.7895558027717</v>
      </c>
      <c r="DS91" s="8">
        <v>-178913.29784420296</v>
      </c>
      <c r="DT91" s="8">
        <v>-154920.03093009393</v>
      </c>
      <c r="DU91" s="8">
        <v>-59233.988094906323</v>
      </c>
      <c r="DV91" s="8">
        <v>113339.10691320508</v>
      </c>
      <c r="DW91" s="8">
        <v>134155.28786502485</v>
      </c>
      <c r="DX91" s="8">
        <v>-44792.011800491957</v>
      </c>
      <c r="DY91" s="199"/>
      <c r="DZ91" s="199"/>
      <c r="EA91" s="161"/>
      <c r="FH91" s="161"/>
    </row>
    <row r="92" spans="2:164" s="1" customFormat="1" ht="15" x14ac:dyDescent="0.25">
      <c r="B92" s="28" t="s">
        <v>30</v>
      </c>
      <c r="C92" s="39">
        <f>SUM(C87:C91)</f>
        <v>0.72663563197512504</v>
      </c>
      <c r="D92" s="39">
        <f t="shared" ref="D92:J92" si="49">SUM(D87:D91)</f>
        <v>4739.9060564269448</v>
      </c>
      <c r="E92" s="39">
        <f t="shared" si="49"/>
        <v>40005.272848289744</v>
      </c>
      <c r="F92" s="39">
        <f t="shared" si="49"/>
        <v>294411.55988547887</v>
      </c>
      <c r="G92" s="39">
        <f t="shared" si="49"/>
        <v>551272.8650036758</v>
      </c>
      <c r="H92" s="39">
        <f t="shared" si="49"/>
        <v>671396.07477684296</v>
      </c>
      <c r="I92" s="39">
        <f t="shared" si="49"/>
        <v>554287.67053406942</v>
      </c>
      <c r="J92" s="39">
        <f t="shared" si="49"/>
        <v>275218.97300516727</v>
      </c>
      <c r="K92"/>
      <c r="L92"/>
      <c r="M92" s="131"/>
      <c r="N92" s="131"/>
      <c r="O92" s="127"/>
      <c r="P92" s="120"/>
      <c r="Q92" s="106"/>
      <c r="R92" s="106"/>
      <c r="S92" s="106"/>
      <c r="T92" s="106"/>
      <c r="U92" s="106"/>
      <c r="V92" s="106"/>
      <c r="W92" s="106"/>
      <c r="X92" s="106"/>
      <c r="Y92" s="106"/>
      <c r="Z92" s="106"/>
      <c r="AA92" s="106"/>
      <c r="AB92" s="141"/>
      <c r="AC92" s="106"/>
      <c r="AD92" s="106"/>
      <c r="AE92" s="106"/>
      <c r="AF92" s="106"/>
      <c r="AG92" s="106"/>
      <c r="AH92" s="106"/>
      <c r="AI92" s="106"/>
      <c r="AJ92" s="106"/>
      <c r="AK92"/>
      <c r="BF92" s="161"/>
      <c r="BY92" s="161"/>
      <c r="CW92" s="161"/>
      <c r="CX92" s="278"/>
      <c r="CY92" s="45" t="s">
        <v>68</v>
      </c>
      <c r="CZ92" s="8"/>
      <c r="DA92" s="8"/>
      <c r="DB92" s="8">
        <v>234889.10557516181</v>
      </c>
      <c r="DC92" s="8">
        <v>232641.38271269866</v>
      </c>
      <c r="DD92" s="8">
        <v>334850.1096476558</v>
      </c>
      <c r="DE92" s="8">
        <v>444529.86379153124</v>
      </c>
      <c r="DF92" s="8">
        <v>482026.60435030749</v>
      </c>
      <c r="DG92" s="8">
        <v>393024.2841573637</v>
      </c>
      <c r="DH92" s="8">
        <v>306247.30772653432</v>
      </c>
      <c r="DI92" s="8">
        <v>218114.02442784817</v>
      </c>
      <c r="DJ92" s="8">
        <v>260576.42240965163</v>
      </c>
      <c r="DK92" s="8">
        <v>352718.62971794454</v>
      </c>
      <c r="DL92" s="8">
        <v>357497.43888989586</v>
      </c>
      <c r="DM92" s="8">
        <v>276960.17941505893</v>
      </c>
      <c r="DN92" s="8">
        <v>-1124660.0385948638</v>
      </c>
      <c r="DO92" s="8">
        <v>-1132487.3516553803</v>
      </c>
      <c r="DP92" s="8">
        <v>-906567.71628084767</v>
      </c>
      <c r="DQ92" s="8">
        <v>-774422.25885020429</v>
      </c>
      <c r="DR92" s="8">
        <v>-771225.46929440147</v>
      </c>
      <c r="DS92" s="8">
        <v>-950138.76713860442</v>
      </c>
      <c r="DT92" s="8">
        <v>-1105058.7980686983</v>
      </c>
      <c r="DU92" s="8">
        <v>-1164292.7861636046</v>
      </c>
      <c r="DV92" s="8">
        <v>-1050953.6792503996</v>
      </c>
      <c r="DW92" s="8">
        <v>-916798.39138537471</v>
      </c>
      <c r="DX92" s="8">
        <v>-961590.40318586666</v>
      </c>
      <c r="DY92" s="199"/>
      <c r="DZ92" s="199"/>
      <c r="EA92" s="161"/>
      <c r="FH92" s="161"/>
    </row>
    <row r="93" spans="2:164" s="1" customFormat="1" ht="15" x14ac:dyDescent="0.25">
      <c r="C93"/>
      <c r="D93"/>
      <c r="E93"/>
      <c r="F93"/>
      <c r="G93"/>
      <c r="H93"/>
      <c r="I93"/>
      <c r="J93"/>
      <c r="K93"/>
      <c r="L93"/>
      <c r="M93" s="131"/>
      <c r="N93" s="131"/>
      <c r="O93" s="127"/>
      <c r="P93" s="80"/>
      <c r="Q93" s="106"/>
      <c r="R93" s="106"/>
      <c r="S93" s="106"/>
      <c r="T93" s="106"/>
      <c r="U93" s="106"/>
      <c r="V93" s="106"/>
      <c r="W93" s="106"/>
      <c r="X93" s="106"/>
      <c r="Y93" s="106"/>
      <c r="Z93" s="106"/>
      <c r="AA93" s="106"/>
      <c r="AB93" s="141"/>
      <c r="AC93" s="106"/>
      <c r="AD93" s="106"/>
      <c r="AE93" s="106"/>
      <c r="AF93" s="106"/>
      <c r="AG93" s="106"/>
      <c r="AH93" s="106"/>
      <c r="AI93" s="106"/>
      <c r="AJ93" s="106"/>
      <c r="AK93"/>
      <c r="BF93" s="161"/>
      <c r="BY93" s="161"/>
      <c r="CW93" s="161"/>
      <c r="CX93" s="278"/>
      <c r="CY93" s="47" t="s">
        <v>69</v>
      </c>
      <c r="CZ93" s="8">
        <v>6239381</v>
      </c>
      <c r="DA93" s="8">
        <v>6239381</v>
      </c>
      <c r="DB93" s="8">
        <v>5954321.7155751614</v>
      </c>
      <c r="DC93" s="8">
        <v>5432125.6027126983</v>
      </c>
      <c r="DD93" s="8">
        <v>5014385.9396476559</v>
      </c>
      <c r="DE93" s="8">
        <v>4604117.3037915314</v>
      </c>
      <c r="DF93" s="8">
        <v>4121665.6543503078</v>
      </c>
      <c r="DG93" s="8">
        <v>3512714.9441573638</v>
      </c>
      <c r="DH93" s="8">
        <v>2905989.5777265341</v>
      </c>
      <c r="DI93" s="8">
        <v>11779616.504131306</v>
      </c>
      <c r="DJ93" s="8">
        <v>11302130.512113109</v>
      </c>
      <c r="DK93" s="8">
        <v>10874324.329421401</v>
      </c>
      <c r="DL93" s="8">
        <v>10359154.748593353</v>
      </c>
      <c r="DM93" s="8">
        <v>9758669.0991185158</v>
      </c>
      <c r="DN93" s="8">
        <v>7548572.7271752711</v>
      </c>
      <c r="DO93" s="8">
        <v>6752255.4974480877</v>
      </c>
      <c r="DP93" s="8">
        <v>6189685.2161559537</v>
      </c>
      <c r="DQ93" s="8">
        <v>5533340.7569199307</v>
      </c>
      <c r="DR93" s="8">
        <v>4748047.6298090667</v>
      </c>
      <c r="DS93" s="8">
        <v>3780644.4152981974</v>
      </c>
      <c r="DT93" s="8">
        <v>14584920.897701437</v>
      </c>
      <c r="DU93" s="8">
        <v>13737196.992939865</v>
      </c>
      <c r="DV93" s="8">
        <v>13061848.863186404</v>
      </c>
      <c r="DW93" s="8">
        <v>12407514.234384762</v>
      </c>
      <c r="DX93" s="8">
        <v>22308542.205917604</v>
      </c>
      <c r="DY93" s="199"/>
      <c r="DZ93" s="199"/>
      <c r="EA93" s="161"/>
      <c r="FH93" s="161"/>
    </row>
    <row r="94" spans="2:164" s="1" customFormat="1" ht="15" x14ac:dyDescent="0.25">
      <c r="C94"/>
      <c r="D94"/>
      <c r="E94"/>
      <c r="F94"/>
      <c r="G94"/>
      <c r="H94"/>
      <c r="I94"/>
      <c r="J94"/>
      <c r="K94"/>
      <c r="L94"/>
      <c r="M94" s="131"/>
      <c r="N94" s="131"/>
      <c r="O94" s="127"/>
      <c r="P94" s="120"/>
      <c r="Q94" s="106"/>
      <c r="R94" s="106"/>
      <c r="S94" s="106"/>
      <c r="T94" s="106"/>
      <c r="U94" s="106"/>
      <c r="V94" s="106"/>
      <c r="W94" s="106"/>
      <c r="X94" s="106"/>
      <c r="Y94" s="106"/>
      <c r="Z94" s="106"/>
      <c r="AA94" s="106"/>
      <c r="AB94" s="141"/>
      <c r="AC94" s="106"/>
      <c r="AD94" s="106"/>
      <c r="AE94" s="106"/>
      <c r="AF94" s="106"/>
      <c r="AG94" s="106"/>
      <c r="AH94" s="106"/>
      <c r="AI94" s="106"/>
      <c r="AJ94" s="106"/>
      <c r="AK94"/>
      <c r="BF94" s="161"/>
      <c r="BY94" s="161"/>
      <c r="CW94" s="161"/>
      <c r="CX94" s="35"/>
      <c r="CY94" s="11"/>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99"/>
      <c r="DZ94" s="199"/>
      <c r="EA94" s="161"/>
      <c r="FH94" s="161"/>
    </row>
    <row r="95" spans="2:164" s="1" customFormat="1" ht="15" x14ac:dyDescent="0.25">
      <c r="C95"/>
      <c r="D95"/>
      <c r="E95"/>
      <c r="F95"/>
      <c r="G95"/>
      <c r="H95"/>
      <c r="I95"/>
      <c r="J95"/>
      <c r="K95"/>
      <c r="L95"/>
      <c r="M95" s="131"/>
      <c r="N95" s="131"/>
      <c r="O95" s="127"/>
      <c r="P95" s="80"/>
      <c r="Q95" s="106"/>
      <c r="R95" s="106"/>
      <c r="S95" s="106"/>
      <c r="T95" s="106"/>
      <c r="U95" s="106"/>
      <c r="V95" s="106"/>
      <c r="W95" s="106"/>
      <c r="X95" s="106"/>
      <c r="Y95" s="106"/>
      <c r="Z95" s="106"/>
      <c r="AA95" s="106"/>
      <c r="AB95" s="141"/>
      <c r="AC95" s="106"/>
      <c r="AD95" s="106"/>
      <c r="AE95" s="106"/>
      <c r="AF95" s="106"/>
      <c r="AG95" s="106"/>
      <c r="AH95" s="106"/>
      <c r="AI95" s="106"/>
      <c r="AJ95" s="106"/>
      <c r="AK95"/>
      <c r="BF95" s="161"/>
      <c r="BY95" s="161"/>
      <c r="CW95" s="161"/>
      <c r="DY95" s="199"/>
      <c r="DZ95" s="199"/>
      <c r="EA95" s="161"/>
      <c r="FH95" s="161"/>
    </row>
    <row r="96" spans="2:164" s="1" customFormat="1" ht="15" x14ac:dyDescent="0.25">
      <c r="C96"/>
      <c r="D96"/>
      <c r="E96"/>
      <c r="F96"/>
      <c r="G96"/>
      <c r="H96"/>
      <c r="I96"/>
      <c r="J96"/>
      <c r="K96"/>
      <c r="L96"/>
      <c r="M96" s="131"/>
      <c r="N96" s="131"/>
      <c r="O96" s="129"/>
      <c r="P96" s="80"/>
      <c r="Q96" s="106"/>
      <c r="R96" s="106"/>
      <c r="S96" s="106"/>
      <c r="T96" s="106"/>
      <c r="U96" s="106"/>
      <c r="V96" s="106"/>
      <c r="W96" s="106"/>
      <c r="X96" s="106"/>
      <c r="Y96" s="106"/>
      <c r="Z96" s="106"/>
      <c r="AA96" s="106"/>
      <c r="AB96" s="141"/>
      <c r="AC96" s="106"/>
      <c r="AD96" s="106"/>
      <c r="AE96" s="106"/>
      <c r="AF96" s="106"/>
      <c r="AG96" s="106"/>
      <c r="AH96" s="106"/>
      <c r="AI96" s="106"/>
      <c r="AJ96" s="106"/>
      <c r="AK96" s="4"/>
      <c r="BF96" s="161"/>
      <c r="BY96" s="161"/>
      <c r="CW96" s="161"/>
      <c r="DY96" s="199"/>
      <c r="DZ96" s="199"/>
      <c r="EA96" s="161"/>
      <c r="FH96" s="161"/>
    </row>
    <row r="97" spans="3:164" s="1" customFormat="1" ht="15" x14ac:dyDescent="0.25">
      <c r="C97"/>
      <c r="D97"/>
      <c r="E97"/>
      <c r="F97"/>
      <c r="G97"/>
      <c r="H97"/>
      <c r="I97"/>
      <c r="J97"/>
      <c r="K97"/>
      <c r="L97"/>
      <c r="M97" s="131"/>
      <c r="N97" s="131"/>
      <c r="O97"/>
      <c r="P97"/>
      <c r="AB97" s="138"/>
      <c r="BF97" s="161"/>
      <c r="BY97" s="161"/>
      <c r="CW97" s="161"/>
      <c r="DY97" s="199"/>
      <c r="DZ97" s="199"/>
      <c r="EA97" s="161"/>
      <c r="FH97" s="161"/>
    </row>
    <row r="98" spans="3:164" s="1" customFormat="1" ht="15" x14ac:dyDescent="0.25">
      <c r="C98"/>
      <c r="D98"/>
      <c r="E98"/>
      <c r="F98"/>
      <c r="G98"/>
      <c r="H98"/>
      <c r="I98"/>
      <c r="J98"/>
      <c r="K98"/>
      <c r="L98"/>
      <c r="M98" s="131"/>
      <c r="N98" s="131"/>
      <c r="O98"/>
      <c r="P98"/>
      <c r="AB98" s="138"/>
      <c r="BF98" s="161"/>
      <c r="BY98" s="161"/>
      <c r="CW98" s="161"/>
      <c r="DY98" s="199"/>
      <c r="DZ98" s="199"/>
      <c r="EA98" s="161"/>
      <c r="FH98" s="161"/>
    </row>
    <row r="99" spans="3:164" s="1" customFormat="1" ht="15" x14ac:dyDescent="0.25">
      <c r="C99"/>
      <c r="D99"/>
      <c r="E99"/>
      <c r="F99"/>
      <c r="G99"/>
      <c r="H99"/>
      <c r="I99"/>
      <c r="J99"/>
      <c r="K99"/>
      <c r="L99"/>
      <c r="M99" s="131"/>
      <c r="N99" s="131"/>
      <c r="O99"/>
      <c r="P99"/>
      <c r="AB99" s="138"/>
      <c r="BF99" s="161"/>
      <c r="BY99" s="161"/>
      <c r="CW99" s="161"/>
      <c r="DY99" s="199"/>
      <c r="DZ99" s="199"/>
      <c r="EA99" s="161"/>
      <c r="FH99" s="161"/>
    </row>
    <row r="100" spans="3:164" s="1" customFormat="1" ht="15" x14ac:dyDescent="0.25">
      <c r="C100"/>
      <c r="D100"/>
      <c r="E100"/>
      <c r="F100"/>
      <c r="G100"/>
      <c r="H100"/>
      <c r="I100"/>
      <c r="J100"/>
      <c r="K100"/>
      <c r="L100"/>
      <c r="M100" s="131"/>
      <c r="N100" s="131"/>
      <c r="O100"/>
      <c r="P100"/>
      <c r="AB100" s="138"/>
      <c r="BF100" s="161"/>
      <c r="BY100" s="161"/>
      <c r="CW100" s="161"/>
      <c r="DY100" s="199"/>
      <c r="DZ100" s="199"/>
      <c r="EA100" s="161"/>
      <c r="FH100" s="161"/>
    </row>
    <row r="101" spans="3:164" s="1" customFormat="1" ht="15" x14ac:dyDescent="0.25">
      <c r="C101"/>
      <c r="D101"/>
      <c r="E101"/>
      <c r="F101"/>
      <c r="G101"/>
      <c r="H101"/>
      <c r="I101"/>
      <c r="J101"/>
      <c r="K101"/>
      <c r="L101"/>
      <c r="M101" s="131"/>
      <c r="N101" s="131"/>
      <c r="O101"/>
      <c r="P101"/>
      <c r="AB101" s="138"/>
      <c r="BF101" s="161"/>
      <c r="BY101" s="161"/>
      <c r="CW101" s="161"/>
      <c r="DY101" s="199"/>
      <c r="DZ101" s="199"/>
      <c r="EA101" s="161"/>
      <c r="FH101" s="161"/>
    </row>
    <row r="102" spans="3:164" s="1" customFormat="1" ht="15" x14ac:dyDescent="0.25">
      <c r="C102"/>
      <c r="D102"/>
      <c r="E102"/>
      <c r="F102"/>
      <c r="G102"/>
      <c r="H102"/>
      <c r="I102"/>
      <c r="J102"/>
      <c r="K102"/>
      <c r="L102"/>
      <c r="M102" s="131"/>
      <c r="N102" s="131"/>
      <c r="O102"/>
      <c r="P102"/>
      <c r="AB102" s="138"/>
      <c r="BF102" s="161"/>
      <c r="BY102" s="161"/>
      <c r="CW102" s="161"/>
      <c r="DY102" s="199"/>
      <c r="DZ102" s="199"/>
      <c r="EA102" s="161"/>
      <c r="FH102" s="161"/>
    </row>
    <row r="103" spans="3:164" s="1" customFormat="1" ht="15" x14ac:dyDescent="0.25">
      <c r="C103"/>
      <c r="D103"/>
      <c r="E103"/>
      <c r="F103"/>
      <c r="G103"/>
      <c r="H103"/>
      <c r="I103"/>
      <c r="J103"/>
      <c r="K103"/>
      <c r="L103"/>
      <c r="M103" s="131"/>
      <c r="N103" s="131"/>
      <c r="O103"/>
      <c r="P103"/>
      <c r="AB103" s="138"/>
      <c r="BF103" s="161"/>
      <c r="BY103" s="161"/>
      <c r="CW103" s="161"/>
      <c r="DY103" s="199"/>
      <c r="DZ103" s="199"/>
      <c r="EA103" s="161"/>
      <c r="FH103" s="161"/>
    </row>
    <row r="104" spans="3:164" s="1" customFormat="1" ht="15" x14ac:dyDescent="0.25">
      <c r="C104"/>
      <c r="D104"/>
      <c r="E104"/>
      <c r="F104"/>
      <c r="G104"/>
      <c r="H104"/>
      <c r="I104"/>
      <c r="J104"/>
      <c r="K104"/>
      <c r="L104"/>
      <c r="M104" s="131"/>
      <c r="N104" s="131"/>
      <c r="O104"/>
      <c r="P104"/>
      <c r="AB104" s="138"/>
      <c r="BF104" s="161"/>
      <c r="BY104" s="161"/>
      <c r="CW104" s="161"/>
      <c r="DY104" s="199"/>
      <c r="DZ104" s="199"/>
      <c r="EA104" s="161"/>
      <c r="FH104" s="161"/>
    </row>
    <row r="105" spans="3:164" s="1" customFormat="1" ht="15" x14ac:dyDescent="0.25">
      <c r="C105"/>
      <c r="D105"/>
      <c r="E105"/>
      <c r="F105"/>
      <c r="G105"/>
      <c r="H105"/>
      <c r="I105"/>
      <c r="J105"/>
      <c r="K105"/>
      <c r="L105"/>
      <c r="M105" s="131"/>
      <c r="N105" s="131"/>
      <c r="O105"/>
      <c r="P105"/>
      <c r="AB105" s="138"/>
      <c r="BF105" s="161"/>
      <c r="BY105" s="161"/>
      <c r="CW105" s="161"/>
      <c r="DY105" s="199"/>
      <c r="DZ105" s="199"/>
      <c r="EA105" s="161"/>
      <c r="FH105" s="161"/>
    </row>
    <row r="106" spans="3:164" s="1" customFormat="1" ht="15" x14ac:dyDescent="0.25">
      <c r="C106"/>
      <c r="D106"/>
      <c r="E106"/>
      <c r="F106"/>
      <c r="G106"/>
      <c r="H106"/>
      <c r="I106"/>
      <c r="J106"/>
      <c r="K106"/>
      <c r="L106"/>
      <c r="M106" s="131"/>
      <c r="N106" s="131"/>
      <c r="O106"/>
      <c r="P106"/>
      <c r="AB106" s="138"/>
      <c r="BF106" s="161"/>
      <c r="BY106" s="161"/>
      <c r="CW106" s="161"/>
      <c r="DY106" s="199"/>
      <c r="DZ106" s="199"/>
      <c r="EA106" s="161"/>
      <c r="FH106" s="161"/>
    </row>
    <row r="107" spans="3:164" s="1" customFormat="1" ht="15" x14ac:dyDescent="0.25">
      <c r="C107"/>
      <c r="D107"/>
      <c r="E107"/>
      <c r="F107"/>
      <c r="G107"/>
      <c r="H107"/>
      <c r="I107"/>
      <c r="J107"/>
      <c r="K107"/>
      <c r="L107"/>
      <c r="M107" s="131"/>
      <c r="N107" s="131"/>
      <c r="O107"/>
      <c r="P107"/>
      <c r="AB107" s="138"/>
      <c r="BF107" s="161"/>
      <c r="BY107" s="161"/>
      <c r="CW107" s="161"/>
      <c r="DY107" s="199"/>
      <c r="DZ107" s="199"/>
      <c r="EA107" s="161"/>
      <c r="FH107" s="161"/>
    </row>
    <row r="108" spans="3:164" s="1" customFormat="1" ht="15" x14ac:dyDescent="0.25">
      <c r="C108"/>
      <c r="D108"/>
      <c r="E108"/>
      <c r="F108"/>
      <c r="G108"/>
      <c r="H108"/>
      <c r="I108"/>
      <c r="J108"/>
      <c r="K108"/>
      <c r="L108"/>
      <c r="M108" s="131"/>
      <c r="N108" s="131"/>
      <c r="O108"/>
      <c r="P108"/>
      <c r="AB108" s="138"/>
      <c r="BF108" s="161"/>
      <c r="BY108" s="161"/>
      <c r="CW108" s="161"/>
      <c r="DY108" s="199"/>
      <c r="DZ108" s="199"/>
      <c r="EA108" s="161"/>
      <c r="FH108" s="161"/>
    </row>
    <row r="109" spans="3:164" s="1" customFormat="1" ht="15" x14ac:dyDescent="0.25">
      <c r="C109"/>
      <c r="D109"/>
      <c r="E109"/>
      <c r="F109"/>
      <c r="G109"/>
      <c r="H109"/>
      <c r="I109"/>
      <c r="J109"/>
      <c r="K109"/>
      <c r="L109"/>
      <c r="M109" s="131"/>
      <c r="N109" s="131"/>
      <c r="O109"/>
      <c r="P109"/>
      <c r="AB109" s="138"/>
      <c r="BF109" s="161"/>
      <c r="BY109" s="161"/>
      <c r="CW109" s="161"/>
      <c r="DY109" s="199"/>
      <c r="DZ109" s="199"/>
      <c r="EA109" s="161"/>
      <c r="FH109" s="161"/>
    </row>
    <row r="110" spans="3:164" s="1" customFormat="1" ht="15" x14ac:dyDescent="0.25">
      <c r="C110"/>
      <c r="D110"/>
      <c r="E110"/>
      <c r="F110"/>
      <c r="G110"/>
      <c r="H110"/>
      <c r="I110"/>
      <c r="J110"/>
      <c r="K110"/>
      <c r="L110"/>
      <c r="M110" s="131"/>
      <c r="N110" s="131"/>
      <c r="O110"/>
      <c r="P110"/>
      <c r="AB110" s="138"/>
      <c r="BF110" s="161"/>
      <c r="BY110" s="161"/>
      <c r="CW110" s="161"/>
      <c r="DY110" s="199"/>
      <c r="DZ110" s="199"/>
      <c r="EA110" s="161"/>
      <c r="FH110" s="161"/>
    </row>
    <row r="111" spans="3:164" s="1" customFormat="1" ht="15" x14ac:dyDescent="0.25">
      <c r="C111"/>
      <c r="D111"/>
      <c r="E111"/>
      <c r="F111"/>
      <c r="G111"/>
      <c r="H111"/>
      <c r="I111"/>
      <c r="J111"/>
      <c r="K111"/>
      <c r="L111"/>
      <c r="M111" s="131"/>
      <c r="N111" s="131"/>
      <c r="O111"/>
      <c r="P111"/>
      <c r="AB111" s="138"/>
      <c r="BF111" s="161"/>
      <c r="BY111" s="161"/>
      <c r="CW111" s="161"/>
      <c r="DY111" s="199"/>
      <c r="DZ111" s="199"/>
      <c r="EA111" s="161"/>
      <c r="FH111" s="161"/>
    </row>
    <row r="112" spans="3:164" s="1" customFormat="1" ht="15" x14ac:dyDescent="0.25">
      <c r="C112"/>
      <c r="D112"/>
      <c r="E112"/>
      <c r="F112"/>
      <c r="G112"/>
      <c r="H112"/>
      <c r="I112"/>
      <c r="J112"/>
      <c r="K112"/>
      <c r="L112"/>
      <c r="M112" s="131"/>
      <c r="N112" s="131"/>
      <c r="O112"/>
      <c r="P112"/>
      <c r="AB112" s="138"/>
      <c r="BF112" s="161"/>
      <c r="BY112" s="161"/>
      <c r="CW112" s="161"/>
      <c r="DY112" s="199"/>
      <c r="DZ112" s="199"/>
      <c r="EA112" s="161"/>
      <c r="FH112" s="161"/>
    </row>
    <row r="113" spans="3:164" s="1" customFormat="1" ht="15" x14ac:dyDescent="0.25">
      <c r="C113"/>
      <c r="D113"/>
      <c r="E113"/>
      <c r="F113"/>
      <c r="G113"/>
      <c r="H113"/>
      <c r="I113"/>
      <c r="J113"/>
      <c r="K113"/>
      <c r="L113"/>
      <c r="M113" s="131"/>
      <c r="N113" s="131"/>
      <c r="O113"/>
      <c r="P113"/>
      <c r="AB113" s="138"/>
      <c r="BF113" s="161"/>
      <c r="BY113" s="161"/>
      <c r="CW113" s="161"/>
      <c r="DY113" s="199"/>
      <c r="DZ113" s="199"/>
      <c r="EA113" s="161"/>
      <c r="FH113" s="161"/>
    </row>
    <row r="114" spans="3:164" s="1" customFormat="1" ht="15" x14ac:dyDescent="0.25">
      <c r="C114"/>
      <c r="D114"/>
      <c r="E114"/>
      <c r="F114"/>
      <c r="G114"/>
      <c r="H114"/>
      <c r="I114"/>
      <c r="J114"/>
      <c r="K114"/>
      <c r="L114"/>
      <c r="M114" s="131"/>
      <c r="N114" s="131"/>
      <c r="O114"/>
      <c r="P114"/>
      <c r="AB114" s="138"/>
      <c r="BF114" s="161"/>
      <c r="BY114" s="161"/>
      <c r="CW114" s="161"/>
      <c r="DY114" s="199"/>
      <c r="DZ114" s="199"/>
      <c r="EA114" s="161"/>
      <c r="FH114" s="161"/>
    </row>
    <row r="115" spans="3:164" s="1" customFormat="1" ht="15" x14ac:dyDescent="0.25">
      <c r="C115"/>
      <c r="D115"/>
      <c r="E115"/>
      <c r="F115"/>
      <c r="G115"/>
      <c r="H115"/>
      <c r="I115"/>
      <c r="J115"/>
      <c r="K115"/>
      <c r="L115"/>
      <c r="M115" s="131"/>
      <c r="N115" s="131"/>
      <c r="O115"/>
      <c r="P115"/>
      <c r="AB115" s="138"/>
      <c r="BF115" s="161"/>
      <c r="BY115" s="161"/>
      <c r="CW115" s="161"/>
      <c r="DY115" s="199"/>
      <c r="DZ115" s="199"/>
      <c r="EA115" s="161"/>
      <c r="FH115" s="161"/>
    </row>
    <row r="116" spans="3:164" s="1" customFormat="1" ht="15" x14ac:dyDescent="0.25">
      <c r="C116"/>
      <c r="D116"/>
      <c r="E116"/>
      <c r="F116"/>
      <c r="G116"/>
      <c r="H116"/>
      <c r="I116"/>
      <c r="J116"/>
      <c r="K116"/>
      <c r="L116"/>
      <c r="M116" s="131"/>
      <c r="N116" s="131"/>
      <c r="O116"/>
      <c r="P116"/>
      <c r="AB116" s="138"/>
      <c r="BF116" s="161"/>
      <c r="BY116" s="161"/>
      <c r="CW116" s="161"/>
      <c r="DY116" s="199"/>
      <c r="DZ116" s="199"/>
      <c r="EA116" s="161"/>
      <c r="FH116" s="161"/>
    </row>
    <row r="117" spans="3:164" s="1" customFormat="1" ht="15" x14ac:dyDescent="0.25">
      <c r="C117"/>
      <c r="D117"/>
      <c r="E117"/>
      <c r="F117"/>
      <c r="G117"/>
      <c r="H117"/>
      <c r="I117"/>
      <c r="J117"/>
      <c r="K117"/>
      <c r="L117"/>
      <c r="M117" s="131"/>
      <c r="N117" s="131"/>
      <c r="O117"/>
      <c r="P117"/>
      <c r="AB117" s="138"/>
      <c r="BF117" s="161"/>
      <c r="BY117" s="161"/>
      <c r="CW117" s="161"/>
      <c r="DY117" s="199"/>
      <c r="DZ117" s="199"/>
      <c r="EA117" s="161"/>
      <c r="FH117" s="161"/>
    </row>
    <row r="118" spans="3:164" s="1" customFormat="1" ht="15" x14ac:dyDescent="0.25">
      <c r="C118"/>
      <c r="D118"/>
      <c r="E118"/>
      <c r="F118"/>
      <c r="G118"/>
      <c r="H118"/>
      <c r="I118"/>
      <c r="J118"/>
      <c r="K118"/>
      <c r="L118"/>
      <c r="M118" s="131"/>
      <c r="N118" s="131"/>
      <c r="O118"/>
      <c r="P118"/>
      <c r="AB118" s="138"/>
      <c r="BF118" s="161"/>
      <c r="BY118" s="161"/>
      <c r="CW118" s="161"/>
      <c r="DY118" s="199"/>
      <c r="DZ118" s="199"/>
      <c r="EA118" s="161"/>
      <c r="FH118" s="161"/>
    </row>
    <row r="119" spans="3:164" s="1" customFormat="1" ht="15" x14ac:dyDescent="0.25">
      <c r="C119"/>
      <c r="D119"/>
      <c r="E119"/>
      <c r="F119"/>
      <c r="G119"/>
      <c r="H119"/>
      <c r="I119"/>
      <c r="J119"/>
      <c r="K119"/>
      <c r="L119"/>
      <c r="M119" s="131"/>
      <c r="N119" s="131"/>
      <c r="O119"/>
      <c r="P119"/>
      <c r="AB119" s="138"/>
      <c r="BF119" s="161"/>
      <c r="BY119" s="161"/>
      <c r="CW119" s="161"/>
      <c r="DY119" s="199"/>
      <c r="DZ119" s="199"/>
      <c r="EA119" s="161"/>
      <c r="FH119" s="161"/>
    </row>
    <row r="120" spans="3:164" s="1" customFormat="1" ht="15" x14ac:dyDescent="0.25">
      <c r="C120"/>
      <c r="D120"/>
      <c r="E120"/>
      <c r="F120"/>
      <c r="G120"/>
      <c r="H120"/>
      <c r="I120"/>
      <c r="J120"/>
      <c r="K120"/>
      <c r="L120"/>
      <c r="M120" s="131"/>
      <c r="N120" s="131"/>
      <c r="O120"/>
      <c r="P120"/>
      <c r="AB120" s="138"/>
      <c r="BF120" s="161"/>
      <c r="BY120" s="161"/>
      <c r="CW120" s="161"/>
      <c r="DY120" s="199"/>
      <c r="DZ120" s="199"/>
      <c r="EA120" s="161"/>
      <c r="FH120" s="161"/>
    </row>
    <row r="121" spans="3:164" s="1" customFormat="1" ht="15" x14ac:dyDescent="0.25">
      <c r="C121"/>
      <c r="D121"/>
      <c r="E121"/>
      <c r="F121"/>
      <c r="G121"/>
      <c r="H121"/>
      <c r="I121"/>
      <c r="J121"/>
      <c r="K121"/>
      <c r="L121"/>
      <c r="M121" s="131"/>
      <c r="N121" s="131"/>
      <c r="O121"/>
      <c r="P121"/>
      <c r="AB121" s="138"/>
      <c r="BF121" s="161"/>
      <c r="BY121" s="161"/>
      <c r="CW121" s="161"/>
      <c r="DY121" s="199"/>
      <c r="DZ121" s="199"/>
      <c r="EA121" s="161"/>
      <c r="FH121" s="161"/>
    </row>
    <row r="122" spans="3:164" s="1" customFormat="1" ht="15" x14ac:dyDescent="0.25">
      <c r="C122"/>
      <c r="D122"/>
      <c r="E122"/>
      <c r="F122"/>
      <c r="G122"/>
      <c r="H122"/>
      <c r="I122"/>
      <c r="J122"/>
      <c r="K122"/>
      <c r="L122"/>
      <c r="M122" s="131"/>
      <c r="N122" s="131"/>
      <c r="O122"/>
      <c r="P122"/>
      <c r="AB122" s="138"/>
      <c r="BF122" s="161"/>
      <c r="BY122" s="161"/>
      <c r="CW122" s="161"/>
      <c r="DY122" s="199"/>
      <c r="DZ122" s="199"/>
      <c r="EA122" s="161"/>
      <c r="FH122" s="161"/>
    </row>
    <row r="123" spans="3:164" s="1" customFormat="1" ht="15" x14ac:dyDescent="0.25">
      <c r="C123"/>
      <c r="D123"/>
      <c r="E123"/>
      <c r="F123"/>
      <c r="G123"/>
      <c r="H123"/>
      <c r="I123"/>
      <c r="J123"/>
      <c r="K123"/>
      <c r="L123"/>
      <c r="M123" s="131"/>
      <c r="N123" s="131"/>
      <c r="O123"/>
      <c r="P123"/>
      <c r="AB123" s="138"/>
      <c r="BF123" s="161"/>
      <c r="BY123" s="161"/>
      <c r="CW123" s="161"/>
      <c r="DY123" s="199"/>
      <c r="DZ123" s="199"/>
      <c r="EA123" s="161"/>
      <c r="FH123" s="161"/>
    </row>
    <row r="124" spans="3:164" s="1" customFormat="1" ht="15" x14ac:dyDescent="0.25">
      <c r="C124"/>
      <c r="D124"/>
      <c r="E124"/>
      <c r="F124"/>
      <c r="G124"/>
      <c r="H124"/>
      <c r="I124"/>
      <c r="J124"/>
      <c r="K124"/>
      <c r="L124"/>
      <c r="M124" s="131"/>
      <c r="N124" s="131"/>
      <c r="O124"/>
      <c r="P124"/>
      <c r="AB124" s="138"/>
      <c r="BF124" s="161"/>
      <c r="BY124" s="161"/>
      <c r="CW124" s="161"/>
      <c r="DY124" s="199"/>
      <c r="DZ124" s="199"/>
      <c r="EA124" s="161"/>
      <c r="FH124" s="161"/>
    </row>
    <row r="125" spans="3:164" s="1" customFormat="1" ht="15" customHeight="1" x14ac:dyDescent="0.25">
      <c r="C125"/>
      <c r="D125"/>
      <c r="E125"/>
      <c r="F125"/>
      <c r="G125"/>
      <c r="H125"/>
      <c r="I125"/>
      <c r="J125"/>
      <c r="K125"/>
      <c r="L125"/>
      <c r="M125" s="131"/>
      <c r="N125" s="131"/>
      <c r="O125"/>
      <c r="P125"/>
      <c r="AB125" s="138"/>
      <c r="BF125" s="161"/>
      <c r="BY125" s="161"/>
      <c r="CW125" s="161"/>
      <c r="DY125" s="199"/>
      <c r="DZ125" s="199"/>
      <c r="EA125" s="161"/>
      <c r="FH125" s="161"/>
    </row>
    <row r="126" spans="3:164" s="1" customFormat="1" ht="15" customHeight="1" x14ac:dyDescent="0.25">
      <c r="C126"/>
      <c r="D126"/>
      <c r="E126"/>
      <c r="F126"/>
      <c r="G126"/>
      <c r="H126"/>
      <c r="I126"/>
      <c r="J126"/>
      <c r="K126"/>
      <c r="L126"/>
      <c r="M126" s="131"/>
      <c r="N126" s="131"/>
      <c r="O126"/>
      <c r="P126"/>
      <c r="AB126" s="138"/>
      <c r="BF126" s="161"/>
      <c r="BY126" s="161"/>
      <c r="CW126" s="161"/>
      <c r="DY126" s="199"/>
      <c r="DZ126" s="199"/>
      <c r="EA126" s="161"/>
      <c r="FH126" s="161"/>
    </row>
    <row r="127" spans="3:164" s="1" customFormat="1" ht="15" customHeight="1" x14ac:dyDescent="0.25">
      <c r="C127"/>
      <c r="D127"/>
      <c r="E127"/>
      <c r="F127"/>
      <c r="G127"/>
      <c r="H127"/>
      <c r="I127"/>
      <c r="J127"/>
      <c r="K127"/>
      <c r="L127"/>
      <c r="M127" s="131"/>
      <c r="N127" s="131"/>
      <c r="O127"/>
      <c r="P127"/>
      <c r="AB127" s="138"/>
      <c r="BF127" s="161"/>
      <c r="BY127" s="161"/>
      <c r="CW127" s="161"/>
      <c r="DY127" s="199"/>
      <c r="DZ127" s="199"/>
      <c r="EA127" s="161"/>
      <c r="FH127" s="161"/>
    </row>
    <row r="128" spans="3:164" s="1" customFormat="1" ht="15" customHeight="1" x14ac:dyDescent="0.25">
      <c r="C128"/>
      <c r="D128"/>
      <c r="E128"/>
      <c r="F128"/>
      <c r="G128"/>
      <c r="H128"/>
      <c r="I128"/>
      <c r="J128"/>
      <c r="K128"/>
      <c r="L128"/>
      <c r="M128" s="131"/>
      <c r="N128" s="131"/>
      <c r="O128"/>
      <c r="P128"/>
      <c r="AB128" s="138"/>
      <c r="BF128" s="161"/>
      <c r="BY128" s="161"/>
      <c r="CW128" s="161"/>
      <c r="DY128" s="199"/>
      <c r="DZ128" s="199"/>
      <c r="EA128" s="161"/>
      <c r="FH128" s="161"/>
    </row>
    <row r="129" spans="3:164" s="1" customFormat="1" ht="15" customHeight="1" x14ac:dyDescent="0.25">
      <c r="C129"/>
      <c r="D129"/>
      <c r="E129"/>
      <c r="F129"/>
      <c r="G129"/>
      <c r="H129"/>
      <c r="I129"/>
      <c r="J129"/>
      <c r="K129"/>
      <c r="L129"/>
      <c r="M129" s="131"/>
      <c r="N129" s="131"/>
      <c r="O129"/>
      <c r="P129"/>
      <c r="AB129" s="138"/>
      <c r="BF129" s="161"/>
      <c r="BY129" s="161"/>
      <c r="CW129" s="161"/>
      <c r="DY129" s="199"/>
      <c r="DZ129" s="199"/>
      <c r="EA129" s="161"/>
      <c r="FH129" s="161"/>
    </row>
    <row r="130" spans="3:164" s="1" customFormat="1" ht="15" customHeight="1" x14ac:dyDescent="0.25">
      <c r="C130"/>
      <c r="D130"/>
      <c r="E130"/>
      <c r="F130"/>
      <c r="G130"/>
      <c r="H130"/>
      <c r="I130"/>
      <c r="J130"/>
      <c r="K130"/>
      <c r="L130"/>
      <c r="M130" s="131"/>
      <c r="N130" s="131"/>
      <c r="O130"/>
      <c r="P130"/>
      <c r="AB130" s="138"/>
      <c r="BF130" s="161"/>
      <c r="BY130" s="161"/>
      <c r="CW130" s="161"/>
      <c r="DY130" s="199"/>
      <c r="DZ130" s="199"/>
      <c r="EA130" s="161"/>
      <c r="FH130" s="161"/>
    </row>
    <row r="131" spans="3:164" s="1" customFormat="1" ht="15" customHeight="1" x14ac:dyDescent="0.25">
      <c r="C131"/>
      <c r="D131"/>
      <c r="E131"/>
      <c r="F131"/>
      <c r="G131"/>
      <c r="H131"/>
      <c r="I131"/>
      <c r="J131"/>
      <c r="K131"/>
      <c r="L131"/>
      <c r="M131" s="131"/>
      <c r="N131" s="131"/>
      <c r="O131"/>
      <c r="P131"/>
      <c r="AB131" s="138"/>
      <c r="BF131" s="161"/>
      <c r="BY131" s="161"/>
      <c r="CW131" s="161"/>
      <c r="DY131" s="199"/>
      <c r="DZ131" s="199"/>
      <c r="EA131" s="161"/>
      <c r="FH131" s="161"/>
    </row>
    <row r="132" spans="3:164" s="1" customFormat="1" ht="15" customHeight="1" x14ac:dyDescent="0.25">
      <c r="C132"/>
      <c r="D132"/>
      <c r="E132"/>
      <c r="F132"/>
      <c r="G132"/>
      <c r="H132"/>
      <c r="I132"/>
      <c r="J132"/>
      <c r="K132"/>
      <c r="L132"/>
      <c r="M132" s="131"/>
      <c r="N132" s="131"/>
      <c r="O132"/>
      <c r="P132"/>
      <c r="AB132" s="138"/>
      <c r="BF132" s="161"/>
      <c r="BY132" s="161"/>
      <c r="CW132" s="161"/>
      <c r="DY132" s="199"/>
      <c r="DZ132" s="199"/>
      <c r="EA132" s="161"/>
      <c r="FH132" s="161"/>
    </row>
    <row r="133" spans="3:164" s="1" customFormat="1" ht="15" customHeight="1" x14ac:dyDescent="0.25">
      <c r="C133"/>
      <c r="D133"/>
      <c r="E133"/>
      <c r="F133"/>
      <c r="G133"/>
      <c r="H133"/>
      <c r="I133"/>
      <c r="J133"/>
      <c r="K133"/>
      <c r="L133"/>
      <c r="M133" s="131"/>
      <c r="N133" s="131"/>
      <c r="O133"/>
      <c r="P133"/>
      <c r="AB133" s="138"/>
      <c r="BF133" s="161"/>
      <c r="BY133" s="161"/>
      <c r="CW133" s="161"/>
      <c r="DY133" s="199"/>
      <c r="DZ133" s="199"/>
      <c r="EA133" s="161"/>
      <c r="FH133" s="161"/>
    </row>
    <row r="134" spans="3:164" s="1" customFormat="1" ht="15" customHeight="1" x14ac:dyDescent="0.25">
      <c r="C134"/>
      <c r="D134"/>
      <c r="E134"/>
      <c r="F134"/>
      <c r="G134"/>
      <c r="H134"/>
      <c r="I134"/>
      <c r="J134"/>
      <c r="K134"/>
      <c r="L134"/>
      <c r="M134" s="131"/>
      <c r="N134" s="131"/>
      <c r="O134"/>
      <c r="P134"/>
      <c r="AB134" s="138"/>
      <c r="BF134" s="161"/>
      <c r="BY134" s="161"/>
      <c r="CW134" s="161"/>
      <c r="DY134" s="199"/>
      <c r="DZ134" s="199"/>
      <c r="EA134" s="161"/>
      <c r="FH134" s="161"/>
    </row>
    <row r="135" spans="3:164" s="1" customFormat="1" ht="15" customHeight="1" x14ac:dyDescent="0.25">
      <c r="C135"/>
      <c r="D135"/>
      <c r="E135"/>
      <c r="F135"/>
      <c r="G135"/>
      <c r="H135"/>
      <c r="I135"/>
      <c r="J135"/>
      <c r="K135"/>
      <c r="L135"/>
      <c r="M135" s="131"/>
      <c r="N135" s="131"/>
      <c r="O135"/>
      <c r="P135"/>
      <c r="AB135" s="138"/>
      <c r="BF135" s="161"/>
      <c r="BY135" s="161"/>
      <c r="CW135" s="161"/>
      <c r="DY135" s="199"/>
      <c r="DZ135" s="199"/>
      <c r="EA135" s="161"/>
      <c r="FH135" s="161"/>
    </row>
    <row r="136" spans="3:164" s="1" customFormat="1" ht="15" customHeight="1" x14ac:dyDescent="0.25">
      <c r="C136"/>
      <c r="D136"/>
      <c r="E136"/>
      <c r="F136"/>
      <c r="G136"/>
      <c r="H136"/>
      <c r="I136"/>
      <c r="J136"/>
      <c r="K136"/>
      <c r="L136"/>
      <c r="M136" s="131"/>
      <c r="N136" s="131"/>
      <c r="O136"/>
      <c r="P136"/>
      <c r="AB136" s="138"/>
      <c r="BF136" s="161"/>
      <c r="BY136" s="161"/>
      <c r="CW136" s="161"/>
      <c r="DY136" s="199"/>
      <c r="DZ136" s="199"/>
      <c r="EA136" s="161"/>
      <c r="FH136" s="161"/>
    </row>
    <row r="137" spans="3:164" s="1" customFormat="1" ht="15" customHeight="1" x14ac:dyDescent="0.25">
      <c r="C137"/>
      <c r="D137"/>
      <c r="E137"/>
      <c r="F137"/>
      <c r="G137"/>
      <c r="H137"/>
      <c r="I137"/>
      <c r="J137"/>
      <c r="K137"/>
      <c r="L137"/>
      <c r="M137" s="131"/>
      <c r="N137" s="131"/>
      <c r="O137"/>
      <c r="P137"/>
      <c r="AB137" s="138"/>
      <c r="BF137" s="161"/>
      <c r="BY137" s="161"/>
      <c r="CW137" s="161"/>
      <c r="DY137" s="199"/>
      <c r="DZ137" s="199"/>
      <c r="EA137" s="161"/>
      <c r="FH137" s="161"/>
    </row>
    <row r="138" spans="3:164" s="1" customFormat="1" ht="15" customHeight="1" x14ac:dyDescent="0.25">
      <c r="C138"/>
      <c r="D138"/>
      <c r="E138"/>
      <c r="F138"/>
      <c r="G138"/>
      <c r="H138"/>
      <c r="I138"/>
      <c r="J138"/>
      <c r="K138"/>
      <c r="L138"/>
      <c r="M138" s="131"/>
      <c r="N138" s="131"/>
      <c r="O138"/>
      <c r="P138"/>
      <c r="AB138" s="138"/>
      <c r="BF138" s="161"/>
      <c r="BY138" s="161"/>
      <c r="CW138" s="161"/>
      <c r="DY138" s="199"/>
      <c r="DZ138" s="199"/>
      <c r="EA138" s="161"/>
      <c r="FH138" s="161"/>
    </row>
    <row r="139" spans="3:164" s="1" customFormat="1" ht="15" customHeight="1" x14ac:dyDescent="0.25">
      <c r="C139"/>
      <c r="D139"/>
      <c r="E139"/>
      <c r="F139"/>
      <c r="G139"/>
      <c r="H139"/>
      <c r="I139"/>
      <c r="J139"/>
      <c r="K139"/>
      <c r="L139"/>
      <c r="M139" s="131"/>
      <c r="N139" s="131"/>
      <c r="O139"/>
      <c r="P139"/>
      <c r="AB139" s="138"/>
      <c r="BF139" s="161"/>
      <c r="BY139" s="161"/>
      <c r="CW139" s="161"/>
      <c r="DY139" s="199"/>
      <c r="DZ139" s="199"/>
      <c r="EA139" s="161"/>
      <c r="FH139" s="161"/>
    </row>
    <row r="140" spans="3:164" s="1" customFormat="1" ht="15" customHeight="1" x14ac:dyDescent="0.25">
      <c r="C140"/>
      <c r="D140"/>
      <c r="E140"/>
      <c r="F140"/>
      <c r="G140"/>
      <c r="H140"/>
      <c r="I140"/>
      <c r="J140"/>
      <c r="K140"/>
      <c r="L140"/>
      <c r="M140" s="131"/>
      <c r="N140" s="131"/>
      <c r="O140"/>
      <c r="P140"/>
      <c r="AB140" s="138"/>
      <c r="BF140" s="161"/>
      <c r="BY140" s="161"/>
      <c r="CW140" s="161"/>
      <c r="DY140" s="199"/>
      <c r="DZ140" s="199"/>
      <c r="EA140" s="161"/>
      <c r="FH140" s="161"/>
    </row>
    <row r="141" spans="3:164" s="1" customFormat="1" ht="15" customHeight="1" x14ac:dyDescent="0.25">
      <c r="C141"/>
      <c r="D141"/>
      <c r="E141"/>
      <c r="F141"/>
      <c r="G141"/>
      <c r="H141"/>
      <c r="I141"/>
      <c r="J141"/>
      <c r="K141"/>
      <c r="L141"/>
      <c r="M141" s="131"/>
      <c r="N141" s="131"/>
      <c r="O141"/>
      <c r="P141"/>
      <c r="AB141" s="138"/>
      <c r="BF141" s="161"/>
      <c r="BY141" s="161"/>
      <c r="CW141" s="161"/>
      <c r="DY141" s="199"/>
      <c r="DZ141" s="199"/>
      <c r="EA141" s="161"/>
      <c r="FH141" s="161"/>
    </row>
    <row r="142" spans="3:164" s="1" customFormat="1" ht="15" customHeight="1" x14ac:dyDescent="0.25">
      <c r="C142"/>
      <c r="D142"/>
      <c r="E142"/>
      <c r="F142"/>
      <c r="G142"/>
      <c r="H142"/>
      <c r="I142"/>
      <c r="J142"/>
      <c r="K142"/>
      <c r="L142"/>
      <c r="M142" s="131"/>
      <c r="N142" s="131"/>
      <c r="O142"/>
      <c r="P142"/>
      <c r="AB142" s="138"/>
      <c r="BF142" s="161"/>
      <c r="BY142" s="161"/>
      <c r="CW142" s="161"/>
      <c r="DY142" s="199"/>
      <c r="DZ142" s="199"/>
      <c r="EA142" s="161"/>
      <c r="FH142" s="161"/>
    </row>
    <row r="143" spans="3:164" s="1" customFormat="1" ht="15" customHeight="1" x14ac:dyDescent="0.25">
      <c r="C143"/>
      <c r="D143"/>
      <c r="E143"/>
      <c r="F143"/>
      <c r="G143"/>
      <c r="H143"/>
      <c r="I143"/>
      <c r="J143"/>
      <c r="K143"/>
      <c r="L143"/>
      <c r="M143" s="131"/>
      <c r="N143" s="131"/>
      <c r="O143"/>
      <c r="P143"/>
      <c r="AB143" s="138"/>
      <c r="BF143" s="161"/>
      <c r="BY143" s="161"/>
      <c r="CW143" s="161"/>
      <c r="DY143" s="199"/>
      <c r="DZ143" s="199"/>
      <c r="EA143" s="161"/>
      <c r="FH143" s="161"/>
    </row>
    <row r="144" spans="3:164" s="1" customFormat="1" ht="15" customHeight="1" x14ac:dyDescent="0.25">
      <c r="C144"/>
      <c r="D144"/>
      <c r="E144"/>
      <c r="F144"/>
      <c r="G144"/>
      <c r="H144"/>
      <c r="I144"/>
      <c r="J144"/>
      <c r="K144"/>
      <c r="L144"/>
      <c r="M144" s="131"/>
      <c r="N144" s="131"/>
      <c r="O144"/>
      <c r="P144"/>
      <c r="AB144" s="138"/>
      <c r="BF144" s="161"/>
      <c r="BY144" s="161"/>
      <c r="CW144" s="161"/>
      <c r="DY144" s="199"/>
      <c r="DZ144" s="199"/>
      <c r="EA144" s="161"/>
      <c r="FH144" s="161"/>
    </row>
    <row r="145" spans="3:164" s="1" customFormat="1" ht="15" customHeight="1" x14ac:dyDescent="0.25">
      <c r="C145"/>
      <c r="D145"/>
      <c r="E145"/>
      <c r="F145"/>
      <c r="G145"/>
      <c r="H145"/>
      <c r="I145"/>
      <c r="J145"/>
      <c r="K145"/>
      <c r="L145"/>
      <c r="M145" s="131"/>
      <c r="N145" s="131"/>
      <c r="O145"/>
      <c r="P145"/>
      <c r="AB145" s="138"/>
      <c r="BF145" s="161"/>
      <c r="BY145" s="161"/>
      <c r="CW145" s="161"/>
      <c r="DY145" s="199"/>
      <c r="DZ145" s="199"/>
      <c r="EA145" s="161"/>
      <c r="FH145" s="161"/>
    </row>
    <row r="146" spans="3:164" s="1" customFormat="1" ht="15" customHeight="1" x14ac:dyDescent="0.25">
      <c r="C146"/>
      <c r="D146"/>
      <c r="E146"/>
      <c r="F146"/>
      <c r="G146"/>
      <c r="H146"/>
      <c r="I146"/>
      <c r="J146"/>
      <c r="K146"/>
      <c r="L146"/>
      <c r="M146" s="131"/>
      <c r="N146" s="131"/>
      <c r="O146"/>
      <c r="P146"/>
      <c r="AB146" s="138"/>
      <c r="BF146" s="161"/>
      <c r="BY146" s="161"/>
      <c r="CW146" s="161"/>
      <c r="DY146" s="199"/>
      <c r="DZ146" s="199"/>
      <c r="EA146" s="161"/>
      <c r="FH146" s="161"/>
    </row>
    <row r="147" spans="3:164" s="1" customFormat="1" ht="15" customHeight="1" x14ac:dyDescent="0.25">
      <c r="C147"/>
      <c r="D147"/>
      <c r="E147"/>
      <c r="F147"/>
      <c r="G147"/>
      <c r="H147"/>
      <c r="I147"/>
      <c r="J147"/>
      <c r="K147"/>
      <c r="L147"/>
      <c r="M147" s="131"/>
      <c r="N147" s="131"/>
      <c r="O147"/>
      <c r="P147"/>
      <c r="AB147" s="138"/>
      <c r="BF147" s="161"/>
      <c r="BY147" s="161"/>
      <c r="CW147" s="161"/>
      <c r="DY147" s="199"/>
      <c r="DZ147" s="199"/>
      <c r="EA147" s="161"/>
      <c r="FH147" s="161"/>
    </row>
    <row r="148" spans="3:164" s="1" customFormat="1" ht="15" customHeight="1" x14ac:dyDescent="0.25">
      <c r="C148"/>
      <c r="D148"/>
      <c r="E148"/>
      <c r="F148"/>
      <c r="G148"/>
      <c r="H148"/>
      <c r="I148"/>
      <c r="J148"/>
      <c r="K148"/>
      <c r="L148"/>
      <c r="M148" s="131"/>
      <c r="N148" s="131"/>
      <c r="O148"/>
      <c r="P148"/>
      <c r="AB148" s="138"/>
      <c r="BF148" s="161"/>
      <c r="BY148" s="161"/>
      <c r="CW148" s="161"/>
      <c r="DY148" s="199"/>
      <c r="DZ148" s="199"/>
      <c r="EA148" s="161"/>
      <c r="FH148" s="161"/>
    </row>
    <row r="149" spans="3:164" s="1" customFormat="1" ht="15" customHeight="1" x14ac:dyDescent="0.25">
      <c r="C149"/>
      <c r="D149"/>
      <c r="E149"/>
      <c r="F149"/>
      <c r="G149"/>
      <c r="H149"/>
      <c r="I149"/>
      <c r="J149"/>
      <c r="K149"/>
      <c r="L149"/>
      <c r="M149" s="131"/>
      <c r="N149" s="131"/>
      <c r="O149"/>
      <c r="P149"/>
      <c r="AB149" s="138"/>
      <c r="BF149" s="161"/>
      <c r="BY149" s="161"/>
      <c r="CW149" s="161"/>
      <c r="DY149" s="199"/>
      <c r="DZ149" s="199"/>
      <c r="EA149" s="161"/>
      <c r="FH149" s="161"/>
    </row>
    <row r="150" spans="3:164" s="1" customFormat="1" ht="15" customHeight="1" x14ac:dyDescent="0.25">
      <c r="C150"/>
      <c r="D150"/>
      <c r="E150"/>
      <c r="F150"/>
      <c r="G150"/>
      <c r="H150"/>
      <c r="I150"/>
      <c r="J150"/>
      <c r="K150"/>
      <c r="L150"/>
      <c r="M150" s="131"/>
      <c r="N150" s="131"/>
      <c r="O150"/>
      <c r="P150"/>
      <c r="AB150" s="138"/>
      <c r="BF150" s="161"/>
      <c r="BY150" s="161"/>
      <c r="CW150" s="161"/>
      <c r="DY150" s="199"/>
      <c r="DZ150" s="199"/>
      <c r="EA150" s="161"/>
      <c r="FH150" s="161"/>
    </row>
    <row r="151" spans="3:164" s="1" customFormat="1" ht="15" customHeight="1" x14ac:dyDescent="0.25">
      <c r="C151"/>
      <c r="D151"/>
      <c r="E151"/>
      <c r="F151"/>
      <c r="G151"/>
      <c r="H151"/>
      <c r="I151"/>
      <c r="J151"/>
      <c r="K151"/>
      <c r="L151"/>
      <c r="M151" s="131"/>
      <c r="N151" s="131"/>
      <c r="O151"/>
      <c r="P151"/>
      <c r="AB151" s="138"/>
      <c r="BF151" s="161"/>
      <c r="BY151" s="161"/>
      <c r="CW151" s="161"/>
      <c r="DY151" s="199"/>
      <c r="DZ151" s="199"/>
      <c r="EA151" s="161"/>
      <c r="FH151" s="161"/>
    </row>
    <row r="152" spans="3:164" s="1" customFormat="1" ht="15" customHeight="1" x14ac:dyDescent="0.25">
      <c r="C152"/>
      <c r="D152"/>
      <c r="E152"/>
      <c r="F152"/>
      <c r="G152"/>
      <c r="H152"/>
      <c r="I152"/>
      <c r="J152"/>
      <c r="K152"/>
      <c r="L152"/>
      <c r="M152" s="131"/>
      <c r="N152" s="131"/>
      <c r="O152"/>
      <c r="P152"/>
      <c r="AB152" s="138"/>
      <c r="BF152" s="161"/>
      <c r="BY152" s="161"/>
      <c r="CW152" s="161"/>
      <c r="DY152" s="199"/>
      <c r="DZ152" s="199"/>
      <c r="EA152" s="161"/>
      <c r="FH152" s="161"/>
    </row>
    <row r="153" spans="3:164" s="1" customFormat="1" ht="15" customHeight="1" x14ac:dyDescent="0.25">
      <c r="C153"/>
      <c r="D153"/>
      <c r="E153"/>
      <c r="F153"/>
      <c r="G153"/>
      <c r="H153"/>
      <c r="I153"/>
      <c r="J153"/>
      <c r="K153"/>
      <c r="L153"/>
      <c r="M153" s="131"/>
      <c r="N153" s="131"/>
      <c r="O153"/>
      <c r="P153"/>
      <c r="AB153" s="138"/>
      <c r="BF153" s="161"/>
      <c r="BY153" s="161"/>
      <c r="CW153" s="161"/>
      <c r="DY153" s="199"/>
      <c r="DZ153" s="199"/>
      <c r="EA153" s="161"/>
      <c r="FH153" s="161"/>
    </row>
    <row r="154" spans="3:164" s="1" customFormat="1" ht="15" customHeight="1" x14ac:dyDescent="0.25">
      <c r="C154"/>
      <c r="D154"/>
      <c r="E154"/>
      <c r="F154"/>
      <c r="G154"/>
      <c r="H154"/>
      <c r="I154"/>
      <c r="J154"/>
      <c r="K154"/>
      <c r="L154"/>
      <c r="M154" s="131"/>
      <c r="N154" s="131"/>
      <c r="O154"/>
      <c r="P154"/>
      <c r="AB154" s="138"/>
      <c r="BF154" s="161"/>
      <c r="BY154" s="161"/>
      <c r="CW154" s="161"/>
      <c r="DY154" s="199"/>
      <c r="DZ154" s="199"/>
      <c r="EA154" s="161"/>
      <c r="FH154" s="161"/>
    </row>
    <row r="155" spans="3:164" s="1" customFormat="1" ht="15" customHeight="1" x14ac:dyDescent="0.25">
      <c r="C155"/>
      <c r="D155"/>
      <c r="E155"/>
      <c r="F155"/>
      <c r="G155"/>
      <c r="H155"/>
      <c r="I155"/>
      <c r="J155"/>
      <c r="K155"/>
      <c r="L155"/>
      <c r="M155" s="131"/>
      <c r="N155" s="131"/>
      <c r="O155"/>
      <c r="P155"/>
      <c r="AB155" s="138"/>
      <c r="BF155" s="161"/>
      <c r="BY155" s="161"/>
      <c r="CW155" s="161"/>
      <c r="DY155" s="199"/>
      <c r="DZ155" s="199"/>
      <c r="EA155" s="161"/>
      <c r="FH155" s="161"/>
    </row>
    <row r="156" spans="3:164" s="1" customFormat="1" ht="15" customHeight="1" x14ac:dyDescent="0.25">
      <c r="C156"/>
      <c r="D156"/>
      <c r="E156"/>
      <c r="F156"/>
      <c r="G156"/>
      <c r="H156"/>
      <c r="I156"/>
      <c r="J156"/>
      <c r="K156"/>
      <c r="L156"/>
      <c r="M156" s="131"/>
      <c r="N156" s="131"/>
      <c r="O156"/>
      <c r="P156"/>
      <c r="AB156" s="138"/>
      <c r="BF156" s="161"/>
      <c r="BY156" s="161"/>
      <c r="CW156" s="161"/>
      <c r="DY156" s="199"/>
      <c r="DZ156" s="199"/>
      <c r="EA156" s="161"/>
      <c r="FH156" s="161"/>
    </row>
    <row r="157" spans="3:164" s="1" customFormat="1" ht="15" customHeight="1" x14ac:dyDescent="0.25">
      <c r="C157"/>
      <c r="D157"/>
      <c r="E157"/>
      <c r="F157"/>
      <c r="G157"/>
      <c r="H157"/>
      <c r="I157"/>
      <c r="J157"/>
      <c r="K157"/>
      <c r="L157"/>
      <c r="M157" s="131"/>
      <c r="N157" s="131"/>
      <c r="O157"/>
      <c r="P157"/>
      <c r="AB157" s="138"/>
      <c r="BF157" s="161"/>
      <c r="BY157" s="161"/>
      <c r="CW157" s="161"/>
      <c r="DY157" s="199"/>
      <c r="DZ157" s="199"/>
      <c r="EA157" s="161"/>
      <c r="FH157" s="161"/>
    </row>
    <row r="158" spans="3:164" s="1" customFormat="1" ht="15" customHeight="1" x14ac:dyDescent="0.25">
      <c r="C158"/>
      <c r="D158"/>
      <c r="E158"/>
      <c r="F158"/>
      <c r="G158"/>
      <c r="H158"/>
      <c r="I158"/>
      <c r="J158"/>
      <c r="K158"/>
      <c r="L158"/>
      <c r="M158" s="131"/>
      <c r="N158" s="131"/>
      <c r="O158"/>
      <c r="P158"/>
      <c r="AB158" s="138"/>
      <c r="BF158" s="161"/>
      <c r="BY158" s="161"/>
      <c r="CW158" s="161"/>
      <c r="DY158" s="199"/>
      <c r="DZ158" s="199"/>
      <c r="EA158" s="161"/>
      <c r="FH158" s="161"/>
    </row>
    <row r="159" spans="3:164" s="1" customFormat="1" ht="15" customHeight="1" x14ac:dyDescent="0.25">
      <c r="C159"/>
      <c r="D159"/>
      <c r="E159"/>
      <c r="F159"/>
      <c r="G159"/>
      <c r="H159"/>
      <c r="I159"/>
      <c r="J159"/>
      <c r="K159"/>
      <c r="L159"/>
      <c r="M159" s="131"/>
      <c r="N159" s="131"/>
      <c r="O159"/>
      <c r="P159"/>
      <c r="AB159" s="138"/>
      <c r="BF159" s="161"/>
      <c r="BY159" s="161"/>
      <c r="CW159" s="161"/>
      <c r="DY159" s="199"/>
      <c r="DZ159" s="199"/>
      <c r="EA159" s="161"/>
      <c r="FH159" s="161"/>
    </row>
    <row r="160" spans="3:164" s="1" customFormat="1" ht="15" customHeight="1" x14ac:dyDescent="0.25">
      <c r="C160"/>
      <c r="D160"/>
      <c r="E160"/>
      <c r="F160"/>
      <c r="G160"/>
      <c r="H160"/>
      <c r="I160"/>
      <c r="J160"/>
      <c r="K160"/>
      <c r="L160"/>
      <c r="M160" s="131"/>
      <c r="N160" s="131"/>
      <c r="O160"/>
      <c r="P160"/>
      <c r="AB160" s="138"/>
      <c r="BF160" s="161"/>
      <c r="BY160" s="161"/>
      <c r="CW160" s="161"/>
      <c r="DY160" s="199"/>
      <c r="DZ160" s="199"/>
      <c r="EA160" s="161"/>
      <c r="FH160" s="161"/>
    </row>
    <row r="161" spans="3:164" s="1" customFormat="1" ht="15" customHeight="1" x14ac:dyDescent="0.25">
      <c r="C161"/>
      <c r="D161"/>
      <c r="E161"/>
      <c r="F161"/>
      <c r="G161"/>
      <c r="H161"/>
      <c r="I161"/>
      <c r="J161"/>
      <c r="K161"/>
      <c r="L161"/>
      <c r="M161" s="131"/>
      <c r="N161" s="131"/>
      <c r="O161"/>
      <c r="P161"/>
      <c r="AB161" s="138"/>
      <c r="BF161" s="161"/>
      <c r="BY161" s="161"/>
      <c r="CW161" s="161"/>
      <c r="DY161" s="199"/>
      <c r="DZ161" s="199"/>
      <c r="EA161" s="161"/>
      <c r="FH161" s="161"/>
    </row>
    <row r="162" spans="3:164" s="1" customFormat="1" ht="15" customHeight="1" x14ac:dyDescent="0.25">
      <c r="C162"/>
      <c r="D162"/>
      <c r="E162"/>
      <c r="F162"/>
      <c r="G162"/>
      <c r="H162"/>
      <c r="I162"/>
      <c r="J162"/>
      <c r="K162"/>
      <c r="L162"/>
      <c r="M162" s="131"/>
      <c r="N162" s="131"/>
      <c r="O162"/>
      <c r="P162"/>
      <c r="AB162" s="138"/>
      <c r="BF162" s="161"/>
      <c r="BY162" s="161"/>
      <c r="CW162" s="161"/>
      <c r="DY162" s="199"/>
      <c r="DZ162" s="199"/>
      <c r="EA162" s="161"/>
      <c r="FH162" s="161"/>
    </row>
    <row r="163" spans="3:164" s="1" customFormat="1" ht="15" customHeight="1" x14ac:dyDescent="0.25">
      <c r="C163"/>
      <c r="D163"/>
      <c r="E163"/>
      <c r="F163"/>
      <c r="G163"/>
      <c r="H163"/>
      <c r="I163"/>
      <c r="J163"/>
      <c r="K163"/>
      <c r="L163"/>
      <c r="M163" s="131"/>
      <c r="N163" s="131"/>
      <c r="O163"/>
      <c r="P163"/>
      <c r="AB163" s="138"/>
      <c r="BF163" s="161"/>
      <c r="BY163" s="161"/>
      <c r="CW163" s="161"/>
      <c r="DY163" s="199"/>
      <c r="DZ163" s="199"/>
      <c r="EA163" s="161"/>
      <c r="FH163" s="161"/>
    </row>
    <row r="164" spans="3:164" s="1" customFormat="1" ht="15" customHeight="1" x14ac:dyDescent="0.25">
      <c r="C164"/>
      <c r="D164"/>
      <c r="E164"/>
      <c r="F164"/>
      <c r="G164"/>
      <c r="H164"/>
      <c r="I164"/>
      <c r="J164"/>
      <c r="K164"/>
      <c r="L164"/>
      <c r="M164" s="131"/>
      <c r="N164" s="131"/>
      <c r="O164"/>
      <c r="P164"/>
      <c r="AB164" s="138"/>
      <c r="BF164" s="161"/>
      <c r="BY164" s="161"/>
      <c r="CW164" s="161"/>
      <c r="DY164" s="199"/>
      <c r="DZ164" s="199"/>
      <c r="EA164" s="161"/>
      <c r="FH164" s="161"/>
    </row>
    <row r="165" spans="3:164" s="1" customFormat="1" ht="15" customHeight="1" x14ac:dyDescent="0.25">
      <c r="C165"/>
      <c r="D165"/>
      <c r="E165"/>
      <c r="F165"/>
      <c r="G165"/>
      <c r="H165"/>
      <c r="I165"/>
      <c r="J165"/>
      <c r="K165"/>
      <c r="L165"/>
      <c r="M165" s="131"/>
      <c r="N165" s="131"/>
      <c r="O165"/>
      <c r="P165"/>
      <c r="AB165" s="138"/>
      <c r="BF165" s="161"/>
      <c r="BY165" s="161"/>
      <c r="CW165" s="161"/>
      <c r="DY165" s="199"/>
      <c r="DZ165" s="199"/>
      <c r="EA165" s="161"/>
      <c r="FH165" s="161"/>
    </row>
    <row r="166" spans="3:164" s="1" customFormat="1" ht="15" customHeight="1" x14ac:dyDescent="0.25">
      <c r="C166"/>
      <c r="D166"/>
      <c r="E166"/>
      <c r="F166"/>
      <c r="G166"/>
      <c r="H166"/>
      <c r="I166"/>
      <c r="J166"/>
      <c r="K166"/>
      <c r="L166"/>
      <c r="M166" s="131"/>
      <c r="N166" s="131"/>
      <c r="O166"/>
      <c r="P166"/>
      <c r="AB166" s="138"/>
      <c r="BF166" s="161"/>
      <c r="BY166" s="161"/>
      <c r="CW166" s="161"/>
      <c r="DY166" s="199"/>
      <c r="DZ166" s="199"/>
      <c r="EA166" s="161"/>
      <c r="FH166" s="161"/>
    </row>
    <row r="167" spans="3:164" s="1" customFormat="1" ht="15" customHeight="1" x14ac:dyDescent="0.25">
      <c r="C167"/>
      <c r="D167"/>
      <c r="E167"/>
      <c r="F167"/>
      <c r="G167"/>
      <c r="H167"/>
      <c r="I167"/>
      <c r="J167"/>
      <c r="K167"/>
      <c r="L167"/>
      <c r="M167" s="131"/>
      <c r="N167" s="131"/>
      <c r="O167"/>
      <c r="P167"/>
      <c r="AB167" s="138"/>
      <c r="BF167" s="161"/>
      <c r="BY167" s="161"/>
      <c r="CW167" s="161"/>
      <c r="DY167" s="199"/>
      <c r="DZ167" s="199"/>
      <c r="EA167" s="161"/>
      <c r="FH167" s="161"/>
    </row>
    <row r="168" spans="3:164" s="1" customFormat="1" ht="15" customHeight="1" x14ac:dyDescent="0.25">
      <c r="C168"/>
      <c r="D168"/>
      <c r="E168"/>
      <c r="F168"/>
      <c r="G168"/>
      <c r="H168"/>
      <c r="I168"/>
      <c r="J168"/>
      <c r="K168"/>
      <c r="L168"/>
      <c r="M168" s="131"/>
      <c r="N168" s="131"/>
      <c r="O168"/>
      <c r="P168"/>
      <c r="AB168" s="138"/>
      <c r="BF168" s="161"/>
      <c r="BY168" s="161"/>
      <c r="CW168" s="161"/>
      <c r="DY168" s="199"/>
      <c r="DZ168" s="199"/>
      <c r="EA168" s="161"/>
      <c r="FH168" s="161"/>
    </row>
    <row r="169" spans="3:164" s="1" customFormat="1" ht="15" customHeight="1" x14ac:dyDescent="0.25">
      <c r="C169"/>
      <c r="D169"/>
      <c r="E169"/>
      <c r="F169"/>
      <c r="G169"/>
      <c r="H169"/>
      <c r="I169"/>
      <c r="J169"/>
      <c r="K169"/>
      <c r="L169"/>
      <c r="M169" s="131"/>
      <c r="N169" s="131"/>
      <c r="O169"/>
      <c r="P169"/>
      <c r="AB169" s="138"/>
      <c r="BF169" s="161"/>
      <c r="BY169" s="161"/>
      <c r="CW169" s="161"/>
      <c r="DY169" s="199"/>
      <c r="DZ169" s="199"/>
      <c r="EA169" s="161"/>
      <c r="FH169" s="161"/>
    </row>
    <row r="170" spans="3:164" s="1" customFormat="1" ht="15" customHeight="1" x14ac:dyDescent="0.25">
      <c r="C170"/>
      <c r="D170"/>
      <c r="E170"/>
      <c r="F170"/>
      <c r="G170"/>
      <c r="H170"/>
      <c r="I170"/>
      <c r="J170"/>
      <c r="K170"/>
      <c r="L170"/>
      <c r="M170" s="131"/>
      <c r="N170" s="131"/>
      <c r="O170"/>
      <c r="P170"/>
      <c r="AB170" s="138"/>
      <c r="BF170" s="161"/>
      <c r="BY170" s="161"/>
      <c r="CW170" s="161"/>
      <c r="DY170" s="199"/>
      <c r="DZ170" s="199"/>
      <c r="EA170" s="161"/>
      <c r="FH170" s="161"/>
    </row>
    <row r="171" spans="3:164" s="1" customFormat="1" ht="15" customHeight="1" x14ac:dyDescent="0.25">
      <c r="C171"/>
      <c r="D171"/>
      <c r="E171"/>
      <c r="F171"/>
      <c r="G171"/>
      <c r="H171"/>
      <c r="I171"/>
      <c r="J171"/>
      <c r="K171"/>
      <c r="L171"/>
      <c r="M171" s="131"/>
      <c r="N171" s="131"/>
      <c r="O171"/>
      <c r="P171"/>
      <c r="AB171" s="138"/>
      <c r="BF171" s="161"/>
      <c r="BY171" s="161"/>
      <c r="CW171" s="161"/>
      <c r="DY171" s="199"/>
      <c r="DZ171" s="199"/>
      <c r="EA171" s="161"/>
      <c r="FH171" s="161"/>
    </row>
    <row r="172" spans="3:164" s="1" customFormat="1" ht="15" customHeight="1" x14ac:dyDescent="0.25">
      <c r="C172"/>
      <c r="D172"/>
      <c r="E172"/>
      <c r="F172"/>
      <c r="G172"/>
      <c r="H172"/>
      <c r="I172"/>
      <c r="J172"/>
      <c r="K172"/>
      <c r="L172"/>
      <c r="M172" s="131"/>
      <c r="N172" s="131"/>
      <c r="O172"/>
      <c r="P172"/>
      <c r="AB172" s="138"/>
      <c r="BF172" s="161"/>
      <c r="BY172" s="161"/>
      <c r="CW172" s="161"/>
      <c r="DY172" s="199"/>
      <c r="DZ172" s="199"/>
      <c r="EA172" s="161"/>
      <c r="FH172" s="161"/>
    </row>
    <row r="173" spans="3:164" s="1" customFormat="1" ht="15" customHeight="1" x14ac:dyDescent="0.25">
      <c r="C173"/>
      <c r="D173"/>
      <c r="E173"/>
      <c r="F173"/>
      <c r="G173"/>
      <c r="H173"/>
      <c r="I173"/>
      <c r="J173"/>
      <c r="K173"/>
      <c r="L173"/>
      <c r="M173" s="131"/>
      <c r="N173" s="131"/>
      <c r="O173"/>
      <c r="P173"/>
      <c r="AB173" s="138"/>
      <c r="BF173" s="161"/>
      <c r="BY173" s="161"/>
      <c r="CW173" s="161"/>
      <c r="DY173" s="199"/>
      <c r="DZ173" s="199"/>
      <c r="EA173" s="161"/>
      <c r="FH173" s="161"/>
    </row>
    <row r="174" spans="3:164" s="1" customFormat="1" ht="15" customHeight="1" x14ac:dyDescent="0.25">
      <c r="C174"/>
      <c r="D174"/>
      <c r="E174"/>
      <c r="F174"/>
      <c r="G174"/>
      <c r="H174"/>
      <c r="I174"/>
      <c r="J174"/>
      <c r="K174"/>
      <c r="L174"/>
      <c r="M174" s="131"/>
      <c r="N174" s="131"/>
      <c r="O174"/>
      <c r="P174"/>
      <c r="AB174" s="138"/>
      <c r="BF174" s="161"/>
      <c r="BY174" s="161"/>
      <c r="CW174" s="161"/>
      <c r="DY174" s="199"/>
      <c r="DZ174" s="199"/>
      <c r="EA174" s="161"/>
      <c r="FH174" s="161"/>
    </row>
    <row r="175" spans="3:164" s="1" customFormat="1" ht="15" customHeight="1" x14ac:dyDescent="0.25">
      <c r="C175"/>
      <c r="D175"/>
      <c r="E175"/>
      <c r="F175"/>
      <c r="G175"/>
      <c r="H175"/>
      <c r="I175"/>
      <c r="J175"/>
      <c r="K175"/>
      <c r="L175"/>
      <c r="M175" s="131"/>
      <c r="N175" s="131"/>
      <c r="O175"/>
      <c r="P175"/>
      <c r="AB175" s="138"/>
      <c r="BF175" s="161"/>
      <c r="BY175" s="161"/>
      <c r="CW175" s="161"/>
      <c r="DY175" s="199"/>
      <c r="DZ175" s="199"/>
      <c r="EA175" s="161"/>
      <c r="FH175" s="161"/>
    </row>
    <row r="176" spans="3:164" s="1" customFormat="1" ht="15" customHeight="1" x14ac:dyDescent="0.25">
      <c r="C176"/>
      <c r="D176"/>
      <c r="E176"/>
      <c r="F176"/>
      <c r="G176"/>
      <c r="H176"/>
      <c r="I176"/>
      <c r="J176"/>
      <c r="K176"/>
      <c r="L176"/>
      <c r="M176" s="131"/>
      <c r="N176" s="131"/>
      <c r="O176"/>
      <c r="P176"/>
      <c r="AB176" s="138"/>
      <c r="BF176" s="161"/>
      <c r="BY176" s="161"/>
      <c r="CW176" s="161"/>
      <c r="DY176" s="199"/>
      <c r="DZ176" s="199"/>
      <c r="EA176" s="161"/>
      <c r="FH176" s="161"/>
    </row>
    <row r="177" spans="2:164" s="1" customFormat="1" ht="15" customHeight="1" x14ac:dyDescent="0.25">
      <c r="C177"/>
      <c r="D177"/>
      <c r="E177"/>
      <c r="F177"/>
      <c r="G177"/>
      <c r="H177"/>
      <c r="I177"/>
      <c r="J177"/>
      <c r="K177"/>
      <c r="L177"/>
      <c r="M177" s="131"/>
      <c r="N177" s="131"/>
      <c r="O177"/>
      <c r="P177"/>
      <c r="AB177" s="138"/>
      <c r="BF177" s="161"/>
      <c r="BY177" s="161"/>
      <c r="CW177" s="161"/>
      <c r="DY177" s="199"/>
      <c r="DZ177" s="199"/>
      <c r="EA177" s="161"/>
      <c r="FH177" s="161"/>
    </row>
    <row r="178" spans="2:164" s="1" customFormat="1" ht="15" customHeight="1" x14ac:dyDescent="0.25">
      <c r="C178"/>
      <c r="D178"/>
      <c r="E178"/>
      <c r="F178"/>
      <c r="G178"/>
      <c r="H178"/>
      <c r="I178"/>
      <c r="J178"/>
      <c r="K178"/>
      <c r="L178"/>
      <c r="M178" s="131"/>
      <c r="N178" s="131"/>
      <c r="O178"/>
      <c r="P178"/>
      <c r="AB178" s="138"/>
      <c r="BF178" s="161"/>
      <c r="BY178" s="161"/>
      <c r="CW178" s="161"/>
      <c r="DY178" s="199"/>
      <c r="DZ178" s="199"/>
      <c r="EA178" s="161"/>
      <c r="FH178" s="161"/>
    </row>
    <row r="179" spans="2:164" s="1" customFormat="1" ht="15" customHeight="1" x14ac:dyDescent="0.25">
      <c r="C179"/>
      <c r="D179"/>
      <c r="E179"/>
      <c r="F179"/>
      <c r="G179"/>
      <c r="H179"/>
      <c r="I179"/>
      <c r="J179"/>
      <c r="K179"/>
      <c r="L179"/>
      <c r="M179" s="131"/>
      <c r="N179" s="131"/>
      <c r="O179"/>
      <c r="P179"/>
      <c r="AB179" s="138"/>
      <c r="BF179" s="161"/>
      <c r="BY179" s="161"/>
      <c r="CW179" s="161"/>
      <c r="DY179" s="199"/>
      <c r="DZ179" s="199"/>
      <c r="EA179" s="161"/>
      <c r="FH179" s="161"/>
    </row>
    <row r="180" spans="2:164" s="1" customFormat="1" ht="15" customHeight="1" x14ac:dyDescent="0.25">
      <c r="C180"/>
      <c r="D180"/>
      <c r="E180"/>
      <c r="F180"/>
      <c r="G180"/>
      <c r="H180"/>
      <c r="I180"/>
      <c r="J180"/>
      <c r="K180"/>
      <c r="L180"/>
      <c r="M180" s="131"/>
      <c r="N180" s="131"/>
      <c r="O180"/>
      <c r="P180"/>
      <c r="AB180" s="138"/>
      <c r="BF180" s="161"/>
      <c r="BY180" s="161"/>
      <c r="CW180" s="161"/>
      <c r="DY180" s="199"/>
      <c r="DZ180" s="199"/>
      <c r="EA180" s="161"/>
      <c r="FH180" s="161"/>
    </row>
    <row r="181" spans="2:164" s="1" customFormat="1" ht="15" customHeight="1" x14ac:dyDescent="0.25">
      <c r="C181"/>
      <c r="D181"/>
      <c r="E181"/>
      <c r="F181"/>
      <c r="G181"/>
      <c r="H181"/>
      <c r="I181"/>
      <c r="J181"/>
      <c r="K181"/>
      <c r="L181"/>
      <c r="M181" s="131"/>
      <c r="N181" s="131"/>
      <c r="O181"/>
      <c r="P181"/>
      <c r="AB181" s="138"/>
      <c r="BF181" s="161"/>
      <c r="BY181" s="161"/>
      <c r="CW181" s="161"/>
      <c r="DY181" s="199"/>
      <c r="DZ181" s="199"/>
      <c r="EA181" s="161"/>
      <c r="FH181" s="161"/>
    </row>
    <row r="182" spans="2:164" s="1" customFormat="1" ht="15" customHeight="1" x14ac:dyDescent="0.25">
      <c r="C182"/>
      <c r="D182"/>
      <c r="E182"/>
      <c r="F182"/>
      <c r="G182"/>
      <c r="H182"/>
      <c r="I182"/>
      <c r="J182"/>
      <c r="K182"/>
      <c r="L182"/>
      <c r="M182" s="131"/>
      <c r="N182" s="131"/>
      <c r="O182"/>
      <c r="P182"/>
      <c r="AB182" s="138"/>
      <c r="BF182" s="161"/>
      <c r="BY182" s="161"/>
      <c r="CW182" s="161"/>
      <c r="DY182" s="199"/>
      <c r="DZ182" s="199"/>
      <c r="EA182" s="161"/>
      <c r="FH182" s="161"/>
    </row>
    <row r="183" spans="2:164" s="1" customFormat="1" ht="15" customHeight="1" x14ac:dyDescent="0.25">
      <c r="C183"/>
      <c r="D183"/>
      <c r="E183"/>
      <c r="F183"/>
      <c r="G183"/>
      <c r="H183"/>
      <c r="I183"/>
      <c r="J183"/>
      <c r="K183"/>
      <c r="L183"/>
      <c r="M183" s="131"/>
      <c r="N183" s="131"/>
      <c r="O183"/>
      <c r="P183"/>
      <c r="AB183" s="138"/>
      <c r="BF183" s="161"/>
      <c r="BY183" s="161"/>
      <c r="CW183" s="161"/>
      <c r="DY183" s="199"/>
      <c r="DZ183" s="199"/>
      <c r="EA183" s="161"/>
      <c r="FH183" s="161"/>
    </row>
    <row r="184" spans="2:164" s="1" customFormat="1" ht="15" customHeight="1" x14ac:dyDescent="0.25">
      <c r="C184"/>
      <c r="D184"/>
      <c r="E184"/>
      <c r="F184"/>
      <c r="G184"/>
      <c r="H184"/>
      <c r="I184"/>
      <c r="J184"/>
      <c r="K184"/>
      <c r="L184"/>
      <c r="M184" s="131"/>
      <c r="N184" s="131"/>
      <c r="O184"/>
      <c r="P184"/>
      <c r="AB184" s="138"/>
      <c r="BF184" s="161"/>
      <c r="BY184" s="161"/>
      <c r="CW184" s="161"/>
      <c r="DY184" s="199"/>
      <c r="DZ184" s="199"/>
      <c r="EA184" s="161"/>
      <c r="FH184" s="161"/>
    </row>
    <row r="185" spans="2:164" s="1" customFormat="1" ht="15" customHeight="1" x14ac:dyDescent="0.25">
      <c r="C185"/>
      <c r="D185"/>
      <c r="E185"/>
      <c r="F185"/>
      <c r="G185"/>
      <c r="H185"/>
      <c r="I185"/>
      <c r="J185"/>
      <c r="K185"/>
      <c r="L185"/>
      <c r="M185" s="131"/>
      <c r="N185" s="131"/>
      <c r="O185"/>
      <c r="P185"/>
      <c r="AB185" s="138"/>
      <c r="BF185" s="161"/>
      <c r="BY185" s="161"/>
      <c r="CW185" s="161"/>
      <c r="DY185" s="199"/>
      <c r="DZ185" s="199"/>
      <c r="EA185" s="161"/>
      <c r="FH185" s="161"/>
    </row>
    <row r="186" spans="2:164" s="1" customFormat="1" ht="15" customHeight="1" x14ac:dyDescent="0.25">
      <c r="C186"/>
      <c r="D186"/>
      <c r="E186"/>
      <c r="F186"/>
      <c r="G186"/>
      <c r="H186"/>
      <c r="I186"/>
      <c r="J186"/>
      <c r="K186"/>
      <c r="L186"/>
      <c r="M186" s="131"/>
      <c r="N186" s="131"/>
      <c r="O186"/>
      <c r="P186"/>
      <c r="AB186" s="138"/>
      <c r="BF186" s="161"/>
      <c r="BY186" s="161"/>
      <c r="CW186" s="161"/>
      <c r="DY186" s="199"/>
      <c r="DZ186" s="199"/>
      <c r="EA186" s="161"/>
      <c r="FH186" s="161"/>
    </row>
    <row r="187" spans="2:164" s="1" customFormat="1" ht="15" customHeight="1" x14ac:dyDescent="0.25">
      <c r="C187"/>
      <c r="D187"/>
      <c r="E187"/>
      <c r="F187"/>
      <c r="G187"/>
      <c r="H187"/>
      <c r="I187"/>
      <c r="J187"/>
      <c r="K187"/>
      <c r="L187"/>
      <c r="M187" s="131"/>
      <c r="N187" s="131"/>
      <c r="O187"/>
      <c r="P187"/>
      <c r="AB187" s="138"/>
      <c r="BF187" s="161"/>
      <c r="BY187" s="161"/>
      <c r="CW187" s="161"/>
      <c r="DY187" s="199"/>
      <c r="DZ187" s="199"/>
      <c r="EA187" s="161"/>
      <c r="FH187" s="161"/>
    </row>
    <row r="188" spans="2:164" s="1" customFormat="1" ht="15" customHeight="1" x14ac:dyDescent="0.25">
      <c r="C188"/>
      <c r="D188"/>
      <c r="E188"/>
      <c r="F188"/>
      <c r="G188"/>
      <c r="H188"/>
      <c r="I188"/>
      <c r="J188"/>
      <c r="K188"/>
      <c r="L188"/>
      <c r="M188" s="131"/>
      <c r="N188" s="131"/>
      <c r="O188"/>
      <c r="P188"/>
      <c r="AB188" s="138"/>
      <c r="BF188" s="161"/>
      <c r="BY188" s="161"/>
      <c r="CW188" s="161"/>
      <c r="DY188" s="199"/>
      <c r="DZ188" s="199"/>
      <c r="EA188" s="161"/>
      <c r="FH188" s="161"/>
    </row>
    <row r="189" spans="2:164" ht="15" customHeight="1" x14ac:dyDescent="0.25">
      <c r="B189" s="1"/>
    </row>
    <row r="190" spans="2:164" ht="15" customHeight="1" x14ac:dyDescent="0.25">
      <c r="B190" s="1"/>
    </row>
    <row r="191" spans="2:164" ht="15" customHeight="1" x14ac:dyDescent="0.25">
      <c r="B191" s="1"/>
    </row>
    <row r="192" spans="2:164" ht="15" customHeight="1" x14ac:dyDescent="0.25">
      <c r="B192" s="1"/>
    </row>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sheetData>
  <mergeCells count="39">
    <mergeCell ref="BG14:BG22"/>
    <mergeCell ref="BG32:BG38"/>
    <mergeCell ref="BM3:BS5"/>
    <mergeCell ref="BL3:BL5"/>
    <mergeCell ref="A46:A54"/>
    <mergeCell ref="AC5:AC13"/>
    <mergeCell ref="A6:A14"/>
    <mergeCell ref="A16:A24"/>
    <mergeCell ref="A26:A34"/>
    <mergeCell ref="A36:A44"/>
    <mergeCell ref="O58:O66"/>
    <mergeCell ref="O68:O76"/>
    <mergeCell ref="O17:O26"/>
    <mergeCell ref="O28:O36"/>
    <mergeCell ref="O38:O46"/>
    <mergeCell ref="O48:O56"/>
    <mergeCell ref="BZ55:BZ63"/>
    <mergeCell ref="CK4:CK13"/>
    <mergeCell ref="CK15:CK23"/>
    <mergeCell ref="CK25:CK33"/>
    <mergeCell ref="CK35:CK43"/>
    <mergeCell ref="CK45:CK53"/>
    <mergeCell ref="CK55:CK63"/>
    <mergeCell ref="BZ4:BZ13"/>
    <mergeCell ref="BZ15:BZ23"/>
    <mergeCell ref="BZ25:BZ33"/>
    <mergeCell ref="BZ35:BZ43"/>
    <mergeCell ref="BZ45:BZ53"/>
    <mergeCell ref="CX85:CX93"/>
    <mergeCell ref="CX5:CX13"/>
    <mergeCell ref="CX15:CX24"/>
    <mergeCell ref="CX26:CX34"/>
    <mergeCell ref="CX36:CX44"/>
    <mergeCell ref="CX46:CX54"/>
    <mergeCell ref="FI5:FI13"/>
    <mergeCell ref="EB5:EB13"/>
    <mergeCell ref="CX56:CX64"/>
    <mergeCell ref="CX66:CX74"/>
    <mergeCell ref="CX76:CX82"/>
  </mergeCells>
  <printOptions headings="1"/>
  <pageMargins left="0.2" right="0.2" top="0.5" bottom="0.5" header="0.3" footer="0.3"/>
  <pageSetup orientation="landscape" cellComments="asDisplayed" r:id="rId1"/>
  <headerFooter>
    <oddHeader>&amp;C&amp;A</oddHeader>
    <oddFooter>&amp;RSchedule JNG-D3</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pageSetUpPr fitToPage="1"/>
  </sheetPr>
  <dimension ref="A1:CT74"/>
  <sheetViews>
    <sheetView tabSelected="1" zoomScaleNormal="100" workbookViewId="0">
      <pane xSplit="1" ySplit="3" topLeftCell="BZ4" activePane="bottomRight" state="frozen"/>
      <selection activeCell="J13" sqref="J13"/>
      <selection pane="topRight" activeCell="J13" sqref="J13"/>
      <selection pane="bottomLeft" activeCell="J13" sqref="J13"/>
      <selection pane="bottomRight" activeCell="J13" sqref="J13"/>
    </sheetView>
  </sheetViews>
  <sheetFormatPr defaultRowHeight="15" x14ac:dyDescent="0.25"/>
  <cols>
    <col min="1" max="1" width="39.140625" customWidth="1"/>
    <col min="2" max="3" width="11" customWidth="1"/>
    <col min="4" max="4" width="16" customWidth="1"/>
    <col min="5" max="18" width="14.140625" customWidth="1"/>
    <col min="19" max="19" width="15" bestFit="1" customWidth="1"/>
    <col min="20" max="20" width="14.140625" customWidth="1"/>
    <col min="21" max="21" width="15" customWidth="1"/>
    <col min="22" max="32" width="15.28515625" bestFit="1" customWidth="1"/>
    <col min="33" max="33" width="16" bestFit="1" customWidth="1"/>
    <col min="34" max="34" width="15.28515625" bestFit="1" customWidth="1"/>
    <col min="35" max="36" width="16" bestFit="1" customWidth="1"/>
    <col min="37" max="37" width="15.28515625" bestFit="1" customWidth="1"/>
    <col min="38" max="39" width="16" bestFit="1" customWidth="1"/>
    <col min="40" max="42" width="15.28515625" bestFit="1" customWidth="1"/>
    <col min="43" max="43" width="16" bestFit="1" customWidth="1"/>
    <col min="44" max="44" width="15.28515625" bestFit="1" customWidth="1"/>
    <col min="45" max="48" width="16" bestFit="1" customWidth="1"/>
    <col min="49" max="52" width="15.28515625" bestFit="1" customWidth="1"/>
    <col min="53" max="98" width="16" bestFit="1" customWidth="1"/>
  </cols>
  <sheetData>
    <row r="1" spans="1:98" x14ac:dyDescent="0.25">
      <c r="A1" s="28" t="s">
        <v>29</v>
      </c>
    </row>
    <row r="2" spans="1:98" x14ac:dyDescent="0.25">
      <c r="A2" s="23"/>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row>
    <row r="3" spans="1:98" x14ac:dyDescent="0.25">
      <c r="B3" s="10">
        <v>43466</v>
      </c>
      <c r="C3" s="10">
        <v>43497</v>
      </c>
      <c r="D3" s="10">
        <v>43525</v>
      </c>
      <c r="E3" s="10">
        <v>43556</v>
      </c>
      <c r="F3" s="10">
        <v>43586</v>
      </c>
      <c r="G3" s="10">
        <v>43617</v>
      </c>
      <c r="H3" s="10">
        <v>43647</v>
      </c>
      <c r="I3" s="10">
        <v>43678</v>
      </c>
      <c r="J3" s="10">
        <v>43709</v>
      </c>
      <c r="K3" s="10">
        <v>43739</v>
      </c>
      <c r="L3" s="10">
        <v>43770</v>
      </c>
      <c r="M3" s="10">
        <v>43800</v>
      </c>
      <c r="N3" s="10">
        <v>43831</v>
      </c>
      <c r="O3" s="10">
        <v>43862</v>
      </c>
      <c r="P3" s="10">
        <v>43891</v>
      </c>
      <c r="Q3" s="10">
        <v>43922</v>
      </c>
      <c r="R3" s="10">
        <v>43952</v>
      </c>
      <c r="S3" s="10">
        <v>43983</v>
      </c>
      <c r="T3" s="10">
        <v>44013</v>
      </c>
      <c r="U3" s="10">
        <v>44044</v>
      </c>
      <c r="V3" s="10">
        <v>44075</v>
      </c>
      <c r="W3" s="10">
        <v>44105</v>
      </c>
      <c r="X3" s="10">
        <v>44136</v>
      </c>
      <c r="Y3" s="10">
        <v>44166</v>
      </c>
      <c r="Z3" s="10">
        <v>44197</v>
      </c>
      <c r="AA3" s="10">
        <v>44228</v>
      </c>
      <c r="AB3" s="10">
        <v>44256</v>
      </c>
      <c r="AC3" s="10">
        <v>44287</v>
      </c>
      <c r="AD3" s="10">
        <v>44317</v>
      </c>
      <c r="AE3" s="10">
        <v>44348</v>
      </c>
      <c r="AF3" s="10">
        <v>44378</v>
      </c>
      <c r="AG3" s="10">
        <v>44409</v>
      </c>
      <c r="AH3" s="10">
        <v>44440</v>
      </c>
      <c r="AI3" s="10">
        <v>44470</v>
      </c>
      <c r="AJ3" s="10">
        <v>44501</v>
      </c>
      <c r="AK3" s="10">
        <v>44531</v>
      </c>
      <c r="AL3" s="10">
        <v>44562</v>
      </c>
      <c r="AM3" s="10">
        <v>44593</v>
      </c>
      <c r="AN3" s="10">
        <v>44621</v>
      </c>
      <c r="AO3" s="10">
        <v>44652</v>
      </c>
      <c r="AP3" s="10">
        <v>44682</v>
      </c>
      <c r="AQ3" s="10">
        <v>44713</v>
      </c>
      <c r="AR3" s="10">
        <v>44743</v>
      </c>
      <c r="AS3" s="10">
        <v>44774</v>
      </c>
      <c r="AT3" s="10">
        <v>44805</v>
      </c>
      <c r="AU3" s="10">
        <v>44835</v>
      </c>
      <c r="AV3" s="10">
        <v>44866</v>
      </c>
      <c r="AW3" s="10">
        <v>44896</v>
      </c>
      <c r="AX3" s="10">
        <v>44927</v>
      </c>
      <c r="AY3" s="10">
        <v>44958</v>
      </c>
      <c r="AZ3" s="10">
        <v>44986</v>
      </c>
      <c r="BA3" s="10">
        <v>45017</v>
      </c>
      <c r="BB3" s="10">
        <v>45047</v>
      </c>
      <c r="BC3" s="10">
        <v>45078</v>
      </c>
      <c r="BD3" s="10">
        <v>45108</v>
      </c>
      <c r="BE3" s="10">
        <v>45139</v>
      </c>
      <c r="BF3" s="10">
        <v>45170</v>
      </c>
      <c r="BG3" s="10">
        <v>45200</v>
      </c>
      <c r="BH3" s="10">
        <v>45231</v>
      </c>
      <c r="BI3" s="10">
        <v>45261</v>
      </c>
      <c r="BJ3" s="10">
        <v>45292</v>
      </c>
      <c r="BK3" s="10">
        <v>45323</v>
      </c>
      <c r="BL3" s="10">
        <v>45352</v>
      </c>
      <c r="BM3" s="10">
        <v>45383</v>
      </c>
      <c r="BN3" s="10">
        <v>45413</v>
      </c>
      <c r="BO3" s="10">
        <v>45444</v>
      </c>
      <c r="BP3" s="10">
        <v>45474</v>
      </c>
      <c r="BQ3" s="10">
        <v>45505</v>
      </c>
      <c r="BR3" s="10">
        <v>45536</v>
      </c>
      <c r="BS3" s="10">
        <v>45566</v>
      </c>
      <c r="BT3" s="10">
        <v>45597</v>
      </c>
      <c r="BU3" s="10">
        <v>45627</v>
      </c>
      <c r="BV3" s="10">
        <v>45658</v>
      </c>
      <c r="BW3" s="10">
        <v>45689</v>
      </c>
      <c r="BX3" s="10">
        <v>45717</v>
      </c>
      <c r="BY3" s="10">
        <v>45748</v>
      </c>
      <c r="BZ3" s="10">
        <v>45778</v>
      </c>
      <c r="CA3" s="10">
        <v>45809</v>
      </c>
      <c r="CB3" s="10">
        <v>45839</v>
      </c>
      <c r="CC3" s="10">
        <v>45870</v>
      </c>
      <c r="CD3" s="10">
        <v>45901</v>
      </c>
      <c r="CE3" s="10">
        <v>45931</v>
      </c>
      <c r="CF3" s="10">
        <v>45962</v>
      </c>
      <c r="CG3" s="10">
        <v>45992</v>
      </c>
      <c r="CH3" s="10">
        <v>46023</v>
      </c>
      <c r="CI3" s="10">
        <v>46054</v>
      </c>
      <c r="CJ3" s="10">
        <v>46082</v>
      </c>
      <c r="CK3" s="10">
        <v>46113</v>
      </c>
      <c r="CL3" s="10">
        <v>46143</v>
      </c>
      <c r="CM3" s="10">
        <v>46174</v>
      </c>
      <c r="CN3" s="10">
        <v>46204</v>
      </c>
      <c r="CO3" s="10">
        <v>46235</v>
      </c>
      <c r="CP3" s="10">
        <v>46266</v>
      </c>
      <c r="CQ3" s="10">
        <v>46296</v>
      </c>
      <c r="CR3" s="10">
        <v>46327</v>
      </c>
      <c r="CS3" s="10">
        <v>46357</v>
      </c>
      <c r="CT3" s="10">
        <v>46388</v>
      </c>
    </row>
    <row r="4" spans="1:98" x14ac:dyDescent="0.25">
      <c r="A4" s="31" t="s">
        <v>37</v>
      </c>
      <c r="B4" s="27"/>
      <c r="C4" s="27"/>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row>
    <row r="5" spans="1:98" x14ac:dyDescent="0.25">
      <c r="A5" t="s">
        <v>32</v>
      </c>
      <c r="B5" s="32"/>
      <c r="C5" s="32"/>
      <c r="D5" s="36">
        <v>0</v>
      </c>
      <c r="E5" s="36">
        <v>3542.7066619947968</v>
      </c>
      <c r="F5" s="36">
        <v>30136.455518898227</v>
      </c>
      <c r="G5" s="36">
        <v>273500.38459568418</v>
      </c>
      <c r="H5" s="36">
        <v>714630.19454973028</v>
      </c>
      <c r="I5" s="36">
        <v>1252115.2720556506</v>
      </c>
      <c r="J5" s="36">
        <v>1625934.6179925092</v>
      </c>
      <c r="K5" s="36">
        <v>1762960.5580065004</v>
      </c>
      <c r="L5" s="36">
        <v>2036259.811498007</v>
      </c>
      <c r="M5" s="36">
        <v>2499434.2156662</v>
      </c>
      <c r="N5" s="36">
        <f>3024353.08836572+6554.1</f>
        <v>3030907.1883657202</v>
      </c>
      <c r="O5" s="36">
        <f>3505159.86672899+192583.941016507</f>
        <v>3697743.8077454967</v>
      </c>
      <c r="P5" s="36">
        <f>3914603.11678053+237854.1</f>
        <v>4152457.2167805303</v>
      </c>
      <c r="Q5" s="36">
        <f>4070172.11038659+291838.588071724</f>
        <v>4362010.6984583139</v>
      </c>
      <c r="R5" s="36">
        <f>4229610.15303022+367485.985727049</f>
        <v>4597096.1387572698</v>
      </c>
      <c r="S5" s="36">
        <f>4592560.83505275+739295.933491184</f>
        <v>5331856.7685439344</v>
      </c>
      <c r="T5" s="36">
        <f>4990515.09833128+1344897.95339866</f>
        <v>6335413.0517299399</v>
      </c>
      <c r="U5" s="36">
        <f>5418265.12134377+2113348.33467618</f>
        <v>7531613.4560199501</v>
      </c>
      <c r="V5" s="36">
        <f>5789061.85817861+2752702.49586261</f>
        <v>8541764.3540412206</v>
      </c>
      <c r="W5" s="36">
        <f>5952563.39140542+3033444.35764041</f>
        <v>8986007.7490458302</v>
      </c>
      <c r="X5" s="36">
        <f>6134018.54500076+3442711.84437844</f>
        <v>9576730.3893791996</v>
      </c>
      <c r="Y5" s="36">
        <f>6322661.25581799+3993133.58828793</f>
        <v>10315794.84410592</v>
      </c>
      <c r="Z5" s="36">
        <f>6984.86+4559187.38175189+6509848.95791205</f>
        <v>11076021.199663941</v>
      </c>
      <c r="AA5" s="36">
        <f>6677794.05853156+5094820.43416596+38291.8049859144</f>
        <v>11810906.297683435</v>
      </c>
      <c r="AB5" s="36">
        <f>6858524.1413342+5634008.99556086+108423.687063481</f>
        <v>12600956.823958542</v>
      </c>
      <c r="AC5" s="36">
        <f>7024584.84737362+6091540.15699686+197422.977619697</f>
        <v>13313547.981990177</v>
      </c>
      <c r="AD5" s="36">
        <f>7197760.72201452+6577186.55853686+326606.30736373</f>
        <v>14101553.587915111</v>
      </c>
      <c r="AE5" s="36">
        <f>7874415.13583633+7588257.96393303+811663.040210789</f>
        <v>16274336.13998015</v>
      </c>
      <c r="AF5" s="36">
        <f>8012134.15630774+9371259.89153676+1546655.20030572</f>
        <v>18930049.248150218</v>
      </c>
      <c r="AG5" s="36">
        <f>10852823.9399505+8439884.17932023+2402203.76938233</f>
        <v>21694911.888653059</v>
      </c>
      <c r="AH5" s="36">
        <f>8810680.91615507+11910809.4471491+3066829.20571084</f>
        <v>23788319.569015007</v>
      </c>
      <c r="AI5" s="36">
        <f>8974182.44938188+12349883.7615509+3324782.66781071</f>
        <v>24648848.878743492</v>
      </c>
      <c r="AJ5" s="37">
        <f>12861596.6003085+9155637.60297722+3613076.53428695</f>
        <v>25630310.73757267</v>
      </c>
      <c r="AK5" s="37">
        <f>9344280.31379445+13437972.9515877+4051260.68849144</f>
        <v>26833513.95387359</v>
      </c>
      <c r="AL5" s="37">
        <f>9531468.01588851+14011128.6257676+4661679.55294169+632.764547216621</f>
        <v>28204908.959145017</v>
      </c>
      <c r="AM5" s="37">
        <f>14520794.458196+9699413.11650802+5166009.79211778+5737.54224147814</f>
        <v>29391954.90906328</v>
      </c>
      <c r="AN5" s="37">
        <f>9699413.11650802+14520794.458196+5595900.41022824+18573.8326925126</f>
        <v>29834681.817624774</v>
      </c>
      <c r="AO5" s="37">
        <f>9699413.11650802+14520794.458196+5977459.732555+31754.7587333806</f>
        <v>30229422.065992404</v>
      </c>
      <c r="AP5" s="37">
        <f>9699413.11650802+14520794.458196+6395560.0926955+58082.0856497526</f>
        <v>30673849.753049273</v>
      </c>
      <c r="AQ5" s="37">
        <f>9699413.11650802+14520794.458196+7605739.92725045+259398.980000996</f>
        <v>32085346.481955465</v>
      </c>
      <c r="AR5" s="37">
        <f>9699413.11650802+14520794.458196+9039880.06402909+619576.334553113</f>
        <v>33879663.973286226</v>
      </c>
      <c r="AS5" s="37">
        <f>9699413.11650802+14520794.458196+1053741.44131795+10330774.9142283</f>
        <v>35604723.930250272</v>
      </c>
      <c r="AT5" s="37">
        <f>9699413.11650802+14520794.458196+11258398.7953183+1306770.70420712</f>
        <v>36785377.074229442</v>
      </c>
      <c r="AU5" s="37">
        <f>9699413.11650802+14520794.458196+11630977.3781916+1356995.49979424</f>
        <v>37208180.452689856</v>
      </c>
      <c r="AV5" s="37">
        <f>9699413.11650802+14520794.458196+12039294.9318788+1428599.68159395</f>
        <v>37688102.188176766</v>
      </c>
      <c r="AW5" s="37">
        <f>9699413.11650802+14520794.458196+12510998.0479923+1563007.30063131</f>
        <v>38294212.923327632</v>
      </c>
      <c r="AX5" s="37">
        <f>9699413.11650802+14520794.458196+12982130.6257778+376.243509130826+1734451.85338512</f>
        <v>38937166.297376066</v>
      </c>
      <c r="AY5" s="37">
        <f>9699413.11650802+14520794.458196+13393368.0246789+1872149.53036979+5134.30018548908</f>
        <v>39490859.429938197</v>
      </c>
      <c r="AZ5" s="37">
        <f>9699413.11650802+14520794.458196+13802495.2513428+1980168.66559029+17640.4690825657</f>
        <v>40020511.960719675</v>
      </c>
      <c r="BA5" s="37">
        <f>9699413.11650802+14520794.458196+14165900.9191705+2049935.60663934+30352.4986154635</f>
        <v>40466396.599129327</v>
      </c>
      <c r="BB5" s="37">
        <f>9699413.11650802+14520794.458196+14562720.4243106+2162617.44838752+55317.8814672892</f>
        <v>41000863.328869432</v>
      </c>
      <c r="BC5" s="37">
        <f>9699413.11650802+14520794.458196+15675777.5553598+2804317.01859943+235819.966019282</f>
        <v>42936122.114682525</v>
      </c>
      <c r="BD5" s="37">
        <f>9699413.11650802+14520794.458196+15675777.5553598+2725873.7948759+576663.327681544</f>
        <v>43198522.252621256</v>
      </c>
      <c r="BE5" s="37">
        <f>9699413.11650802+14520794.458196+15675777.5553598+2651356.30077458+994391.752556414</f>
        <v>43541733.183394812</v>
      </c>
      <c r="BF5" s="37">
        <f>9699413.11650802+14520794.458196+15675777.5553598+2601597.08584258+1240235.36012526</f>
        <v>43737817.576031655</v>
      </c>
      <c r="BG5" s="37">
        <f>9699413.11650802+14520794.458196+15675777.5553598+2600401.46650672+1288599.07305335</f>
        <v>43784985.669623889</v>
      </c>
      <c r="BH5" s="37">
        <f>9699413.11650802+14520794.458196+15675777.5553598+2602365.27450972+1363657.4554696</f>
        <v>43862007.860043138</v>
      </c>
      <c r="BI5" s="37">
        <f>9699413.11650802+14520794.458196+15675777.5553598+2605305.01935452+1504323.22042982</f>
        <v>44005613.369848162</v>
      </c>
      <c r="BJ5" s="37">
        <f>9699413.11650802+14520794.458196+15675777.5553598+2605962.71120391+1678790.1413128+155.188478035648</f>
        <v>44180893.171058565</v>
      </c>
      <c r="BK5" s="37">
        <f>9699413.11650802+14520794.458196+15675777.5553598+2606537.53068524+1816709.24452478+2754.46616911227</f>
        <v>44321986.371442944</v>
      </c>
      <c r="BL5" s="37">
        <f>9699413.11650802+14520794.458196+15675777.5553598+2606905.02167568+1925847.22315637+10563.7407001503</f>
        <v>44439301.115596011</v>
      </c>
      <c r="BM5" s="37">
        <f>9699413.11650802+14520794.458196+15675777.5553598+2605368.92286312+1998440.68715676+19955.3440294409</f>
        <v>44519750.084113136</v>
      </c>
      <c r="BN5" s="37">
        <f>9699413.11650802+14520794.458196+15675777.5553598+2595644.65418434+2114154.19542647+39918.1506180202</f>
        <v>44645702.130292647</v>
      </c>
      <c r="BO5" s="37">
        <f>9699413.11650802+14520794.458196+15675777.5553598+2528285.5648438+2617856.20766849+182787.138041579</f>
        <v>45224914.040617689</v>
      </c>
      <c r="BP5" s="37">
        <f>9699413.11650802+14520794.458196+15675777.5553598+3294492.93499343+2436658.54496057+430677.676531568</f>
        <v>46057814.286549389</v>
      </c>
      <c r="BQ5" s="37">
        <f>9699413.11650802+14520794.458196+15675777.5553598+3937889.33392731+2349606.21316685+725020.386595829</f>
        <v>46908501.063753806</v>
      </c>
      <c r="BR5" s="37">
        <f>9699413.11650802+14520794.458196+15675777.5553598+896952.164160119+4255699.76532199+2309765.37525379</f>
        <v>47358402.434799716</v>
      </c>
      <c r="BS5" s="37">
        <f>9699413.11650802+14520794.458196+15675777.5553598+935883.305416348+4317989.62870245+2307781.59892767</f>
        <v>47457639.663110279</v>
      </c>
      <c r="BT5" s="37">
        <f>9699413.11650802+14520794.458196+15675777.5553598+1000738.28571891+4411323.47399936+2308394.8126111</f>
        <v>47616441.702393189</v>
      </c>
      <c r="BU5" s="37">
        <f>9699413.11650802+14520794.458196+15675777.5553598+4566253.9737623+2309055.64227653+1117693.50303634</f>
        <v>47888988.249138996</v>
      </c>
      <c r="BV5" s="37">
        <f>9699413.11650802+14520794.458196+15675777.5553598+1269628.25702327+2309713.33412592+4720223.24503591</f>
        <v>48195549.966248915</v>
      </c>
      <c r="BW5" s="37">
        <f>9699413.11650802+14520794.458196+15675777.5553598+1387774.30908381+2310288.15360725+4848760.75177584</f>
        <v>48442808.344530717</v>
      </c>
      <c r="BX5" s="37">
        <f>9699413.11650802+14520794.458196+15675777.5553598+1480385.01023163+4950142.68209586+2310655.64459768</f>
        <v>48637168.466988988</v>
      </c>
      <c r="BY5" s="37">
        <f>9699413.11650802+14520794.458196+15675777.5553598+2309119.54578513+5014845.73772532+1537942.01645218</f>
        <v>48757892.430026442</v>
      </c>
      <c r="BZ5" s="37">
        <f>9699413.11650802+14520794.458196+15675777.5553598+1617358.49161801+5107684.74293424+2299395.27710635</f>
        <v>48920423.641722418</v>
      </c>
      <c r="CA5" s="37">
        <f>9699413.11650802+14520794.458196+15675777.5553598+2299395.27710635+5107684.74293424+1678413.40727029</f>
        <v>48981478.557374701</v>
      </c>
      <c r="CB5" s="37">
        <f>9699413.11650802+14520794.458196+15675777.5553598+2299395.27710635+5107684.74293424+1852074.66928195</f>
        <v>49155139.819386363</v>
      </c>
      <c r="CC5" s="37">
        <f>9699413.11650802+14520794.458196+15675777.5553598+2299395.27710635+5107684.74293424+2017012.11551159</f>
        <v>49320077.265616</v>
      </c>
      <c r="CD5" s="37">
        <f>9699413.11650802+14520794.458196+15675777.5553598+2299395.27710635+5107684.74293424+2094905.02661197</f>
        <v>49397970.17671638</v>
      </c>
      <c r="CE5" s="37">
        <f>9699413.11650802+14520794.458196+15675777.5553598+2299395.27710635+5107684.74293424+2103959.23259255</f>
        <v>49407024.382696964</v>
      </c>
      <c r="CF5" s="256">
        <f>CE5+CF14</f>
        <v>49416410.164518625</v>
      </c>
      <c r="CG5" s="256">
        <f t="shared" ref="CG5:CS5" si="0">CF5+CG14</f>
        <v>49432266.864632674</v>
      </c>
      <c r="CH5" s="256">
        <f t="shared" si="0"/>
        <v>49448036.106967784</v>
      </c>
      <c r="CI5" s="256">
        <f t="shared" si="0"/>
        <v>49461291.37560419</v>
      </c>
      <c r="CJ5" s="256">
        <f t="shared" si="0"/>
        <v>49472181.975572824</v>
      </c>
      <c r="CK5" s="256">
        <f t="shared" si="0"/>
        <v>49480556.647319347</v>
      </c>
      <c r="CL5" s="256">
        <f t="shared" si="0"/>
        <v>49501283.928071417</v>
      </c>
      <c r="CM5" s="256">
        <f t="shared" si="0"/>
        <v>49629642.476867341</v>
      </c>
      <c r="CN5" s="256">
        <f t="shared" si="0"/>
        <v>49803303.738878995</v>
      </c>
      <c r="CO5" s="256">
        <f t="shared" si="0"/>
        <v>49968241.185108639</v>
      </c>
      <c r="CP5" s="256">
        <f t="shared" si="0"/>
        <v>50046134.096209019</v>
      </c>
      <c r="CQ5" s="256">
        <f t="shared" si="0"/>
        <v>50055188.302189596</v>
      </c>
      <c r="CR5" s="256">
        <f t="shared" si="0"/>
        <v>50064574.084011257</v>
      </c>
      <c r="CS5" s="256">
        <f t="shared" si="0"/>
        <v>50080430.784125306</v>
      </c>
      <c r="CT5" s="256">
        <f t="shared" ref="CT5:CT10" si="1">CS5+CT14</f>
        <v>50096200.026460417</v>
      </c>
    </row>
    <row r="6" spans="1:98" x14ac:dyDescent="0.25">
      <c r="A6" t="s">
        <v>33</v>
      </c>
      <c r="B6" s="32"/>
      <c r="C6" s="32"/>
      <c r="D6" s="36">
        <v>0.34412602678174997</v>
      </c>
      <c r="E6" s="36">
        <v>594.19753610000055</v>
      </c>
      <c r="F6" s="36">
        <v>8962.7201321071716</v>
      </c>
      <c r="G6" s="36">
        <v>32604.534313513876</v>
      </c>
      <c r="H6" s="36">
        <v>80268.39554484954</v>
      </c>
      <c r="I6" s="36">
        <v>133550.07117798761</v>
      </c>
      <c r="J6" s="36">
        <v>205226.49945065699</v>
      </c>
      <c r="K6" s="36">
        <v>266976.49556192581</v>
      </c>
      <c r="L6" s="36">
        <v>331278.27644167107</v>
      </c>
      <c r="M6" s="36">
        <v>412157.92982770345</v>
      </c>
      <c r="N6" s="36">
        <f>521623.159550585+1670.75143089162</f>
        <v>523293.91098147666</v>
      </c>
      <c r="O6" s="36">
        <f>603271.52828092+5976.78656574626</f>
        <v>609248.3148466663</v>
      </c>
      <c r="P6" s="36">
        <f>696199.317917802+14714.26</f>
        <v>710913.57791780203</v>
      </c>
      <c r="Q6" s="36">
        <f>723200.088718607+31418.0762713889</f>
        <v>754618.16498999589</v>
      </c>
      <c r="R6" s="36">
        <f>760016.621421969+66060.9194407934</f>
        <v>826077.54086276237</v>
      </c>
      <c r="S6" s="36">
        <f>804930.798867774+118900.240162753</f>
        <v>923831.039030527</v>
      </c>
      <c r="T6" s="36">
        <f>863286.796642103+201559.391010265</f>
        <v>1064846.1876523681</v>
      </c>
      <c r="U6" s="36">
        <f>893954.349070289+279384.341901059</f>
        <v>1173338.690971348</v>
      </c>
      <c r="V6" s="36">
        <f>925829.706887215+369147.536894573</f>
        <v>1294977.243781788</v>
      </c>
      <c r="W6" s="36">
        <f>949608.155526296+444877.201813712</f>
        <v>1394485.357340008</v>
      </c>
      <c r="X6" s="36">
        <f>969602.013839408+518731.625150986</f>
        <v>1488333.6389903941</v>
      </c>
      <c r="Y6" s="36">
        <f>990182.866694943+608329.824854209</f>
        <v>1598512.6915491521</v>
      </c>
      <c r="Z6" s="36">
        <f>0+776593.090757675+1011824.79610248</f>
        <v>1788417.886860155</v>
      </c>
      <c r="AA6" s="36">
        <f>1029034.80579473+894412.886148724+2123.67623167265</f>
        <v>1925571.3681751268</v>
      </c>
      <c r="AB6" s="36">
        <f>1048478.70553725+1021695.85675042+14720.0229147457</f>
        <v>2084894.5852024157</v>
      </c>
      <c r="AC6" s="36">
        <f>1067642.90338983+1141192.13644484+38669.3259791895</f>
        <v>2247504.3658138593</v>
      </c>
      <c r="AD6" s="36">
        <f>1092339.59759687+1294229.77021522+80015.0557464889</f>
        <v>2466584.4235585788</v>
      </c>
      <c r="AE6" s="36">
        <f>1507535.79045081+1122256.74477558+157730.002941148</f>
        <v>2787522.5381675377</v>
      </c>
      <c r="AF6" s="36">
        <f>1160368.10063368+1782072.99359045+278580.137918406</f>
        <v>3221021.232142536</v>
      </c>
      <c r="AG6" s="36">
        <f>2010411.61875989+1191035.65306186+394500.368310462</f>
        <v>3595947.6401322121</v>
      </c>
      <c r="AH6" s="36">
        <f>1222911.01087879+2193597.58661084+503852.755941809</f>
        <v>3920361.353431439</v>
      </c>
      <c r="AI6" s="36">
        <f>1246689.45951787+2322986.34341785+591339.197045792</f>
        <v>4161014.9999815118</v>
      </c>
      <c r="AJ6" s="37">
        <f>2438002.99350982+1266683.31783098+669149.789756822</f>
        <v>4373836.1010976229</v>
      </c>
      <c r="AK6" s="37">
        <f>1287264.17068652+2563126.31875897+761246.262553569</f>
        <v>4611636.7519990588</v>
      </c>
      <c r="AL6" s="37">
        <f>1308906.10009405+2693284.97400714+917775.9449877+0</f>
        <v>4919967.0190888904</v>
      </c>
      <c r="AM6" s="37">
        <f>2798291.22504549+1326116.1097863+1029761.45613839+1264.66094753981</f>
        <v>5155433.45191772</v>
      </c>
      <c r="AN6" s="37">
        <f>1326116.1097863+2798291.22504549+1120571.98756963+5885.2189218921</f>
        <v>5250864.5413233126</v>
      </c>
      <c r="AO6" s="37">
        <f>1326116.1097863+2798291.22504549+1221750.85239912+27935.8888811939</f>
        <v>5374094.0761121036</v>
      </c>
      <c r="AP6" s="37">
        <f>1326116.1097863+2798291.22504549+1357118.54572102+79710.1912231151</f>
        <v>5561236.0717759244</v>
      </c>
      <c r="AQ6" s="37">
        <f>1326116.1097863+2798291.22504549+1511441.5707505+176626.529760109</f>
        <v>5812475.4353423994</v>
      </c>
      <c r="AR6" s="37">
        <f>1326116.1097863+2798291.22504549+1707023.36628322+319999.721179796</f>
        <v>6151430.4222948067</v>
      </c>
      <c r="AS6" s="37">
        <f>1326116.1097863+2798291.22504549+454846.511296653+1849884.17316714</f>
        <v>6429138.0192955835</v>
      </c>
      <c r="AT6" s="37">
        <f>1326116.1097863+2798291.22504549+2003391.23629245+577270.594516963</f>
        <v>6705069.1656412026</v>
      </c>
      <c r="AU6" s="37">
        <f>1326116.1097863+2798291.22504549+2097895.00412851+651968.092678614</f>
        <v>6874270.4316389142</v>
      </c>
      <c r="AV6" s="37">
        <f>1326116.1097863+2798291.22504549+2185278.44427812+704886.269665586</f>
        <v>7014572.048775496</v>
      </c>
      <c r="AW6" s="37">
        <f>1326116.1097863+2798291.22504549+2272820.42281489+770355.542321734</f>
        <v>7167583.299968414</v>
      </c>
      <c r="AX6" s="37">
        <f>1326116.1097863+2798291.22504549+2363993.30117394+0+894012.498550058</f>
        <v>7382413.1345557878</v>
      </c>
      <c r="AY6" s="37">
        <f>1326116.1097863+2798291.22504549+2434131.84661504+977534.541146265+882.692513497488</f>
        <v>7536956.4151065927</v>
      </c>
      <c r="AZ6" s="37">
        <f>1326116.1097863+2798291.22504549+2514608.6270766+1068536.85899938+5957.88315551048</f>
        <v>7713510.7040632814</v>
      </c>
      <c r="BA6" s="37">
        <f>1326116.1097863+2798291.22504549+2604591.21473204+1164917.58698902+16781.3450459297</f>
        <v>7910697.4815987805</v>
      </c>
      <c r="BB6" s="37">
        <f>1326116.1097863+2798291.22504549+2725598.07512467+1294081.71585793+36405.5097137593</f>
        <v>8180492.6355281491</v>
      </c>
      <c r="BC6" s="37">
        <f>1326116.1097863+2798291.22504549+2863843.26613303+1471255.0156942+69900.5901385183</f>
        <v>8529406.2067975383</v>
      </c>
      <c r="BD6" s="37">
        <f>1326116.1097863+2798291.22504549+2863843.26613303+1538737.71319896+125168.680284274</f>
        <v>8652156.9944480546</v>
      </c>
      <c r="BE6" s="37">
        <f>1326116.1097863+2798291.22504549+2863843.26613303+1597451.0707789+174395.320550258</f>
        <v>8760096.9922939781</v>
      </c>
      <c r="BF6" s="37">
        <f>1326116.1097863+2798291.22504549+2863843.26613303+1642186.13815944+232228.023407007</f>
        <v>8862664.7625312675</v>
      </c>
      <c r="BG6" s="37">
        <f>1326116.1097863+2798291.22504549+2863843.26613303+1669487.5907063+281678.262182611</f>
        <v>8939416.4538537301</v>
      </c>
      <c r="BH6" s="37">
        <f>1326116.1097863+2798291.22504549+2863843.26613303+1694987.05259191+333970.218639143</f>
        <v>9017207.8721958734</v>
      </c>
      <c r="BI6" s="37">
        <f>1326116.1097863+2798291.22504549+2863843.26613303+1723386.84573227+398291.451900377</f>
        <v>9109928.8985974677</v>
      </c>
      <c r="BJ6" s="37">
        <f>1326116.1097863+2798291.22504549+2863843.26613303+1752108.58856686+509931.685298295+0</f>
        <v>9250290.8748299759</v>
      </c>
      <c r="BK6" s="37">
        <f>1326116.1097863+2798291.22504549+2863843.26613303+1774502.67481486+583142.052843282+533.4131014556</f>
        <v>9346428.7417244166</v>
      </c>
      <c r="BL6" s="37">
        <f>1326116.1097863+2798291.22504549+2863843.26613303+1798376.12296317+664737.547799706+4480.33891668979</f>
        <v>9455844.6106443852</v>
      </c>
      <c r="BM6" s="37">
        <f>1326116.1097863+2798291.22504549+2863843.26613303+1822988.60728393+753495.75414481+13379.3999440182</f>
        <v>9578114.3623375781</v>
      </c>
      <c r="BN6" s="37">
        <f>1326116.1097863+2798291.22504549+2863843.26613303+1854858.61121187+871534.526749844+29460.1137381497</f>
        <v>9744103.852664683</v>
      </c>
      <c r="BO6" s="37">
        <f>1326116.1097863+2798291.22504549+2863843.26613303+1907401.01595529+1028424.7459765+58187.2654534518</f>
        <v>9982263.6283500623</v>
      </c>
      <c r="BP6" s="37">
        <f>1326116.1097863+2798291.22504549+2863843.26613303+1231016.04744959+1974883.71346006+102150.496165743</f>
        <v>10296300.858040214</v>
      </c>
      <c r="BQ6" s="37">
        <f>1326116.1097863+2798291.22504549+2863843.26613303+1401865.1657564+2033597.07103999+142926.5500156</f>
        <v>10566639.387776811</v>
      </c>
      <c r="BR6" s="37">
        <f>1326116.1097863+2798291.22504549+2863843.26613303+188670.73100509+1545803.33753181+2078332.13842053</f>
        <v>10801056.80792225</v>
      </c>
      <c r="BS6" s="37">
        <f>1326116.1097863+2798291.22504549+2863843.26613303+224262.741954389+1637754.28926386+2105633.5909674</f>
        <v>10955901.223150469</v>
      </c>
      <c r="BT6" s="37">
        <f>1326116.1097863+2798291.22504549+2863843.26613303+258772.922418717+1716462.19115215+2131133.052853</f>
        <v>11094618.767388687</v>
      </c>
      <c r="BU6" s="37">
        <f>1326116.1097863+2798291.22504549+2863843.26613303+1798702.07366114+2159532.84599336+301786.135191552</f>
        <v>11248271.655810872</v>
      </c>
      <c r="BV6" s="37">
        <f>1326116.1097863+2798291.22504549+2863843.26613303+393579.026249783+2188254.58882796+1883596.53059907</f>
        <v>11453680.746641634</v>
      </c>
      <c r="BW6" s="37">
        <f>1326116.1097863+2798291.22504549+2863843.26613303+452680.298237944+2210648.67507596+1947931.67914549</f>
        <v>11599511.253424214</v>
      </c>
      <c r="BX6" s="37">
        <f>1326116.1097863+2798291.22504549+2863843.26613303+517741.418998132+2020348.69807026+2234522.12322427</f>
        <v>11760862.841257481</v>
      </c>
      <c r="BY6" s="37">
        <f>1326116.1097863+2798291.22504549+2863843.26613303+2259134.60754502+2100465.85421855+588616.403897401</f>
        <v>11936467.466625791</v>
      </c>
      <c r="BZ6" s="37">
        <f>1326116.1097863+2798291.22504549+2863843.26613303+682000.674736583+2207115.48915279+2291004.61147297</f>
        <v>12168371.376327163</v>
      </c>
      <c r="CA6" s="37">
        <f>1326116.1097863+2798291.22504549+2863843.26613303+2291004.61147297+2207115.48915279+739873.322945758</f>
        <v>12226244.024536338</v>
      </c>
      <c r="CB6" s="37">
        <f>1326116.1097863+2798291.22504549+2863843.26613303+2291004.61147297+2207115.48915279+800188.128575808</f>
        <v>12286558.830166386</v>
      </c>
      <c r="CC6" s="37">
        <f>1326116.1097863+2798291.22504549+2863843.26613303+2291004.61147297+2207115.48915279+851647.425082562</f>
        <v>12338018.126673141</v>
      </c>
      <c r="CD6" s="37">
        <f>1326116.1097863+2798291.22504549+2863843.26613303+2291004.61147297+2207115.48915279+893137.116800025</f>
        <v>12379507.818390604</v>
      </c>
      <c r="CE6" s="37">
        <f>1326116.1097863+2798291.22504549+2863843.26613303+2291004.61147297+2207115.48915279+920085.668534891</f>
        <v>12406456.370125471</v>
      </c>
      <c r="CF6" s="256">
        <f t="shared" ref="CF6:CF10" si="2">CE6+CF15</f>
        <v>12430741.872423125</v>
      </c>
      <c r="CG6" s="256">
        <f t="shared" ref="CG6:CS6" si="3">CF6+CG15</f>
        <v>12457290.685341332</v>
      </c>
      <c r="CH6" s="256">
        <f t="shared" si="3"/>
        <v>12484285.666180996</v>
      </c>
      <c r="CI6" s="256">
        <f t="shared" si="3"/>
        <v>12505566.620743947</v>
      </c>
      <c r="CJ6" s="256">
        <f t="shared" si="3"/>
        <v>12529391.263542641</v>
      </c>
      <c r="CK6" s="256">
        <f t="shared" si="3"/>
        <v>12552046.528982731</v>
      </c>
      <c r="CL6" s="256">
        <f t="shared" si="3"/>
        <v>12582415.203629574</v>
      </c>
      <c r="CM6" s="256">
        <f t="shared" si="3"/>
        <v>12629101.963540757</v>
      </c>
      <c r="CN6" s="256">
        <f t="shared" si="3"/>
        <v>12689416.769170806</v>
      </c>
      <c r="CO6" s="256">
        <f t="shared" si="3"/>
        <v>12740876.065677561</v>
      </c>
      <c r="CP6" s="256">
        <f t="shared" si="3"/>
        <v>12782365.757395023</v>
      </c>
      <c r="CQ6" s="256">
        <f t="shared" si="3"/>
        <v>12809314.30912989</v>
      </c>
      <c r="CR6" s="256">
        <f t="shared" si="3"/>
        <v>12833599.811427545</v>
      </c>
      <c r="CS6" s="256">
        <f t="shared" si="3"/>
        <v>12860148.624345751</v>
      </c>
      <c r="CT6" s="256">
        <f t="shared" si="1"/>
        <v>12887143.605185416</v>
      </c>
    </row>
    <row r="7" spans="1:98" x14ac:dyDescent="0.25">
      <c r="A7" t="s">
        <v>34</v>
      </c>
      <c r="B7" s="32"/>
      <c r="C7" s="32"/>
      <c r="D7" s="36">
        <v>0.36790548240712501</v>
      </c>
      <c r="E7" s="36">
        <v>549.75215057062348</v>
      </c>
      <c r="F7" s="36">
        <v>4372.2897437101055</v>
      </c>
      <c r="G7" s="36">
        <v>21153.622105764334</v>
      </c>
      <c r="H7" s="36">
        <v>61231.340486306894</v>
      </c>
      <c r="I7" s="36">
        <v>115000.17366148013</v>
      </c>
      <c r="J7" s="36">
        <v>193945.10714767221</v>
      </c>
      <c r="K7" s="36">
        <v>249871.45813878858</v>
      </c>
      <c r="L7" s="36">
        <v>333751.90722352377</v>
      </c>
      <c r="M7" s="36">
        <v>433032.97939606744</v>
      </c>
      <c r="N7" s="36">
        <f>579533.27131616+1779.61011819965</f>
        <v>581312.88143435959</v>
      </c>
      <c r="O7" s="36">
        <f>692712.313764346+6993.22536134082</f>
        <v>699705.53912568674</v>
      </c>
      <c r="P7" s="36">
        <f>802057.022470645+16835.3</f>
        <v>818892.32247064507</v>
      </c>
      <c r="Q7" s="36">
        <f>830485.556909839+33972.3172811836</f>
        <v>864457.87419102259</v>
      </c>
      <c r="R7" s="36">
        <f>873501.622596128+72093.2191642493</f>
        <v>945594.84176037728</v>
      </c>
      <c r="S7" s="36">
        <f>959608.626292992+169282.073851875</f>
        <v>1128890.7001448669</v>
      </c>
      <c r="T7" s="36">
        <f>1063968.34972717+322181.463908298</f>
        <v>1386149.813635468</v>
      </c>
      <c r="U7" s="36">
        <f>1132109.73254343+490797.70403803</f>
        <v>1622907.4365814601</v>
      </c>
      <c r="V7" s="36">
        <f>1180839.16663709+658085.33680828</f>
        <v>1838924.5034453701</v>
      </c>
      <c r="W7" s="36">
        <f>1205402.21221795+767856.843398324</f>
        <v>1973259.055616274</v>
      </c>
      <c r="X7" s="36">
        <f>1226779.22699359+875811.838749238</f>
        <v>2102591.065742828</v>
      </c>
      <c r="Y7" s="36">
        <f>1249739.71635683+1010773.71532626</f>
        <v>2260513.43168309</v>
      </c>
      <c r="Z7" s="36">
        <f>0+1256264.46478952+1274915.30517198</f>
        <v>2531179.7699615001</v>
      </c>
      <c r="AA7" s="36">
        <f>1295256.89646395+1432232.05331903+2525.18742867228</f>
        <v>2730014.137211652</v>
      </c>
      <c r="AB7" s="36">
        <f>1316919.61101593+1620232.2612029+12344.7393347992</f>
        <v>2949496.6115536294</v>
      </c>
      <c r="AC7" s="36">
        <f>1336562.80719841+1792062.84696792+29608.4619412363</f>
        <v>3158234.1161075658</v>
      </c>
      <c r="AD7" s="36">
        <f>1364213.18002425+2030517.79850015+64728.979249387</f>
        <v>3459459.957773787</v>
      </c>
      <c r="AE7" s="36">
        <f>2549754.60617245+1425464.68121639+168386.099342775</f>
        <v>4143605.3867316148</v>
      </c>
      <c r="AF7" s="36">
        <f>1501263.09053358+3187898.63459364+372102.983002732</f>
        <v>5061264.7081299517</v>
      </c>
      <c r="AG7" s="36">
        <f>3763039.58282068+1569404.47334984+630628.382039808</f>
        <v>5963072.4382103272</v>
      </c>
      <c r="AH7" s="36">
        <f>1618133.9074435+4145741.85127576+829495.511948318</f>
        <v>6593371.2706675781</v>
      </c>
      <c r="AI7" s="36">
        <f>1642696.95302437+4340932.71194229+946771.635258247</f>
        <v>6930401.3002249068</v>
      </c>
      <c r="AJ7" s="37">
        <f>4511328.49568154+1664073.9678+1077003.16208399</f>
        <v>7252405.6255655298</v>
      </c>
      <c r="AK7" s="37">
        <f>1687034.45716324+4693010.40818545+1265252.36631532</f>
        <v>7645297.2316640103</v>
      </c>
      <c r="AL7" s="37">
        <f>1712210.0459784+4891543.24166763+1641376.33795409+0</f>
        <v>8245129.6256001201</v>
      </c>
      <c r="AM7" s="37">
        <f>5052739.86375009+1732551.63727036+1911640.27318468+1253.42360332781</f>
        <v>8698185.1978084575</v>
      </c>
      <c r="AN7" s="37">
        <f>1732551.63727036+5052739.86375009+2185253.32904143+5560.80473366166</f>
        <v>8976105.6347955409</v>
      </c>
      <c r="AO7" s="37">
        <f>1732551.63727036+5052739.86375009+2421802.76369268+13061.702246392</f>
        <v>9220155.966959523</v>
      </c>
      <c r="AP7" s="37">
        <f>1732551.63727036+5052739.86375009+2732242.85704468+30368.5390695881</f>
        <v>9547902.8971347176</v>
      </c>
      <c r="AQ7" s="37">
        <f>1732551.63727036+5052739.86375009+3554036.62270559+100531.273858199</f>
        <v>10439859.397584239</v>
      </c>
      <c r="AR7" s="37">
        <f>1732551.63727036+5052739.86375009+4555528.26111546+212895.505013392</f>
        <v>11553715.267149301</v>
      </c>
      <c r="AS7" s="37">
        <f>1732551.63727036+5052739.86375009+322105.295763935+5405425.46925048</f>
        <v>12512822.266034864</v>
      </c>
      <c r="AT7" s="37">
        <f>1732551.63727036+5052739.86375009+5940374.03413964+432894.262969335</f>
        <v>13158559.798129426</v>
      </c>
      <c r="AU7" s="37">
        <f>1732551.63727036+5052739.86375009+6185683.31482982+516541.208139873</f>
        <v>13487516.023990141</v>
      </c>
      <c r="AV7" s="37">
        <f>1732551.63727036+5052739.86375009+6427587.47489393+621723.187010393</f>
        <v>13834602.162924774</v>
      </c>
      <c r="AW7" s="37">
        <f>1732551.63727036+5052739.86375009+6724543.17738958+765226.551964491</f>
        <v>14275061.230374523</v>
      </c>
      <c r="AX7" s="37">
        <f>1732551.63727036+5052739.86375009+7033657.05359013+0+1046352.64926319</f>
        <v>14865301.20387377</v>
      </c>
      <c r="AY7" s="37">
        <f>1732551.63727036+5052739.86375009+7286724.5347563+1246487.99032941+333.200114373932</f>
        <v>15318837.226220533</v>
      </c>
      <c r="AZ7" s="37">
        <f>1732551.63727036+5052739.86375009+7532980.417105+1450153.96256527+5256.06099845434</f>
        <v>15773681.941689175</v>
      </c>
      <c r="BA7" s="37">
        <f>1732551.63727036+5052739.86375009+7747365.79382671+1638917.41612305+18773.9252216811</f>
        <v>16190348.636191892</v>
      </c>
      <c r="BB7" s="37">
        <f>1732551.63727036+5052739.86375009+8030776.70478272+1887664.47097062+58219.3972568166</f>
        <v>16761952.074030606</v>
      </c>
      <c r="BC7" s="37">
        <f>1732551.63727036+5052739.86375009+8787728.85198008+2491756.93485828+181133.993378782</f>
        <v>18245911.281237591</v>
      </c>
      <c r="BD7" s="37">
        <f>1732551.63727036+5052739.86375009+8787728.85198008+2672811.67678943+368870.407800439</f>
        <v>18614702.437590402</v>
      </c>
      <c r="BE7" s="37">
        <f>1732551.63727036+5052739.86375009+8787728.85198008+2846040.35221831+563455.737105415</f>
        <v>18982516.442324255</v>
      </c>
      <c r="BF7" s="37">
        <f>1732551.63727036+5052739.86375009+8787728.85198008+2959091.28025452+729245.09269557</f>
        <v>19261356.725950621</v>
      </c>
      <c r="BG7" s="37">
        <f>1732551.63727036+5052739.86375009+8787728.85198008+3009057.1880443+829200.898573197</f>
        <v>19411278.439618029</v>
      </c>
      <c r="BH7" s="37">
        <f>1732551.63727036+5052739.86375009+8787728.85198008+3062439.30492414+933551.64439326</f>
        <v>19569011.302317932</v>
      </c>
      <c r="BI7" s="37">
        <f>1732551.63727036+5052739.86375009+8787728.85198008+3124411.34367225+1065102.94077298</f>
        <v>19762534.637445763</v>
      </c>
      <c r="BJ7" s="37">
        <f>1732551.63727036+5052739.86375009+8787728.85198008+3187171.18375528+1275657.25923692+0</f>
        <v>20035848.795992732</v>
      </c>
      <c r="BK7" s="37">
        <f>1732551.63727036+5052739.86375009+8787728.85198008+3241636.36115493+1423380.86187868+298.595169486703</f>
        <v>20238336.171203632</v>
      </c>
      <c r="BL7" s="37">
        <f>1732551.63727036+5052739.86375009+8787728.85198008+3297086.02944971+1578309.15061228+2327.33992712599</f>
        <v>20450742.872989647</v>
      </c>
      <c r="BM7" s="37">
        <f>1732551.63727036+5052739.86375009+8787728.85198008+3343572.35506473+1720023.55203616+7691.38460229903</f>
        <v>20644307.64470372</v>
      </c>
      <c r="BN7" s="37">
        <f>1732551.63727036+5052739.86375009+8787728.85198008+3399226.69682231+1905237.20624291+20276.8894878616</f>
        <v>20897761.145553615</v>
      </c>
      <c r="BO7" s="37">
        <f>1732551.63727036+5052739.86375009+8787728.85198008+3555984.41917204+2316553.43164444+71543.9500216989</f>
        <v>21517102.153838709</v>
      </c>
      <c r="BP7" s="37">
        <f>1732551.63727036+5052739.86375009+8787728.85198008+2816714.72602216+3737039.16110318+151432.649655004</f>
        <v>22278206.889780875</v>
      </c>
      <c r="BQ7" s="37">
        <f>1732551.63727036+5052739.86375009+8787728.85198008+3265447.9910723+3910267.83653206+251896.455294292</f>
        <v>23000632.635899182</v>
      </c>
      <c r="BR7" s="37">
        <f>1732551.63727036+5052739.86375009+8787728.85198008+358320.308712409+3575964.03396414+4023318.76456827</f>
        <v>23530623.460245349</v>
      </c>
      <c r="BS7" s="37">
        <f>1732551.63727036+5052739.86375009+8787728.85198008+418234.353295302+3723981.77039006+4073284.67235806</f>
        <v>23788521.149043951</v>
      </c>
      <c r="BT7" s="37">
        <f>1732551.63727036+5052739.86375009+8787728.85198008+477952.281931766+3858841.57884684+4126666.7892379</f>
        <v>24036481.003017038</v>
      </c>
      <c r="BU7" s="37">
        <f>1732551.63727036+5052739.86375009+8787728.85198008+4008986.58595891+4188638.827986+556589.689032368</f>
        <v>24327235.455977812</v>
      </c>
      <c r="BV7" s="37">
        <f>1732551.63727036+5052739.86375009+8787728.85198008+689014.534509916+4251398.66806903+4169141.19697709</f>
        <v>24682574.752556566</v>
      </c>
      <c r="BW7" s="37">
        <f>1732551.63727036+5052739.86375009+8787728.85198008+786439.477575187+4305863.84546869+4298115.64685769</f>
        <v>24963439.322902098</v>
      </c>
      <c r="BX7" s="37">
        <f>1732551.63727036+5052739.86375009+8787728.85198008+888197.201828481+4435041.05476928+4361313.51376347</f>
        <v>25257572.123361763</v>
      </c>
      <c r="BY7" s="37">
        <f>1732551.63727036+5052739.86375009+8787728.85198008+4407799.83937848+4562198.51310247+981027.781739161</f>
        <v>25524046.487220645</v>
      </c>
      <c r="BZ7" s="37">
        <f>1732551.63727036+5052739.86375009+8787728.85198008+1104125.68637204+4728312.31870837+4463454.18113607</f>
        <v>25868912.53921701</v>
      </c>
      <c r="CA7" s="37">
        <f>1732551.63727036+5052739.86375009+8787728.85198008+4463454.18113607+4728312.31870837+1181890.15442622</f>
        <v>25946677.007271193</v>
      </c>
      <c r="CB7" s="37">
        <f>1732551.63727036+5052739.86375009+8787728.85198008+4463454.18113607+4728312.31870837+1279580.37441566</f>
        <v>26044367.227260631</v>
      </c>
      <c r="CC7" s="37">
        <f>1732551.63727036+5052739.86375009+8787728.85198008+4463454.18113607+4728312.31870837+1369498.94294704</f>
        <v>26134285.795792013</v>
      </c>
      <c r="CD7" s="37">
        <f>1732551.63727036+5052739.86375009+8787728.85198008+4463454.18113607+4728312.31870837+1429291.30861871</f>
        <v>26194078.161463682</v>
      </c>
      <c r="CE7" s="37">
        <f>1732551.63727036+5052739.86375009+8787728.85198008+4463454.18113607+4728312.31870837+1456595.26268527</f>
        <v>26221382.115530241</v>
      </c>
      <c r="CF7" s="256">
        <f t="shared" si="2"/>
        <v>26246292.818660732</v>
      </c>
      <c r="CG7" s="256">
        <f t="shared" ref="CG7:CS7" si="4">CF7+CG16</f>
        <v>26274128.538146842</v>
      </c>
      <c r="CH7" s="256">
        <f t="shared" si="4"/>
        <v>26303441.784192577</v>
      </c>
      <c r="CI7" s="256">
        <f t="shared" si="4"/>
        <v>26327434.959453907</v>
      </c>
      <c r="CJ7" s="256">
        <f t="shared" si="4"/>
        <v>26352893.176693827</v>
      </c>
      <c r="CK7" s="256">
        <f t="shared" si="4"/>
        <v>26376282.949763305</v>
      </c>
      <c r="CL7" s="256">
        <f t="shared" si="4"/>
        <v>26407904.89253721</v>
      </c>
      <c r="CM7" s="256">
        <f t="shared" si="4"/>
        <v>26487417.872198723</v>
      </c>
      <c r="CN7" s="256">
        <f t="shared" si="4"/>
        <v>26585108.092188165</v>
      </c>
      <c r="CO7" s="256">
        <f t="shared" si="4"/>
        <v>26675026.660719551</v>
      </c>
      <c r="CP7" s="256">
        <f t="shared" si="4"/>
        <v>26734819.026391216</v>
      </c>
      <c r="CQ7" s="256">
        <f t="shared" si="4"/>
        <v>26762122.980457783</v>
      </c>
      <c r="CR7" s="256">
        <f t="shared" si="4"/>
        <v>26787033.683588274</v>
      </c>
      <c r="CS7" s="256">
        <f t="shared" si="4"/>
        <v>26814869.403074384</v>
      </c>
      <c r="CT7" s="256">
        <f t="shared" si="1"/>
        <v>26844182.649120118</v>
      </c>
    </row>
    <row r="8" spans="1:98" x14ac:dyDescent="0.25">
      <c r="A8" t="s">
        <v>35</v>
      </c>
      <c r="B8" s="32"/>
      <c r="C8" s="32"/>
      <c r="D8" s="36">
        <v>0</v>
      </c>
      <c r="E8" s="36">
        <v>9.4764517045030008</v>
      </c>
      <c r="F8" s="36">
        <v>1001.8612523359196</v>
      </c>
      <c r="G8" s="36">
        <v>8293.9860897862109</v>
      </c>
      <c r="H8" s="36">
        <v>24288.931102469891</v>
      </c>
      <c r="I8" s="36">
        <v>41453.172801788984</v>
      </c>
      <c r="J8" s="36">
        <v>61773.602905509295</v>
      </c>
      <c r="K8" s="36">
        <v>74844.476160899911</v>
      </c>
      <c r="L8" s="36">
        <v>95075.729248894699</v>
      </c>
      <c r="M8" s="36">
        <v>112674.42131148028</v>
      </c>
      <c r="N8" s="36">
        <f>149116.898347914+2495.31522954858</f>
        <v>151612.21357746256</v>
      </c>
      <c r="O8" s="36">
        <f>172665.632653367+6538.78485075769</f>
        <v>179204.41750412469</v>
      </c>
      <c r="P8" s="36">
        <f>198999.065865354+10691.96</f>
        <v>209691.02586535399</v>
      </c>
      <c r="Q8" s="36">
        <f>214433.573100532+15615.411023237</f>
        <v>230048.98412376898</v>
      </c>
      <c r="R8" s="36">
        <f>242343.682470679+27991.6814994831</f>
        <v>270335.36397016211</v>
      </c>
      <c r="S8" s="36">
        <f>297369.307609895+63323.2565301678</f>
        <v>360692.56414006278</v>
      </c>
      <c r="T8" s="36">
        <f>362730.224368532+118569.426249392</f>
        <v>481299.650617924</v>
      </c>
      <c r="U8" s="36">
        <f>412752.536562742+186293.939799171</f>
        <v>599046.47636191302</v>
      </c>
      <c r="V8" s="36">
        <f>448555.758987872+240533.431923752</f>
        <v>689089.190911624</v>
      </c>
      <c r="W8" s="36">
        <f>466039.889115418+271152.510747429</f>
        <v>737192.39986284706</v>
      </c>
      <c r="X8" s="36">
        <f>479807.654110303+301823.984581678</f>
        <v>781631.63869198097</v>
      </c>
      <c r="Y8" s="36">
        <f>492620.282531948+334587.787583975</f>
        <v>827208.07011592295</v>
      </c>
      <c r="Z8" s="36">
        <f>0+404998.961227826+507702.970763227</f>
        <v>912701.93199105305</v>
      </c>
      <c r="AA8" s="36">
        <f>519531.525065896+453258.730301713+316.371186578605</f>
        <v>973106.62655418762</v>
      </c>
      <c r="AB8" s="36">
        <f>532830.166075627+502500.843764669+3963.41790250729</f>
        <v>1039294.4277428032</v>
      </c>
      <c r="AC8" s="36">
        <f>547019.363809894+546654.322579609+11464.3819369255</f>
        <v>1105138.0683264285</v>
      </c>
      <c r="AD8" s="36">
        <f>567945.679235313+609646.330934998+24787.8771092902</f>
        <v>1202379.8872796011</v>
      </c>
      <c r="AE8" s="36">
        <f>773000.268499781+613523.115995542+60077.2894046587</f>
        <v>1446600.6738999817</v>
      </c>
      <c r="AF8" s="36">
        <f>669235.396164724+967864.058982049+112905.624081451</f>
        <v>1750005.079228224</v>
      </c>
      <c r="AG8" s="36">
        <f>1151960.04943504+719257.708358934+173117.579850733</f>
        <v>2044335.3376447072</v>
      </c>
      <c r="AH8" s="36">
        <f>755060.930784064+1260176.06694011+217693.762991659</f>
        <v>2232930.7607158329</v>
      </c>
      <c r="AI8" s="36">
        <f>772545.06091161+1307692.62083338+257419.588297883</f>
        <v>2337657.270042873</v>
      </c>
      <c r="AJ8" s="37">
        <f>1351673.1816212+786312.825906495+284297.053843323</f>
        <v>2422283.0613710182</v>
      </c>
      <c r="AK8" s="37">
        <f>799125.45432814+1399034.41595677+314994.051434842</f>
        <v>2513153.9217197523</v>
      </c>
      <c r="AL8" s="37">
        <f>814208.142559419+1452580.08108288+379038.513362365+0</f>
        <v>2645826.7370046638</v>
      </c>
      <c r="AM8" s="37">
        <f>1496870.2614464+826036.696862088+423523.44703517+428.435255762638</f>
        <v>2746858.8405994209</v>
      </c>
      <c r="AN8" s="37">
        <f>826036.696862088+1496870.2614464+468169.116884432+1535.56018610456</f>
        <v>2792611.6353790243</v>
      </c>
      <c r="AO8" s="37">
        <f>826036.696862088+1496870.2614464+510857.629586714+3544.1139690049</f>
        <v>2837308.7018642067</v>
      </c>
      <c r="AP8" s="37">
        <f>826036.696862088+1496870.2614464+570980.908547959+8192.78926688263</f>
        <v>2902080.6561233299</v>
      </c>
      <c r="AQ8" s="37">
        <f>826036.696862088+1496870.2614464+728804.508263821+43751.9016745368</f>
        <v>3095463.3682468459</v>
      </c>
      <c r="AR8" s="37">
        <f>826036.696862088+1496870.2614464+918526.047082301+122033.571667777</f>
        <v>3363466.5770585663</v>
      </c>
      <c r="AS8" s="37">
        <f>826036.696862088+1496870.2614464+190553.352008513+1080573.10443634</f>
        <v>3594033.4147533411</v>
      </c>
      <c r="AT8" s="37">
        <f>826036.696862088+1496870.2614464+1181826.60791387+238338.634425976</f>
        <v>3743072.2006483339</v>
      </c>
      <c r="AU8" s="37">
        <f>826036.696862088+1496870.2614464+1226826.21548337+257812.134799825</f>
        <v>3807545.3085916834</v>
      </c>
      <c r="AV8" s="37">
        <f>826036.696862088+1496870.2614464+1267064.07506289+277169.800351937</f>
        <v>3867140.833723315</v>
      </c>
      <c r="AW8" s="37">
        <f>826036.696862088+1496870.2614464+1312629.27278731+299259.565821921</f>
        <v>3934795.7969177193</v>
      </c>
      <c r="AX8" s="37">
        <f>826036.696862088+1496870.2614464+1362474.5024747+0+362067.598588817</f>
        <v>4047449.0593720051</v>
      </c>
      <c r="AY8" s="37">
        <f>826036.696862088+1496870.2614464+1402404.20854405+401763.603458155+773.072474685892</f>
        <v>4127847.8427853794</v>
      </c>
      <c r="AZ8" s="37">
        <f>826036.696862088+1496870.2614464+1442686.07145245+444982.683323108+2676.13774296044</f>
        <v>4213251.8508270066</v>
      </c>
      <c r="BA8" s="37">
        <f>826036.696862088+1496870.2614464+1481312.59102927+491458.373276417+5986.4677394195</f>
        <v>4301664.390353594</v>
      </c>
      <c r="BB8" s="37">
        <f>826036.696862088+1496870.2614464+1535957.27021803+563092.984572772+13060.6091667066</f>
        <v>4435017.8222659975</v>
      </c>
      <c r="BC8" s="37">
        <f>826036.696862088+1496870.2614464+1680662.62154068+773124.700300392+33616.607400107</f>
        <v>4810310.8875496676</v>
      </c>
      <c r="BD8" s="37">
        <f>826036.696862088+1496870.2614464+1680662.62154068+858589.35892493+64463.3208059128</f>
        <v>4926622.2595800105</v>
      </c>
      <c r="BE8" s="37">
        <f>826036.696862088+1496870.2614464+1680662.62154068+940966.086668578+102118.943503546</f>
        <v>5046654.6100212913</v>
      </c>
      <c r="BF8" s="37">
        <f>826036.696862088+1496870.2614464+1680662.62154068+993118.242537058+137064.159626629</f>
        <v>5133751.9820128549</v>
      </c>
      <c r="BG8" s="37">
        <f>826036.696862088+1496870.2614464+1680662.62154068+1013775.55339483+157236.407258354</f>
        <v>5174581.5405023526</v>
      </c>
      <c r="BH8" s="37">
        <f>826036.696862088+1496870.2614464+1680662.62154068+1032546.56890768+179248.423291399</f>
        <v>5215364.5720482478</v>
      </c>
      <c r="BI8" s="37">
        <f>826036.696862088+1496870.2614464+1680662.62154068+1051735.02309549+212684.567887169</f>
        <v>5267989.1708318274</v>
      </c>
      <c r="BJ8" s="37">
        <f>826036.696862088+1496870.2614464+1680662.62154068+1071865.52733405+282975.831026469+0</f>
        <v>5358410.9382096874</v>
      </c>
      <c r="BK8" s="37">
        <f>826036.696862088+1496870.2614464+1680662.62154068+1089155.03370811+326115.238276781+78.3061894503902</f>
        <v>5418918.1580235092</v>
      </c>
      <c r="BL8" s="37">
        <f>826036.696862088+1496870.2614464+1680662.62154068+1107842.69324589+369900.800558233+417.526118264045</f>
        <v>5481730.5997715546</v>
      </c>
      <c r="BM8" s="37">
        <f>826036.696862088+1496870.2614464+1680662.62154068+1126341.03945842+410751.822634715+987.065863550129</f>
        <v>5541649.5078058522</v>
      </c>
      <c r="BN8" s="37">
        <f>826036.696862088+1496870.2614464+1680662.62154068+1152353.74553679+468945.197753246+3006.46488469224</f>
        <v>5627874.9880238958</v>
      </c>
      <c r="BO8" s="37">
        <f>826036.696862088+1496870.2614464+1680662.62154068+1227091.12617693+609378.608219502+12719.1477816117</f>
        <v>5852758.4620272117</v>
      </c>
      <c r="BP8" s="37">
        <f>826036.696862088+1496870.2614464+1680662.62154068+775832.932180613+1312555.78480147+27710.7650361884</f>
        <v>6119669.0618674392</v>
      </c>
      <c r="BQ8" s="37">
        <f>826036.696862088+1496870.2614464+1680662.62154068+930723.232444179+1394932.51254512+47791.0506389555</f>
        <v>6377016.375477422</v>
      </c>
      <c r="BR8" s="37">
        <f>826036.696862088+1496870.2614464+1680662.62154068+76609.5865045034+1028640.91992435+1447084.6684136</f>
        <v>6555904.7546916213</v>
      </c>
      <c r="BS8" s="37">
        <f>826036.696862088+1496870.2614464+1680662.62154068+95500.1523632332+1071149.12583249+1467741.97927137</f>
        <v>6637960.8373162616</v>
      </c>
      <c r="BT8" s="37">
        <f>826036.696862088+1496870.2614464+1680662.62154068+116653.625832048+1109871.87864579+1486512.99478422</f>
        <v>6716608.0791112259</v>
      </c>
      <c r="BU8" s="37">
        <f>826036.696862088+1496870.2614464+1680662.62154068+1153291.42729739+1505701.44897204+149276.068285888</f>
        <v>6811838.5244044857</v>
      </c>
      <c r="BV8" s="37">
        <f>826036.696862088+1496870.2614464+1680662.62154068+220014.43963164+1525831.9532106+1200853.23897041</f>
        <v>6950269.2116618184</v>
      </c>
      <c r="BW8" s="37">
        <f>826036.696862088+1496870.2614464+1680662.62154068+271385.713010656+1543121.45958466+1239236.30847155</f>
        <v>7057313.0609160345</v>
      </c>
      <c r="BX8" s="37">
        <f>826036.696862088+1496870.2614464+1680662.62154068+326167.247042305+1278333.66343883+1561809.11912244</f>
        <v>7169879.6094527431</v>
      </c>
      <c r="BY8" s="37">
        <f>826036.696862088+1496870.2614464+1680662.62154068+1580307.46533497+1314944.13336687+378263.605193075</f>
        <v>7277084.7837440828</v>
      </c>
      <c r="BZ8" s="37">
        <f>826036.696862088+1496870.2614464+1680662.62154068+445158.514344922+1366497.04696487+1606320.17141333</f>
        <v>7421545.3125722893</v>
      </c>
      <c r="CA8" s="37">
        <f>826036.696862088+1496870.2614464+1680662.62154068+1606320.17141333+1366497.04696487+507443.302376442</f>
        <v>7483830.1006038096</v>
      </c>
      <c r="CB8" s="37">
        <f>826036.696862088+1496870.2614464+1680662.62154068+1606320.17141333+1366497.04696487+567834.189054381</f>
        <v>7544220.987281749</v>
      </c>
      <c r="CC8" s="37">
        <f>826036.696862088+1496870.2614464+1680662.62154068+1606320.17141333+1366497.04696487+626954.878924903</f>
        <v>7603341.6771522705</v>
      </c>
      <c r="CD8" s="37">
        <f>826036.696862088+1496870.2614464+1680662.62154068+1606320.17141333+1366497.04696487+668383.741477911</f>
        <v>7644770.5397052793</v>
      </c>
      <c r="CE8" s="37">
        <f>826036.696862088+1496870.2614464+1680662.62154068+1606320.17141333+1366497.04696487+686737.163813088</f>
        <v>7663123.962040456</v>
      </c>
      <c r="CF8" s="256">
        <f t="shared" si="2"/>
        <v>7680698.3966049226</v>
      </c>
      <c r="CG8" s="256">
        <f t="shared" ref="CG8:CS8" si="5">CF8+CG17</f>
        <v>7698541.8693298614</v>
      </c>
      <c r="CH8" s="256">
        <f t="shared" si="5"/>
        <v>7716819.2500777664</v>
      </c>
      <c r="CI8" s="256">
        <f t="shared" si="5"/>
        <v>7733036.9468573947</v>
      </c>
      <c r="CJ8" s="256">
        <f t="shared" si="5"/>
        <v>7750824.8173695374</v>
      </c>
      <c r="CK8" s="256">
        <f t="shared" si="5"/>
        <v>7767567.6504893228</v>
      </c>
      <c r="CL8" s="256">
        <f t="shared" si="5"/>
        <v>7788828.082170832</v>
      </c>
      <c r="CM8" s="256">
        <f t="shared" si="5"/>
        <v>7842415.1690432262</v>
      </c>
      <c r="CN8" s="256">
        <f t="shared" si="5"/>
        <v>7902806.0557211656</v>
      </c>
      <c r="CO8" s="256">
        <f t="shared" si="5"/>
        <v>7961926.745591687</v>
      </c>
      <c r="CP8" s="256">
        <f t="shared" si="5"/>
        <v>8003355.6081446959</v>
      </c>
      <c r="CQ8" s="256">
        <f t="shared" si="5"/>
        <v>8021709.0304798726</v>
      </c>
      <c r="CR8" s="256">
        <f t="shared" si="5"/>
        <v>8039283.4650443392</v>
      </c>
      <c r="CS8" s="256">
        <f t="shared" si="5"/>
        <v>8057126.937769278</v>
      </c>
      <c r="CT8" s="256">
        <f t="shared" si="1"/>
        <v>8075404.318517183</v>
      </c>
    </row>
    <row r="9" spans="1:98" x14ac:dyDescent="0.25">
      <c r="A9" t="s">
        <v>36</v>
      </c>
      <c r="B9" s="32"/>
      <c r="C9" s="32"/>
      <c r="D9" s="36">
        <v>0</v>
      </c>
      <c r="E9" s="36">
        <v>0</v>
      </c>
      <c r="F9" s="36">
        <v>158.37627524588399</v>
      </c>
      <c r="G9" s="36">
        <v>755.54938000889456</v>
      </c>
      <c r="H9" s="36">
        <v>755.54938000889456</v>
      </c>
      <c r="I9" s="36">
        <v>925.36208771611018</v>
      </c>
      <c r="J9" s="36">
        <v>1379.3004935951622</v>
      </c>
      <c r="K9" s="36">
        <v>1835.58070746455</v>
      </c>
      <c r="L9" s="36">
        <v>6155.0061088806679</v>
      </c>
      <c r="M9" s="36">
        <v>8236.874151785245</v>
      </c>
      <c r="N9" s="36">
        <f>13562.7597608119+138.626164131286</f>
        <v>13701.385924943186</v>
      </c>
      <c r="O9" s="36">
        <f>17263.8824571859+353.550591382716</f>
        <v>17617.433048568615</v>
      </c>
      <c r="P9" s="36">
        <f>21317.282792059+586.93</f>
        <v>21904.212792058999</v>
      </c>
      <c r="Q9" s="36">
        <f>24168.0082624545+1718.74950926182</f>
        <v>25886.757771716319</v>
      </c>
      <c r="R9" s="36">
        <f>32203.5396191439+4982.55613938445</f>
        <v>37186.095758528347</v>
      </c>
      <c r="S9" s="36">
        <f>64792.9795908073+9659.39721839115</f>
        <v>74452.376809198453</v>
      </c>
      <c r="T9" s="36">
        <f>98806.2177037551+14952.0147372461</f>
        <v>113758.23244100119</v>
      </c>
      <c r="U9" s="36">
        <f>131838.40615304+21745.3743989093</f>
        <v>153583.78055194931</v>
      </c>
      <c r="V9" s="36">
        <f>149160.350157108+28725.5832532046</f>
        <v>177885.9334103126</v>
      </c>
      <c r="W9" s="36">
        <f>152614.128399062+34345.9926874673</f>
        <v>186960.12108652928</v>
      </c>
      <c r="X9" s="36">
        <f>155340.05703449+40087.6628308016</f>
        <v>195427.71986529158</v>
      </c>
      <c r="Y9" s="36">
        <f>158077.383578233+47393.8114639495</f>
        <v>205471.19504218252</v>
      </c>
      <c r="Z9" s="36">
        <f>0+55585.5858286291+160980.543334341</f>
        <v>216566.12916297009</v>
      </c>
      <c r="AA9" s="36">
        <f>163459.380508858+61970.7946914559+81.8331600744329</f>
        <v>225512.00836038834</v>
      </c>
      <c r="AB9" s="36">
        <f>166001.096711098+68438.977931473+539.260172682086</f>
        <v>234979.3348152531</v>
      </c>
      <c r="AC9" s="36">
        <f>168884.624573979+74783.2787675966+1316.83630350934</f>
        <v>244984.73964508492</v>
      </c>
      <c r="AD9" s="36">
        <f>175990.498122691+85254.1162564587+2444.8295092239</f>
        <v>263689.44388837361</v>
      </c>
      <c r="AE9" s="36">
        <f>112907.344246724+206920.02007512+5341.09515724763</f>
        <v>325168.45947909163</v>
      </c>
      <c r="AF9" s="36">
        <f>239230.818921814+142785.098528873+10311.9184670297</f>
        <v>392327.83591771673</v>
      </c>
      <c r="AG9" s="36">
        <f>171189.624703516+272263.007371098+15791.68697787</f>
        <v>459244.31905248394</v>
      </c>
      <c r="AH9" s="36">
        <f>289584.951375166+188671.00399183+20474.7546551417</f>
        <v>498730.71002213767</v>
      </c>
      <c r="AI9" s="36">
        <f>293038.72961712+197791.085502065+24292.1815736763</f>
        <v>515121.99669286131</v>
      </c>
      <c r="AJ9" s="37">
        <f>204735.633126684+295764.658252548+27747.6293437107</f>
        <v>528247.92072294268</v>
      </c>
      <c r="AK9" s="37">
        <f>298501.984796291+211647.654332588+31508.4493580767</f>
        <v>541658.08848695562</v>
      </c>
      <c r="AL9" s="37">
        <f>301405.144552399+218731.113645004+36145.6056325904+0</f>
        <v>556281.86382999341</v>
      </c>
      <c r="AM9" s="37">
        <f>224490.252079482+303883.981726917+39707.0999284502+0</f>
        <v>568081.33373484912</v>
      </c>
      <c r="AN9" s="37">
        <f>303883.981726917+224490.252079482+42919.4493251829+479.9651912062</f>
        <v>571773.64832278807</v>
      </c>
      <c r="AO9" s="37">
        <f>303883.981726917+224490.252079482+46248.9804806207+1355.21961145865</f>
        <v>575978.43389847828</v>
      </c>
      <c r="AP9" s="37">
        <f>303883.981726917+224490.252079482+51372.9123126338+2553.53283171903</f>
        <v>582300.67895075178</v>
      </c>
      <c r="AQ9" s="37">
        <f>303883.981726917+224490.252079482+64237.6461575233+6687.53924973621</f>
        <v>599299.41921365843</v>
      </c>
      <c r="AR9" s="37">
        <f>303883.981726917+224490.252079482+78647.7499756518+16731.9671927205</f>
        <v>623753.95097477117</v>
      </c>
      <c r="AS9" s="37">
        <f>303883.981726917+224490.252079482+27999.2815485758+91886.0464180515</f>
        <v>648259.56177302625</v>
      </c>
      <c r="AT9" s="37">
        <f>303883.981726917+224490.252079482+101109.981598991+36978.7722125651</f>
        <v>666462.98761795496</v>
      </c>
      <c r="AU9" s="37">
        <f>303883.981726917+224490.252079482+105469.788634032+40470.2048695911</f>
        <v>674314.22731002199</v>
      </c>
      <c r="AV9" s="37">
        <f>303883.981726917+224490.252079482+108799.502527816+42048.5036481409</f>
        <v>679222.23998235585</v>
      </c>
      <c r="AW9" s="37">
        <f>303883.981726917+224490.252079482+112157.299190141+44614.1117138448</f>
        <v>685145.64471038477</v>
      </c>
      <c r="AX9" s="37">
        <f>303883.981726917+224490.252079482+115542.127664184+0+47581.3145247701</f>
        <v>691497.67599535303</v>
      </c>
      <c r="AY9" s="37">
        <f>303883.981726917+224490.252079482+118249.833770243+50488.3158338303+0</f>
        <v>697112.38341047219</v>
      </c>
      <c r="AZ9" s="37">
        <f>303883.981726917+224490.252079482+121332.28852706+54102.7131128939+114.679390488596</f>
        <v>703923.91483684129</v>
      </c>
      <c r="BA9" s="37">
        <f>303883.981726917+224490.252079482+124488.592551701+58836.2434062336+345.703073949611</f>
        <v>712044.7728382831</v>
      </c>
      <c r="BB9" s="37">
        <f>303883.981726917+224490.252079482+129289.565259168+70206.7741306382+716.596272958325</f>
        <v>728587.16946916352</v>
      </c>
      <c r="BC9" s="37">
        <f>303883.981726917+224490.252079482+141161.75107072+119198.144956531+8376.26163751826</f>
        <v>797110.39147116826</v>
      </c>
      <c r="BD9" s="37">
        <f>303883.981726917+224490.252079482+141161.75107072+138355.628870877+25843.4576078165</f>
        <v>833735.07135581248</v>
      </c>
      <c r="BE9" s="37">
        <f>303883.981726917+224490.252079482+141161.75107072+158430.927803028+43939.7663014035</f>
        <v>871906.6789815505</v>
      </c>
      <c r="BF9" s="37">
        <f>303883.981726917+224490.252079482+141161.75107072+168289.375465041+53864.707918875</f>
        <v>891690.06826103502</v>
      </c>
      <c r="BG9" s="37">
        <f>303883.981726917+224490.252079482+141161.75107072+169462.27741854+56328.1826428716</f>
        <v>895326.44493853056</v>
      </c>
      <c r="BH9" s="37">
        <f>303883.981726917+224490.252079482+141161.75107072+170369.180590144+57791.0029396875</f>
        <v>897696.16840695043</v>
      </c>
      <c r="BI9" s="37">
        <f>303883.981726917+224490.252079482+141161.75107072+171135.693780381+60152.5435227095</f>
        <v>900824.22218020947</v>
      </c>
      <c r="BJ9" s="37">
        <f>303883.981726917+224490.252079482+141161.75107072+171812.576866333+71460.1793674866+0</f>
        <v>912808.7411109386</v>
      </c>
      <c r="BK9" s="37">
        <f>303883.981726917+224490.252079482+141161.75107072+172544.949154042+77811.9352979422+29.7383176418387</f>
        <v>919922.60764674516</v>
      </c>
      <c r="BL9" s="37">
        <f>303883.981726917+224490.252079482+141161.75107072+173450.551216223+84752.2176352396+109.69617389092</f>
        <v>927848.44990247244</v>
      </c>
      <c r="BM9" s="37">
        <f>303883.981726917+224490.252079482+141161.75107072+174730.384622077+93076.7301000537+218.775771277565</f>
        <v>937561.87537052727</v>
      </c>
      <c r="BN9" s="37">
        <f>303883.981726917+224490.252079482+141161.75107072+178536.101599096+107709.122118867+373.090647810255</f>
        <v>956154.29924289219</v>
      </c>
      <c r="BO9" s="37">
        <f>303883.981726917+224490.252079482+141161.75107072+196502.769462641+144943.084999681+584.553469548704</f>
        <v>1011566.3928089896</v>
      </c>
      <c r="BP9" s="37">
        <f>303883.981726917+224490.252079482+141161.75107072+186282.440339938+215660.253376987+962.954992637904</f>
        <v>1072441.6335866819</v>
      </c>
      <c r="BQ9" s="37">
        <f>303883.981726917+224490.252079482+141161.75107072+226329.707361769+235735.552309138+1547.78673571928</f>
        <v>1133149.0312837453</v>
      </c>
      <c r="BR9" s="37">
        <f>303883.981726917+224490.252079482+141161.75107072+6128.08375514701+251342.165232795+245593.999971151</f>
        <v>1172600.2338362122</v>
      </c>
      <c r="BS9" s="37">
        <f>303883.981726917+224490.252079482+141161.75107072+9843.63651167721+261264.303330169+246766.90192465</f>
        <v>1187410.826643615</v>
      </c>
      <c r="BT9" s="37">
        <f>303883.981726917+224490.252079482+141161.75107072+10281.5584186971+268399.914005767+247673.805096254</f>
        <v>1195891.2623978369</v>
      </c>
      <c r="BU9" s="37">
        <f>303883.981726917+224490.252079482+141161.75107072+275301.013554206+248440.318286491+10800.8911513536</f>
        <v>1204078.2078691698</v>
      </c>
      <c r="BV9" s="37">
        <f>303883.981726917+224490.252079482+141161.75107072+13173.163572298+249117.201372443+282820.904555279</f>
        <v>1214647.254377139</v>
      </c>
      <c r="BW9" s="37">
        <f>303883.981726917+224490.252079482+141161.75107072+14447.9591987468+249849.573660152+288737.320473849</f>
        <v>1222570.8382098668</v>
      </c>
      <c r="BX9" s="37">
        <f>303883.981726917+224490.252079482+141161.75107072+16004.9090677702+295401.73151388+250755.175722333</f>
        <v>1231697.8011811022</v>
      </c>
      <c r="BY9" s="37">
        <f>303883.981726917+224490.252079482+141161.75107072+252035.009128187+303290.698026998+18253.4726583496</f>
        <v>1243115.1646906536</v>
      </c>
      <c r="BZ9" s="37">
        <f>303883.981726917+224490.252079482+141161.75107072+23209.0028384545+316850.856666745+255840.726105206</f>
        <v>1265436.5704875244</v>
      </c>
      <c r="CA9" s="37">
        <f>303883.981726917+224490.252079482+141161.75107072+255840.726105206+316850.856666745+25684.9539843313</f>
        <v>1267912.5216334013</v>
      </c>
      <c r="CB9" s="37">
        <f>303883.981726917+224490.252079482+141161.75107072+255840.726105206+316850.856666745+28769.0959798731</f>
        <v>1270996.663628943</v>
      </c>
      <c r="CC9" s="37">
        <f>303883.981726917+224490.252079482+141161.75107072+255840.726105206+316850.856666745+31230.0542846876</f>
        <v>1273457.6219337576</v>
      </c>
      <c r="CD9" s="37">
        <f>303883.981726917+224490.252079482+141161.75107072+255840.726105206+316850.856666745+33681.736948028</f>
        <v>1275909.3045970979</v>
      </c>
      <c r="CE9" s="37">
        <f>303883.981726917+224490.252079482+141161.75107072+255840.726105206+316850.856666745+35522.9904412191</f>
        <v>1277750.5580902891</v>
      </c>
      <c r="CF9" s="256">
        <f t="shared" si="2"/>
        <v>1279086.4324116029</v>
      </c>
      <c r="CG9" s="256">
        <f t="shared" ref="CG9:CS9" si="6">CF9+CG18</f>
        <v>1280404.9492597147</v>
      </c>
      <c r="CH9" s="256">
        <f t="shared" si="6"/>
        <v>1281863.3748818522</v>
      </c>
      <c r="CI9" s="256">
        <f t="shared" si="6"/>
        <v>1282898.3053841549</v>
      </c>
      <c r="CJ9" s="256">
        <f t="shared" si="6"/>
        <v>1284090.3687090306</v>
      </c>
      <c r="CK9" s="256">
        <f t="shared" si="6"/>
        <v>1285265.4994549504</v>
      </c>
      <c r="CL9" s="256">
        <f t="shared" si="6"/>
        <v>1286904.4018677555</v>
      </c>
      <c r="CM9" s="256">
        <f t="shared" si="6"/>
        <v>1289520.3411980737</v>
      </c>
      <c r="CN9" s="256">
        <f t="shared" si="6"/>
        <v>1292604.4831936155</v>
      </c>
      <c r="CO9" s="256">
        <f t="shared" si="6"/>
        <v>1295065.44149843</v>
      </c>
      <c r="CP9" s="256">
        <f t="shared" si="6"/>
        <v>1297517.1241617703</v>
      </c>
      <c r="CQ9" s="256">
        <f t="shared" si="6"/>
        <v>1299358.3776549615</v>
      </c>
      <c r="CR9" s="256">
        <f t="shared" si="6"/>
        <v>1300694.2519762754</v>
      </c>
      <c r="CS9" s="256">
        <f t="shared" si="6"/>
        <v>1302012.7688243871</v>
      </c>
      <c r="CT9" s="256">
        <f t="shared" si="1"/>
        <v>1303471.1944465246</v>
      </c>
    </row>
    <row r="10" spans="1:98" x14ac:dyDescent="0.25">
      <c r="A10" t="s">
        <v>28</v>
      </c>
      <c r="B10" s="32"/>
      <c r="C10" s="32"/>
      <c r="D10" s="36">
        <v>0</v>
      </c>
      <c r="E10" s="36">
        <v>0</v>
      </c>
      <c r="F10" s="36">
        <v>0</v>
      </c>
      <c r="G10" s="36">
        <v>0</v>
      </c>
      <c r="H10" s="36">
        <v>0</v>
      </c>
      <c r="I10" s="36">
        <v>1171.3068451326408</v>
      </c>
      <c r="J10" s="36">
        <v>3700.907022561827</v>
      </c>
      <c r="K10" s="36">
        <v>5539.3571582453487</v>
      </c>
      <c r="L10" s="36">
        <v>8956.0281318371599</v>
      </c>
      <c r="M10" s="36">
        <v>18324.45392310356</v>
      </c>
      <c r="N10" s="36">
        <f>43332.3471457788+0</f>
        <v>43332.347145778796</v>
      </c>
      <c r="O10" s="36">
        <f>61312.2701812421+397.830372724897</f>
        <v>61710.100553967</v>
      </c>
      <c r="P10" s="36">
        <f>77306.9724967612+1306.65</f>
        <v>78613.622496761192</v>
      </c>
      <c r="Q10" s="36">
        <f>82025.5913960804+3919.1783998443</f>
        <v>85944.769795924702</v>
      </c>
      <c r="R10" s="36">
        <f>86341.6270464909+8850.02127569848</f>
        <v>95191.648322189387</v>
      </c>
      <c r="S10" s="36">
        <f>93970.6450995064+24254.3883158056</f>
        <v>118225.03341531199</v>
      </c>
      <c r="T10" s="36">
        <f>102742.311172409+50641.4062829469</f>
        <v>153383.71745535589</v>
      </c>
      <c r="U10" s="36">
        <f>108938.808668724+93694.416165562</f>
        <v>202633.224834286</v>
      </c>
      <c r="V10" s="36">
        <f>114763.827420578+145189.028547583</f>
        <v>259952.85596816102</v>
      </c>
      <c r="W10" s="36">
        <f>118480.956904006+171088.895388388</f>
        <v>289569.85229239397</v>
      </c>
      <c r="X10" s="36">
        <f>123214.252638179+208353.48222588</f>
        <v>331567.73486405902</v>
      </c>
      <c r="Y10" s="36">
        <f>129344.073402799+259500.738190466</f>
        <v>388844.81159326504</v>
      </c>
      <c r="Z10" s="36">
        <f>799.79+312354.038127241+135524.962639303</f>
        <v>448678.790766544</v>
      </c>
      <c r="AA10" s="36">
        <f>140836.478882876+358768.703391212+4016.66050210166</f>
        <v>503621.84277618962</v>
      </c>
      <c r="AB10" s="36">
        <f>145722.158768433+404265.534773745+9755.2033449081</f>
        <v>559742.8968870861</v>
      </c>
      <c r="AC10" s="36">
        <f>149269.970968584+441306.979228605+15201.2788528235</f>
        <v>605778.22905001254</v>
      </c>
      <c r="AD10" s="36">
        <f>152562.42364876+479567.999959514+21941.0554776762</f>
        <v>654071.47908595018</v>
      </c>
      <c r="AE10" s="36">
        <f>573057.378040444+158294.666836985+41763.4466717188</f>
        <v>773115.49154914788</v>
      </c>
      <c r="AF10" s="36">
        <f>164852.742236285+680247.898900916+75559.8480492728</f>
        <v>920660.48918647377</v>
      </c>
      <c r="AG10" s="36">
        <f>785035.64649227+171049.2397326+119424.045189374</f>
        <v>1075508.931414244</v>
      </c>
      <c r="AH10" s="36">
        <f>176874.258484454+857256.672063742+160309.586464035</f>
        <v>1194440.5170122311</v>
      </c>
      <c r="AI10" s="36">
        <f>180591.387967882+889673.520472137+183844.378463774</f>
        <v>1254109.286903793</v>
      </c>
      <c r="AJ10" s="37">
        <f>928572.722849741+185324.683702055+219513.039009099</f>
        <v>1333410.4455608949</v>
      </c>
      <c r="AK10" s="37">
        <f>191454.504466675+975140.175482978+272473.779249956</f>
        <v>1439068.4591996088</v>
      </c>
      <c r="AL10" s="37">
        <f>197635.393703179+1021778.67845845+339694.198613752+0</f>
        <v>1559108.270775381</v>
      </c>
      <c r="AM10" s="37">
        <f>1062703.1835047+202946.909946752+394633.358575045+41.7668954428973</f>
        <v>1660325.2189219401</v>
      </c>
      <c r="AN10" s="37">
        <f>202946.909946752+1062703.1835047+440953.812245364+445.619668828348</f>
        <v>1707049.5253656444</v>
      </c>
      <c r="AO10" s="37">
        <f>202946.909946752+1062703.1835047+475391.946886287+1419.73476576688</f>
        <v>1742461.7751035059</v>
      </c>
      <c r="AP10" s="37">
        <f>202946.909946752+1062703.1835047+508134.549056442+4903.99859369373</f>
        <v>1778688.6411015878</v>
      </c>
      <c r="AQ10" s="37">
        <f>202946.909946752+1062703.1835047+587362.608319045+23954.5361468206</f>
        <v>1876967.2379173175</v>
      </c>
      <c r="AR10" s="37">
        <f>202946.909946752+1062703.1835047+679496.996258472+67791.5834972967</f>
        <v>2012938.6732072209</v>
      </c>
      <c r="AS10" s="37">
        <f>202946.909946752+1062703.1835047+122922.206635666+749459.303019057</f>
        <v>2138031.6031061751</v>
      </c>
      <c r="AT10" s="37">
        <f>202946.909946752+1062703.1835047+800766.761361204+175897.299313043</f>
        <v>2242314.1541256988</v>
      </c>
      <c r="AU10" s="37">
        <f>202946.909946752+1062703.1835047+827223.420147666+207333.733696471</f>
        <v>2300207.2472955892</v>
      </c>
      <c r="AV10" s="37">
        <f>202946.909946752+1062703.1835047+862103.571853189+245732.728575372</f>
        <v>2373486.3938800134</v>
      </c>
      <c r="AW10" s="37">
        <f>202946.909946752+1062703.1835047+910561.849696272+306080.547701211</f>
        <v>2482292.4908489352</v>
      </c>
      <c r="AX10" s="37">
        <f>202946.909946752+1062703.1835047+959393.462001548+200.891253625536+390737.332249141</f>
        <v>2615981.7789557665</v>
      </c>
      <c r="AY10" s="37">
        <f>202946.909946752+1062703.1835047+1000995.438811+456715.853885867+1761.32559458878</f>
        <v>2725122.7117429078</v>
      </c>
      <c r="AZ10" s="37">
        <f>202946.909946752+1062703.1835047+1037321.6671694+516870.06464314+5816.00239027841</f>
        <v>2825657.8276542705</v>
      </c>
      <c r="BA10" s="37">
        <f>202946.909946752+1062703.1835047+1063007.35842547+565286.730308686+15118.2579471997</f>
        <v>2909062.4401328075</v>
      </c>
      <c r="BB10" s="37">
        <f>202946.909946752+1062703.1835047+1086961.49697722+622731.337624391+36044.7780490751</f>
        <v>3011387.7061021379</v>
      </c>
      <c r="BC10" s="37">
        <f>202946.909946752+1062703.1835047+1148229.1782697+778762.560768504+118428.52988398</f>
        <v>3311070.3623736356</v>
      </c>
      <c r="BD10" s="37">
        <f>202946.909946752+1062703.1835047+1148229.1782697+796368.508738126+244983.82341064</f>
        <v>3455231.6038699178</v>
      </c>
      <c r="BE10" s="37">
        <f>202946.909946752+1062703.1835047+1148229.1782697+812360.231826526+385311.075195283</f>
        <v>3611550.5787429609</v>
      </c>
      <c r="BF10" s="37">
        <f>202946.909946752+1062703.1835047+1148229.1782697+823943.594642935+498115.142239004</f>
        <v>3735938.0086030904</v>
      </c>
      <c r="BG10" s="37">
        <f>202946.909946752+1062703.1835047+1148229.1782697+829428.844477461+549780.493122271</f>
        <v>3793088.6093208836</v>
      </c>
      <c r="BH10" s="37">
        <f>202946.909946752+1062703.1835047+1148229.1782697+835022.609348226+615179.831345904</f>
        <v>3864081.7124152817</v>
      </c>
      <c r="BI10" s="37">
        <f>202946.909946752+1062703.1835047+1148229.1782697+841772.414625937+702249.285814073</f>
        <v>3957900.9721611617</v>
      </c>
      <c r="BJ10" s="37">
        <f>202946.909946752+1062703.1835047+1148229.1782697+848680.328247699+805584.675742575+0</f>
        <v>4068144.2757114256</v>
      </c>
      <c r="BK10" s="37">
        <f>202946.909946752+1062703.1835047+1148229.1782697+854256.996126034+889052.141304892+406.495727778726</f>
        <v>4157594.9048798564</v>
      </c>
      <c r="BL10" s="37">
        <f>202946.909946752+1062703.1835047+1148229.1782697+859689.649773719+970132.961814548+5756.0897660828</f>
        <v>4249457.9730755007</v>
      </c>
      <c r="BM10" s="37">
        <f>202946.909946752+1062703.1835047+1148229.1782697+864571.161351371+1040658.94770056+18499.91611616</f>
        <v>4337609.2968892427</v>
      </c>
      <c r="BN10" s="37">
        <f>202946.909946752+1062703.1835047+1148229.1782697+870545.725952504+1115635.65828881+41711.6291164153</f>
        <v>4441772.2850788804</v>
      </c>
      <c r="BO10" s="37">
        <f>202946.909946752+1062703.1835047+1148229.1782697+884487.332855524+1330601.02007873+121148.223434442</f>
        <v>4750115.8480898477</v>
      </c>
      <c r="BP10" s="37">
        <f>202946.909946752+1062703.1835047+1148229.1782697+1576740.61184775+902093.280825145+246961.206074322</f>
        <v>5139674.3704683678</v>
      </c>
      <c r="BQ10" s="37">
        <f>202946.909946752+1062703.1835047+1148229.1782697+1815378.4222979+918085.003913546+371825.319150358</f>
        <v>5519168.0170829557</v>
      </c>
      <c r="BR10" s="37">
        <f>202946.909946752+1062703.1835047+1148229.1782697+463377.371809192+2013377.15089767+929668.366729954</f>
        <v>5820302.1611579675</v>
      </c>
      <c r="BS10" s="37">
        <f>202946.909946752+1062703.1835047+1148229.1782697+509031.847318801+2108921.37475462+935153.616564481</f>
        <v>5966986.1103590541</v>
      </c>
      <c r="BT10" s="37">
        <f>202946.909946752+1062703.1835047+1148229.1782697+562669.110111005+2217470.02039835+940747.381435246</f>
        <v>6134765.783665753</v>
      </c>
      <c r="BU10" s="37">
        <f>202946.909946752+1062703.1835047+1148229.1782697+2341962.46116974+947497.186712956+637294.395860841</f>
        <v>6340633.3154646885</v>
      </c>
      <c r="BV10" s="37">
        <f>202946.909946752+1062703.1835047+1148229.1782697+721432.280288987+954405.100334719+2466157.03629655</f>
        <v>6555873.6886414075</v>
      </c>
      <c r="BW10" s="37">
        <f>202946.909946752+1062703.1835047+1148229.1782697+787628.301805146+959981.768213054+2571043.84588729</f>
        <v>6732533.1876266412</v>
      </c>
      <c r="BX10" s="37">
        <f>202946.909946752+1062703.1835047+1148229.1782697+848776.887445278+2676875.27857432+965414.421860738</f>
        <v>6904945.8596014874</v>
      </c>
      <c r="BY10" s="37">
        <f>202946.909946752+1062703.1835047+1148229.1782697+970295.93343839+2773511.36992031+898491.705074418</f>
        <v>7056178.2801542701</v>
      </c>
      <c r="BZ10" s="37">
        <f>202946.909946752+1062703.1835047+1148229.1782697+959201.233473684+2874026.66383909+976270.498039524</f>
        <v>7223377.6670734501</v>
      </c>
      <c r="CA10" s="37">
        <f>202946.909946752+1062703.1835047+1148229.1782697+976270.498039524+2874026.66383909+973369.879427917</f>
        <v>7237546.3130276836</v>
      </c>
      <c r="CB10" s="37">
        <f>202946.909946752+1062703.1835047+1148229.1782697+976270.498039524+2874026.66383909+924934.332590476</f>
        <v>7189110.766190242</v>
      </c>
      <c r="CC10" s="37">
        <f>202946.909946752+1062703.1835047+1148229.1782697+976270.498039524+2874026.66383909+877254.264945223</f>
        <v>7141430.6985449893</v>
      </c>
      <c r="CD10" s="37">
        <f>202946.909946752+1062703.1835047+1148229.1782697+976270.498039524+2874026.66383909+857965.527188348</f>
        <v>7122141.960788114</v>
      </c>
      <c r="CE10" s="37">
        <f>202946.909946752+1062703.1835047+1148229.1782697+976270.498039524+2874026.66383909+862077.266228948</f>
        <v>7126253.6998287141</v>
      </c>
      <c r="CF10" s="256">
        <f t="shared" si="2"/>
        <v>7136201.9581361143</v>
      </c>
      <c r="CG10" s="256">
        <f t="shared" ref="CG10:CS10" si="7">CF10+CG19</f>
        <v>7153602.3165593352</v>
      </c>
      <c r="CH10" s="256">
        <f t="shared" si="7"/>
        <v>7171529.1842649393</v>
      </c>
      <c r="CI10" s="256">
        <f t="shared" si="7"/>
        <v>7185998.8711324986</v>
      </c>
      <c r="CJ10" s="256">
        <f t="shared" si="7"/>
        <v>7196997.9064532807</v>
      </c>
      <c r="CK10" s="256">
        <f t="shared" si="7"/>
        <v>7200548.3064721497</v>
      </c>
      <c r="CL10" s="256">
        <f t="shared" si="7"/>
        <v>7197021.2064060355</v>
      </c>
      <c r="CM10" s="256">
        <f t="shared" si="7"/>
        <v>7159860.1672181701</v>
      </c>
      <c r="CN10" s="256">
        <f t="shared" si="7"/>
        <v>7111424.6203807285</v>
      </c>
      <c r="CO10" s="256">
        <f t="shared" si="7"/>
        <v>7063744.5527354768</v>
      </c>
      <c r="CP10" s="256">
        <f t="shared" si="7"/>
        <v>7044455.8149786014</v>
      </c>
      <c r="CQ10" s="256">
        <f t="shared" si="7"/>
        <v>7048567.5540192006</v>
      </c>
      <c r="CR10" s="256">
        <f t="shared" si="7"/>
        <v>7058515.8123266008</v>
      </c>
      <c r="CS10" s="256">
        <f t="shared" si="7"/>
        <v>7075916.1707498217</v>
      </c>
      <c r="CT10" s="256">
        <f t="shared" si="1"/>
        <v>7093843.0384554258</v>
      </c>
    </row>
    <row r="11" spans="1:98" x14ac:dyDescent="0.25">
      <c r="A11" s="28" t="s">
        <v>30</v>
      </c>
      <c r="B11" s="26"/>
      <c r="C11" s="26"/>
      <c r="D11" s="39">
        <f>SUM(D5:D10)</f>
        <v>0.71203150918887492</v>
      </c>
      <c r="E11" s="39">
        <f t="shared" ref="E11:AW11" si="8">SUM(E5:E10)</f>
        <v>4696.1328003699246</v>
      </c>
      <c r="F11" s="39">
        <f t="shared" si="8"/>
        <v>44631.702922297307</v>
      </c>
      <c r="G11" s="39">
        <f t="shared" si="8"/>
        <v>336308.07648475753</v>
      </c>
      <c r="H11" s="39">
        <f t="shared" si="8"/>
        <v>881174.41106336564</v>
      </c>
      <c r="I11" s="39">
        <f t="shared" si="8"/>
        <v>1544215.3586297561</v>
      </c>
      <c r="J11" s="39">
        <f t="shared" si="8"/>
        <v>2091960.0350125048</v>
      </c>
      <c r="K11" s="39">
        <f t="shared" si="8"/>
        <v>2362027.9257338243</v>
      </c>
      <c r="L11" s="39">
        <f t="shared" si="8"/>
        <v>2811476.7586528142</v>
      </c>
      <c r="M11" s="39">
        <f t="shared" si="8"/>
        <v>3483860.8742763405</v>
      </c>
      <c r="N11" s="39">
        <f t="shared" si="8"/>
        <v>4344159.9274297412</v>
      </c>
      <c r="O11" s="39">
        <f t="shared" si="8"/>
        <v>5265229.6128245099</v>
      </c>
      <c r="P11" s="39">
        <f t="shared" si="8"/>
        <v>5992471.9783231523</v>
      </c>
      <c r="Q11" s="39">
        <f t="shared" si="8"/>
        <v>6322967.2493307423</v>
      </c>
      <c r="R11" s="39">
        <f t="shared" si="8"/>
        <v>6771481.6294312896</v>
      </c>
      <c r="S11" s="39">
        <f t="shared" si="8"/>
        <v>7937948.4820839018</v>
      </c>
      <c r="T11" s="39">
        <f t="shared" si="8"/>
        <v>9534850.6535320561</v>
      </c>
      <c r="U11" s="39">
        <f t="shared" si="8"/>
        <v>11283123.065320907</v>
      </c>
      <c r="V11" s="39">
        <f t="shared" si="8"/>
        <v>12802594.081558477</v>
      </c>
      <c r="W11" s="39">
        <f t="shared" si="8"/>
        <v>13567474.535243882</v>
      </c>
      <c r="X11" s="39">
        <f t="shared" si="8"/>
        <v>14476282.187533755</v>
      </c>
      <c r="Y11" s="39">
        <f t="shared" si="8"/>
        <v>15596345.04408953</v>
      </c>
      <c r="Z11" s="39">
        <f t="shared" si="8"/>
        <v>16973565.708406165</v>
      </c>
      <c r="AA11" s="39">
        <f t="shared" si="8"/>
        <v>18168732.280760981</v>
      </c>
      <c r="AB11" s="39">
        <f t="shared" si="8"/>
        <v>19469364.680159729</v>
      </c>
      <c r="AC11" s="39">
        <f t="shared" si="8"/>
        <v>20675187.500933129</v>
      </c>
      <c r="AD11" s="39">
        <f t="shared" si="8"/>
        <v>22147738.779501401</v>
      </c>
      <c r="AE11" s="39">
        <f t="shared" si="8"/>
        <v>25750348.689807523</v>
      </c>
      <c r="AF11" s="39">
        <f t="shared" si="8"/>
        <v>30275328.592755113</v>
      </c>
      <c r="AG11" s="39">
        <f t="shared" si="8"/>
        <v>34833020.555107035</v>
      </c>
      <c r="AH11" s="39">
        <f t="shared" si="8"/>
        <v>38228154.180864222</v>
      </c>
      <c r="AI11" s="39">
        <f t="shared" si="8"/>
        <v>39847153.732589431</v>
      </c>
      <c r="AJ11" s="39">
        <f t="shared" si="8"/>
        <v>41540493.891890675</v>
      </c>
      <c r="AK11" s="39">
        <f t="shared" si="8"/>
        <v>43584328.406942971</v>
      </c>
      <c r="AL11" s="39">
        <f t="shared" si="8"/>
        <v>46131222.475444056</v>
      </c>
      <c r="AM11" s="39">
        <f t="shared" si="8"/>
        <v>48220838.952045664</v>
      </c>
      <c r="AN11" s="39">
        <f t="shared" si="8"/>
        <v>49133086.802811086</v>
      </c>
      <c r="AO11" s="39">
        <f t="shared" si="8"/>
        <v>49979421.019930221</v>
      </c>
      <c r="AP11" s="39">
        <f t="shared" si="8"/>
        <v>51046058.698135592</v>
      </c>
      <c r="AQ11" s="39">
        <f t="shared" si="8"/>
        <v>53909411.340259925</v>
      </c>
      <c r="AR11" s="39">
        <f t="shared" si="8"/>
        <v>57584968.863970898</v>
      </c>
      <c r="AS11" s="39">
        <f t="shared" si="8"/>
        <v>60927008.79521326</v>
      </c>
      <c r="AT11" s="39">
        <f t="shared" si="8"/>
        <v>63300855.380392052</v>
      </c>
      <c r="AU11" s="39">
        <f t="shared" si="8"/>
        <v>64352033.691516206</v>
      </c>
      <c r="AV11" s="39">
        <f t="shared" ref="AV11" si="9">SUM(AV5:AV10)</f>
        <v>65457125.867462724</v>
      </c>
      <c r="AW11" s="39">
        <f t="shared" si="8"/>
        <v>66839091.386147611</v>
      </c>
      <c r="AX11" s="39">
        <f t="shared" ref="AX11:AY11" si="10">SUM(AX5:AX10)</f>
        <v>68539809.150128752</v>
      </c>
      <c r="AY11" s="39">
        <f t="shared" si="10"/>
        <v>69896736.00920409</v>
      </c>
      <c r="AZ11" s="39">
        <f t="shared" ref="AZ11:BA11" si="11">SUM(AZ5:AZ10)</f>
        <v>71250538.199790254</v>
      </c>
      <c r="BA11" s="39">
        <f t="shared" si="11"/>
        <v>72490214.320244685</v>
      </c>
      <c r="BB11" s="39">
        <f t="shared" ref="BB11:BC11" si="12">SUM(BB5:BB10)</f>
        <v>74118300.736265481</v>
      </c>
      <c r="BC11" s="39">
        <f t="shared" si="12"/>
        <v>78629931.244112119</v>
      </c>
      <c r="BD11" s="39">
        <f t="shared" ref="BD11:BE11" si="13">SUM(BD5:BD10)</f>
        <v>79680970.61946547</v>
      </c>
      <c r="BE11" s="39">
        <f t="shared" si="13"/>
        <v>80814458.485758856</v>
      </c>
      <c r="BF11" s="39">
        <f t="shared" ref="BF11:BG11" si="14">SUM(BF5:BF10)</f>
        <v>81623219.123390526</v>
      </c>
      <c r="BG11" s="39">
        <f t="shared" si="14"/>
        <v>81998677.157857418</v>
      </c>
      <c r="BH11" s="39">
        <f t="shared" ref="BH11:BI11" si="15">SUM(BH5:BH10)</f>
        <v>82425369.487427413</v>
      </c>
      <c r="BI11" s="39">
        <f t="shared" si="15"/>
        <v>83004791.271064579</v>
      </c>
      <c r="BJ11" s="39">
        <f t="shared" ref="BJ11:BK11" si="16">SUM(BJ5:BJ10)</f>
        <v>83806396.796913326</v>
      </c>
      <c r="BK11" s="39">
        <f t="shared" si="16"/>
        <v>84403186.954921097</v>
      </c>
      <c r="BL11" s="39">
        <f t="shared" ref="BL11:BM11" si="17">SUM(BL5:BL10)</f>
        <v>85004925.621979579</v>
      </c>
      <c r="BM11" s="39">
        <f t="shared" si="17"/>
        <v>85558992.771220058</v>
      </c>
      <c r="BN11" s="39">
        <f t="shared" ref="BN11:BO11" si="18">SUM(BN5:BN10)</f>
        <v>86313368.700856626</v>
      </c>
      <c r="BO11" s="39">
        <f t="shared" si="18"/>
        <v>88338720.525732502</v>
      </c>
      <c r="BP11" s="39">
        <f t="shared" ref="BP11:BQ11" si="19">SUM(BP5:BP10)</f>
        <v>90964107.100292966</v>
      </c>
      <c r="BQ11" s="39">
        <f t="shared" si="19"/>
        <v>93505106.511273935</v>
      </c>
      <c r="BR11" s="39">
        <f t="shared" ref="BR11:BS11" si="20">SUM(BR5:BR10)</f>
        <v>95238889.852653116</v>
      </c>
      <c r="BS11" s="39">
        <f t="shared" si="20"/>
        <v>95994419.809623629</v>
      </c>
      <c r="BT11" s="39">
        <f t="shared" ref="BT11:BU11" si="21">SUM(BT5:BT10)</f>
        <v>96794806.597973719</v>
      </c>
      <c r="BU11" s="39">
        <f t="shared" si="21"/>
        <v>97821045.408666015</v>
      </c>
      <c r="BV11" s="39">
        <f t="shared" ref="BV11:BW11" si="22">SUM(BV5:BV10)</f>
        <v>99052595.620127484</v>
      </c>
      <c r="BW11" s="39">
        <f t="shared" si="22"/>
        <v>100018176.00760958</v>
      </c>
      <c r="BX11" s="39">
        <f t="shared" ref="BX11:BY11" si="23">SUM(BX5:BX10)</f>
        <v>100962126.70184356</v>
      </c>
      <c r="BY11" s="39">
        <f t="shared" si="23"/>
        <v>101794784.61246189</v>
      </c>
      <c r="BZ11" s="39">
        <f t="shared" ref="BZ11:CA11" si="24">SUM(BZ5:BZ10)</f>
        <v>102868067.10739985</v>
      </c>
      <c r="CA11" s="39">
        <f t="shared" si="24"/>
        <v>103143688.52444711</v>
      </c>
      <c r="CB11" s="39">
        <f t="shared" ref="CB11:CC11" si="25">SUM(CB5:CB10)</f>
        <v>103490394.29391432</v>
      </c>
      <c r="CC11" s="39">
        <f t="shared" si="25"/>
        <v>103810611.18571217</v>
      </c>
      <c r="CD11" s="39">
        <f t="shared" ref="CD11:CE11" si="26">SUM(CD5:CD10)</f>
        <v>104014377.96166115</v>
      </c>
      <c r="CE11" s="39">
        <f t="shared" si="26"/>
        <v>104101991.08831213</v>
      </c>
      <c r="CF11" s="39">
        <f t="shared" ref="CF11:CG11" si="27">SUM(CF5:CF10)</f>
        <v>104189431.64275512</v>
      </c>
      <c r="CG11" s="39">
        <f t="shared" si="27"/>
        <v>104296235.22326975</v>
      </c>
      <c r="CH11" s="39">
        <f t="shared" ref="CH11:CI11" si="28">SUM(CH5:CH10)</f>
        <v>104405975.36656593</v>
      </c>
      <c r="CI11" s="39">
        <f t="shared" si="28"/>
        <v>104496227.07917608</v>
      </c>
      <c r="CJ11" s="39">
        <f t="shared" ref="CJ11:CK11" si="29">SUM(CJ5:CJ10)</f>
        <v>104586379.50834113</v>
      </c>
      <c r="CK11" s="39">
        <f t="shared" si="29"/>
        <v>104662267.5824818</v>
      </c>
      <c r="CL11" s="39">
        <f t="shared" ref="CL11:CM11" si="30">SUM(CL5:CL10)</f>
        <v>104764357.71468283</v>
      </c>
      <c r="CM11" s="39">
        <f t="shared" si="30"/>
        <v>105037957.99006628</v>
      </c>
      <c r="CN11" s="39">
        <f t="shared" ref="CN11:CO11" si="31">SUM(CN5:CN10)</f>
        <v>105384663.75953348</v>
      </c>
      <c r="CO11" s="39">
        <f t="shared" si="31"/>
        <v>105704880.65133135</v>
      </c>
      <c r="CP11" s="39">
        <f t="shared" ref="CP11:CQ11" si="32">SUM(CP5:CP10)</f>
        <v>105908647.42728032</v>
      </c>
      <c r="CQ11" s="39">
        <f t="shared" si="32"/>
        <v>105996260.5539313</v>
      </c>
      <c r="CR11" s="39">
        <f t="shared" ref="CR11:CS11" si="33">SUM(CR5:CR10)</f>
        <v>106083701.1083743</v>
      </c>
      <c r="CS11" s="39">
        <f t="shared" si="33"/>
        <v>106190504.68888892</v>
      </c>
      <c r="CT11" s="39">
        <f t="shared" ref="CT11" si="34">SUM(CT5:CT10)</f>
        <v>106300244.83218507</v>
      </c>
    </row>
    <row r="12" spans="1:98" x14ac:dyDescent="0.25">
      <c r="B12" s="32"/>
      <c r="C12" s="3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row>
    <row r="13" spans="1:98" x14ac:dyDescent="0.25">
      <c r="A13" s="31" t="s">
        <v>38</v>
      </c>
      <c r="B13" s="32"/>
      <c r="C13" s="32"/>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257" t="s">
        <v>142</v>
      </c>
      <c r="CG13" s="258"/>
      <c r="CH13" s="40"/>
      <c r="CI13" s="40"/>
      <c r="CJ13" s="40"/>
      <c r="CK13" s="40"/>
      <c r="CL13" s="40"/>
      <c r="CM13" s="40"/>
      <c r="CN13" s="40"/>
      <c r="CO13" s="40"/>
      <c r="CP13" s="40"/>
      <c r="CQ13" s="40"/>
      <c r="CR13" s="40"/>
      <c r="CS13" s="40"/>
      <c r="CT13" s="40"/>
    </row>
    <row r="14" spans="1:98" x14ac:dyDescent="0.25">
      <c r="A14" s="33" t="s">
        <v>32</v>
      </c>
      <c r="B14" s="32"/>
      <c r="C14" s="32"/>
      <c r="D14" s="40">
        <f>D5-C5</f>
        <v>0</v>
      </c>
      <c r="E14" s="40">
        <f>IF(E5="","",E5-D5)</f>
        <v>3542.7066619947968</v>
      </c>
      <c r="F14" s="40">
        <f>IF(F5="","",F5-E5)</f>
        <v>26593.748856903429</v>
      </c>
      <c r="G14" s="40">
        <f t="shared" ref="G14:BI19" si="35">IF(G5="","",G5-F5)</f>
        <v>243363.92907678595</v>
      </c>
      <c r="H14" s="40">
        <f t="shared" si="35"/>
        <v>441129.8099540461</v>
      </c>
      <c r="I14" s="40">
        <f t="shared" si="35"/>
        <v>537485.07750592032</v>
      </c>
      <c r="J14" s="40">
        <f t="shared" si="35"/>
        <v>373819.34593685856</v>
      </c>
      <c r="K14" s="40">
        <f>IF(K5="","",K5-J5)</f>
        <v>137025.9400139912</v>
      </c>
      <c r="L14" s="40">
        <f>IF(L5="","",L5-K5)</f>
        <v>273299.25349150668</v>
      </c>
      <c r="M14" s="40">
        <f t="shared" si="35"/>
        <v>463174.404168193</v>
      </c>
      <c r="N14" s="40">
        <f t="shared" si="35"/>
        <v>531472.97269952018</v>
      </c>
      <c r="O14" s="40">
        <f t="shared" si="35"/>
        <v>666836.61937977653</v>
      </c>
      <c r="P14" s="40">
        <f t="shared" si="35"/>
        <v>454713.40903503355</v>
      </c>
      <c r="Q14" s="40">
        <f t="shared" si="35"/>
        <v>209553.48167778365</v>
      </c>
      <c r="R14" s="40">
        <f t="shared" si="35"/>
        <v>235085.44029895589</v>
      </c>
      <c r="S14" s="40">
        <f t="shared" si="35"/>
        <v>734760.62978666462</v>
      </c>
      <c r="T14" s="40">
        <f t="shared" si="35"/>
        <v>1003556.2831860054</v>
      </c>
      <c r="U14" s="40">
        <f t="shared" si="35"/>
        <v>1196200.4042900102</v>
      </c>
      <c r="V14" s="40">
        <f t="shared" si="35"/>
        <v>1010150.8980212705</v>
      </c>
      <c r="W14" s="40">
        <f t="shared" si="35"/>
        <v>444243.3950046096</v>
      </c>
      <c r="X14" s="40">
        <f>IF(X5="","",X5-W5)</f>
        <v>590722.64033336937</v>
      </c>
      <c r="Y14" s="40">
        <f t="shared" si="35"/>
        <v>739064.45472672023</v>
      </c>
      <c r="Z14" s="40">
        <f t="shared" si="35"/>
        <v>760226.35555802099</v>
      </c>
      <c r="AA14" s="40">
        <f t="shared" si="35"/>
        <v>734885.09801949374</v>
      </c>
      <c r="AB14" s="40">
        <f t="shared" si="35"/>
        <v>790050.52627510764</v>
      </c>
      <c r="AC14" s="40">
        <f t="shared" si="35"/>
        <v>712591.15803163499</v>
      </c>
      <c r="AD14" s="40">
        <f t="shared" si="35"/>
        <v>788005.60592493415</v>
      </c>
      <c r="AE14" s="40">
        <f t="shared" si="35"/>
        <v>2172782.5520650391</v>
      </c>
      <c r="AF14" s="40">
        <f t="shared" si="35"/>
        <v>2655713.1081700679</v>
      </c>
      <c r="AG14" s="40">
        <f t="shared" si="35"/>
        <v>2764862.6405028403</v>
      </c>
      <c r="AH14" s="40">
        <f t="shared" si="35"/>
        <v>2093407.6803619489</v>
      </c>
      <c r="AI14" s="40">
        <f t="shared" si="35"/>
        <v>860529.3097284846</v>
      </c>
      <c r="AJ14" s="40">
        <f t="shared" si="35"/>
        <v>981461.85882917792</v>
      </c>
      <c r="AK14" s="40">
        <f t="shared" si="35"/>
        <v>1203203.2163009197</v>
      </c>
      <c r="AL14" s="40">
        <f t="shared" si="35"/>
        <v>1371395.0052714273</v>
      </c>
      <c r="AM14" s="40">
        <f t="shared" si="35"/>
        <v>1187045.9499182627</v>
      </c>
      <c r="AN14" s="40">
        <f t="shared" si="35"/>
        <v>442726.9085614942</v>
      </c>
      <c r="AO14" s="40">
        <f t="shared" si="35"/>
        <v>394740.24836762995</v>
      </c>
      <c r="AP14" s="40">
        <f t="shared" si="35"/>
        <v>444427.68705686927</v>
      </c>
      <c r="AQ14" s="40">
        <f t="shared" si="35"/>
        <v>1411496.7289061919</v>
      </c>
      <c r="AR14" s="40">
        <f t="shared" si="35"/>
        <v>1794317.4913307615</v>
      </c>
      <c r="AS14" s="40">
        <f t="shared" si="35"/>
        <v>1725059.9569640458</v>
      </c>
      <c r="AT14" s="40">
        <f t="shared" si="35"/>
        <v>1180653.1439791694</v>
      </c>
      <c r="AU14" s="40">
        <f t="shared" si="35"/>
        <v>422803.37846041471</v>
      </c>
      <c r="AV14" s="40">
        <f t="shared" si="35"/>
        <v>479921.73548690975</v>
      </c>
      <c r="AW14" s="40">
        <f t="shared" si="35"/>
        <v>606110.73515086621</v>
      </c>
      <c r="AX14" s="40">
        <f t="shared" si="35"/>
        <v>642953.3740484342</v>
      </c>
      <c r="AY14" s="40">
        <f t="shared" si="35"/>
        <v>553693.13256213069</v>
      </c>
      <c r="AZ14" s="40">
        <f t="shared" si="35"/>
        <v>529652.53078147769</v>
      </c>
      <c r="BA14" s="40">
        <f t="shared" si="35"/>
        <v>445884.63840965182</v>
      </c>
      <c r="BB14" s="40">
        <f t="shared" si="35"/>
        <v>534466.72974010557</v>
      </c>
      <c r="BC14" s="40">
        <f t="shared" si="35"/>
        <v>1935258.7858130932</v>
      </c>
      <c r="BD14" s="40">
        <f t="shared" si="35"/>
        <v>262400.13793873042</v>
      </c>
      <c r="BE14" s="40">
        <f t="shared" si="35"/>
        <v>343210.93077355623</v>
      </c>
      <c r="BF14" s="40">
        <f t="shared" si="35"/>
        <v>196084.39263684303</v>
      </c>
      <c r="BG14" s="40">
        <f t="shared" si="35"/>
        <v>47168.093592233956</v>
      </c>
      <c r="BH14" s="40">
        <f t="shared" si="35"/>
        <v>77022.190419249237</v>
      </c>
      <c r="BI14" s="40">
        <f t="shared" si="35"/>
        <v>143605.50980502367</v>
      </c>
      <c r="BJ14" s="40">
        <f t="shared" ref="BJ14:CE17" si="36">IF(BJ5="","",BJ5-BI5)</f>
        <v>175279.80121040344</v>
      </c>
      <c r="BK14" s="40">
        <f t="shared" si="36"/>
        <v>141093.20038437843</v>
      </c>
      <c r="BL14" s="40">
        <f t="shared" si="36"/>
        <v>117314.74415306747</v>
      </c>
      <c r="BM14" s="40">
        <f t="shared" si="36"/>
        <v>80448.968517124653</v>
      </c>
      <c r="BN14" s="40">
        <f t="shared" si="36"/>
        <v>125952.04617951065</v>
      </c>
      <c r="BO14" s="40">
        <f t="shared" si="36"/>
        <v>579211.9103250429</v>
      </c>
      <c r="BP14" s="40">
        <f t="shared" si="36"/>
        <v>832900.24593169987</v>
      </c>
      <c r="BQ14" s="40">
        <f t="shared" si="36"/>
        <v>850686.77720441669</v>
      </c>
      <c r="BR14" s="40">
        <f t="shared" si="36"/>
        <v>449901.37104590982</v>
      </c>
      <c r="BS14" s="40">
        <f t="shared" si="36"/>
        <v>99237.22831056267</v>
      </c>
      <c r="BT14" s="40">
        <f t="shared" si="36"/>
        <v>158802.03928291053</v>
      </c>
      <c r="BU14" s="40">
        <f t="shared" si="36"/>
        <v>272546.54674580693</v>
      </c>
      <c r="BV14" s="40">
        <f t="shared" si="36"/>
        <v>306561.71710991859</v>
      </c>
      <c r="BW14" s="40">
        <f t="shared" si="36"/>
        <v>247258.37828180194</v>
      </c>
      <c r="BX14" s="40">
        <f t="shared" si="36"/>
        <v>194360.12245827168</v>
      </c>
      <c r="BY14" s="40">
        <f t="shared" si="36"/>
        <v>120723.96303745359</v>
      </c>
      <c r="BZ14" s="40">
        <f t="shared" si="36"/>
        <v>162531.21169597656</v>
      </c>
      <c r="CA14" s="40">
        <f t="shared" si="36"/>
        <v>61054.915652282536</v>
      </c>
      <c r="CB14" s="40">
        <f t="shared" si="36"/>
        <v>173661.26201166213</v>
      </c>
      <c r="CC14" s="40">
        <f t="shared" si="36"/>
        <v>164937.44622963667</v>
      </c>
      <c r="CD14" s="40">
        <f t="shared" si="36"/>
        <v>77892.911100380123</v>
      </c>
      <c r="CE14" s="40">
        <f t="shared" si="36"/>
        <v>9054.2059805840254</v>
      </c>
      <c r="CF14" s="258">
        <v>9385.7818216576197</v>
      </c>
      <c r="CG14" s="258">
        <v>15856.700114050922</v>
      </c>
      <c r="CH14" s="258">
        <v>15769.242335109098</v>
      </c>
      <c r="CI14" s="258">
        <v>13255.268636402152</v>
      </c>
      <c r="CJ14" s="258">
        <v>10890.599968636514</v>
      </c>
      <c r="CK14" s="258">
        <v>8374.671746521879</v>
      </c>
      <c r="CL14" s="258">
        <v>20727.280752073224</v>
      </c>
      <c r="CM14" s="258">
        <v>128358.54879592231</v>
      </c>
      <c r="CN14" s="258">
        <v>173661.26201165543</v>
      </c>
      <c r="CO14" s="258">
        <v>164937.44622964587</v>
      </c>
      <c r="CP14" s="258">
        <v>77892.911100381883</v>
      </c>
      <c r="CQ14" s="258">
        <v>9054.2059805731988</v>
      </c>
      <c r="CR14" s="258">
        <v>9385.7818216576197</v>
      </c>
      <c r="CS14" s="258">
        <v>15856.700114050922</v>
      </c>
      <c r="CT14" s="258">
        <v>15769.242335109098</v>
      </c>
    </row>
    <row r="15" spans="1:98" x14ac:dyDescent="0.25">
      <c r="A15" s="33" t="s">
        <v>33</v>
      </c>
      <c r="B15" s="32"/>
      <c r="C15" s="32"/>
      <c r="D15" s="40">
        <f t="shared" ref="D15:D19" si="37">D6-C6</f>
        <v>0.34412602678174997</v>
      </c>
      <c r="E15" s="40">
        <f t="shared" ref="E15:T19" si="38">IF(E6="","",E6-D6)</f>
        <v>593.85341007321881</v>
      </c>
      <c r="F15" s="40">
        <f t="shared" si="38"/>
        <v>8368.5225960071712</v>
      </c>
      <c r="G15" s="40">
        <f t="shared" si="38"/>
        <v>23641.814181406706</v>
      </c>
      <c r="H15" s="40">
        <f t="shared" si="38"/>
        <v>47663.861231335664</v>
      </c>
      <c r="I15" s="40">
        <f t="shared" si="38"/>
        <v>53281.675633138075</v>
      </c>
      <c r="J15" s="40">
        <f t="shared" si="38"/>
        <v>71676.428272669378</v>
      </c>
      <c r="K15" s="40">
        <f t="shared" si="38"/>
        <v>61749.996111268818</v>
      </c>
      <c r="L15" s="40">
        <f t="shared" si="38"/>
        <v>64301.78087974526</v>
      </c>
      <c r="M15" s="40">
        <f t="shared" si="38"/>
        <v>80879.653386032383</v>
      </c>
      <c r="N15" s="40">
        <f t="shared" si="38"/>
        <v>111135.9811537732</v>
      </c>
      <c r="O15" s="40">
        <f t="shared" si="38"/>
        <v>85954.403865189641</v>
      </c>
      <c r="P15" s="40">
        <f t="shared" si="38"/>
        <v>101665.26307113573</v>
      </c>
      <c r="Q15" s="40">
        <f t="shared" si="38"/>
        <v>43704.587072193855</v>
      </c>
      <c r="R15" s="40">
        <f t="shared" si="38"/>
        <v>71459.375872766483</v>
      </c>
      <c r="S15" s="40">
        <f t="shared" si="38"/>
        <v>97753.498167764628</v>
      </c>
      <c r="T15" s="40">
        <f t="shared" si="38"/>
        <v>141015.1486218411</v>
      </c>
      <c r="U15" s="40">
        <f t="shared" si="35"/>
        <v>108492.50331897987</v>
      </c>
      <c r="V15" s="40">
        <f t="shared" si="35"/>
        <v>121638.55281044007</v>
      </c>
      <c r="W15" s="40">
        <f t="shared" si="35"/>
        <v>99508.113558219979</v>
      </c>
      <c r="X15" s="40">
        <f t="shared" si="35"/>
        <v>93848.281650386052</v>
      </c>
      <c r="Y15" s="40">
        <f t="shared" si="35"/>
        <v>110179.05255875806</v>
      </c>
      <c r="Z15" s="40">
        <f t="shared" si="35"/>
        <v>189905.1953110029</v>
      </c>
      <c r="AA15" s="40">
        <f t="shared" si="35"/>
        <v>137153.48131497181</v>
      </c>
      <c r="AB15" s="40">
        <f t="shared" si="35"/>
        <v>159323.21702728886</v>
      </c>
      <c r="AC15" s="40">
        <f t="shared" si="35"/>
        <v>162609.78061144357</v>
      </c>
      <c r="AD15" s="40">
        <f t="shared" si="35"/>
        <v>219080.05774471955</v>
      </c>
      <c r="AE15" s="40">
        <f t="shared" si="35"/>
        <v>320938.11460895883</v>
      </c>
      <c r="AF15" s="40">
        <f t="shared" si="35"/>
        <v>433498.69397499831</v>
      </c>
      <c r="AG15" s="40">
        <f t="shared" si="35"/>
        <v>374926.40798967611</v>
      </c>
      <c r="AH15" s="40">
        <f t="shared" si="35"/>
        <v>324413.71329922695</v>
      </c>
      <c r="AI15" s="40">
        <f t="shared" si="35"/>
        <v>240653.64655007282</v>
      </c>
      <c r="AJ15" s="40">
        <f t="shared" si="35"/>
        <v>212821.10111611104</v>
      </c>
      <c r="AK15" s="40">
        <f t="shared" si="35"/>
        <v>237800.65090143587</v>
      </c>
      <c r="AL15" s="40">
        <f t="shared" si="35"/>
        <v>308330.26708983164</v>
      </c>
      <c r="AM15" s="40">
        <f t="shared" si="35"/>
        <v>235466.43282882962</v>
      </c>
      <c r="AN15" s="40">
        <f t="shared" si="35"/>
        <v>95431.089405592531</v>
      </c>
      <c r="AO15" s="40">
        <f t="shared" si="35"/>
        <v>123229.53478879109</v>
      </c>
      <c r="AP15" s="40">
        <f t="shared" si="35"/>
        <v>187141.99566382077</v>
      </c>
      <c r="AQ15" s="40">
        <f t="shared" si="35"/>
        <v>251239.36356647499</v>
      </c>
      <c r="AR15" s="40">
        <f t="shared" si="35"/>
        <v>338954.98695240729</v>
      </c>
      <c r="AS15" s="40">
        <f t="shared" si="35"/>
        <v>277707.59700077679</v>
      </c>
      <c r="AT15" s="40">
        <f t="shared" si="35"/>
        <v>275931.14634561911</v>
      </c>
      <c r="AU15" s="40">
        <f t="shared" si="35"/>
        <v>169201.26599771157</v>
      </c>
      <c r="AV15" s="40">
        <f t="shared" si="35"/>
        <v>140301.6171365818</v>
      </c>
      <c r="AW15" s="40">
        <f t="shared" si="35"/>
        <v>153011.25119291805</v>
      </c>
      <c r="AX15" s="40">
        <f t="shared" si="35"/>
        <v>214829.83458737377</v>
      </c>
      <c r="AY15" s="40">
        <f t="shared" si="35"/>
        <v>154543.28055080492</v>
      </c>
      <c r="AZ15" s="40">
        <f t="shared" si="35"/>
        <v>176554.28895668872</v>
      </c>
      <c r="BA15" s="40">
        <f t="shared" si="35"/>
        <v>197186.77753549907</v>
      </c>
      <c r="BB15" s="40">
        <f t="shared" si="35"/>
        <v>269795.15392936859</v>
      </c>
      <c r="BC15" s="40">
        <f t="shared" si="35"/>
        <v>348913.57126938924</v>
      </c>
      <c r="BD15" s="40">
        <f t="shared" si="35"/>
        <v>122750.78765051626</v>
      </c>
      <c r="BE15" s="40">
        <f t="shared" si="35"/>
        <v>107939.99784592353</v>
      </c>
      <c r="BF15" s="40">
        <f t="shared" si="35"/>
        <v>102567.77023728937</v>
      </c>
      <c r="BG15" s="40">
        <f t="shared" si="35"/>
        <v>76751.691322462633</v>
      </c>
      <c r="BH15" s="40">
        <f t="shared" si="35"/>
        <v>77791.418342143297</v>
      </c>
      <c r="BI15" s="40">
        <f t="shared" si="35"/>
        <v>92721.026401594281</v>
      </c>
      <c r="BJ15" s="40">
        <f t="shared" si="36"/>
        <v>140361.9762325082</v>
      </c>
      <c r="BK15" s="40">
        <f t="shared" si="36"/>
        <v>96137.866894440725</v>
      </c>
      <c r="BL15" s="40">
        <f t="shared" si="36"/>
        <v>109415.86891996861</v>
      </c>
      <c r="BM15" s="40">
        <f t="shared" si="36"/>
        <v>122269.75169319287</v>
      </c>
      <c r="BN15" s="40">
        <f t="shared" si="36"/>
        <v>165989.49032710493</v>
      </c>
      <c r="BO15" s="40">
        <f t="shared" si="36"/>
        <v>238159.77568537928</v>
      </c>
      <c r="BP15" s="40">
        <f t="shared" si="36"/>
        <v>314037.22969015129</v>
      </c>
      <c r="BQ15" s="40">
        <f t="shared" si="36"/>
        <v>270338.52973659709</v>
      </c>
      <c r="BR15" s="40">
        <f t="shared" si="36"/>
        <v>234417.42014543898</v>
      </c>
      <c r="BS15" s="40">
        <f t="shared" si="36"/>
        <v>154844.4152282197</v>
      </c>
      <c r="BT15" s="40">
        <f t="shared" si="36"/>
        <v>138717.54423821718</v>
      </c>
      <c r="BU15" s="40">
        <f t="shared" si="36"/>
        <v>153652.88842218556</v>
      </c>
      <c r="BV15" s="40">
        <f t="shared" si="36"/>
        <v>205409.09083076194</v>
      </c>
      <c r="BW15" s="40">
        <f t="shared" si="36"/>
        <v>145830.50678258017</v>
      </c>
      <c r="BX15" s="40">
        <f t="shared" si="36"/>
        <v>161351.58783326671</v>
      </c>
      <c r="BY15" s="40">
        <f t="shared" si="36"/>
        <v>175604.62536831014</v>
      </c>
      <c r="BZ15" s="40">
        <f t="shared" si="36"/>
        <v>231903.90970137157</v>
      </c>
      <c r="CA15" s="40">
        <f t="shared" si="36"/>
        <v>57872.648209175095</v>
      </c>
      <c r="CB15" s="40">
        <f t="shared" si="36"/>
        <v>60314.805630048737</v>
      </c>
      <c r="CC15" s="40">
        <f t="shared" si="36"/>
        <v>51459.296506755054</v>
      </c>
      <c r="CD15" s="40">
        <f t="shared" si="36"/>
        <v>41489.691717462614</v>
      </c>
      <c r="CE15" s="40">
        <f t="shared" si="36"/>
        <v>26948.551734866574</v>
      </c>
      <c r="CF15" s="258">
        <v>24285.50229765481</v>
      </c>
      <c r="CG15" s="258">
        <v>26548.812918206702</v>
      </c>
      <c r="CH15" s="258">
        <v>26994.980839663931</v>
      </c>
      <c r="CI15" s="258">
        <v>21280.954562950348</v>
      </c>
      <c r="CJ15" s="258">
        <v>23824.642798694764</v>
      </c>
      <c r="CK15" s="258">
        <v>22655.265440089788</v>
      </c>
      <c r="CL15" s="258">
        <v>30368.674646843949</v>
      </c>
      <c r="CM15" s="258">
        <v>46686.75991118302</v>
      </c>
      <c r="CN15" s="258">
        <v>60314.805630049166</v>
      </c>
      <c r="CO15" s="258">
        <v>51459.29650675453</v>
      </c>
      <c r="CP15" s="258">
        <v>41489.691717462701</v>
      </c>
      <c r="CQ15" s="258">
        <v>26948.551734866032</v>
      </c>
      <c r="CR15" s="258">
        <v>24285.50229765481</v>
      </c>
      <c r="CS15" s="258">
        <v>26548.812918206702</v>
      </c>
      <c r="CT15" s="258">
        <v>26994.980839663931</v>
      </c>
    </row>
    <row r="16" spans="1:98" x14ac:dyDescent="0.25">
      <c r="A16" s="33" t="s">
        <v>34</v>
      </c>
      <c r="B16" s="32"/>
      <c r="C16" s="32"/>
      <c r="D16" s="40">
        <f t="shared" si="37"/>
        <v>0.36790548240712501</v>
      </c>
      <c r="E16" s="40">
        <f t="shared" si="38"/>
        <v>549.3842450882164</v>
      </c>
      <c r="F16" s="40">
        <f t="shared" si="38"/>
        <v>3822.5375931394819</v>
      </c>
      <c r="G16" s="40">
        <f t="shared" si="38"/>
        <v>16781.332362054229</v>
      </c>
      <c r="H16" s="40">
        <f t="shared" si="38"/>
        <v>40077.718380542559</v>
      </c>
      <c r="I16" s="40">
        <f t="shared" si="38"/>
        <v>53768.83317517324</v>
      </c>
      <c r="J16" s="40">
        <f t="shared" si="38"/>
        <v>78944.93348619208</v>
      </c>
      <c r="K16" s="40">
        <f t="shared" si="38"/>
        <v>55926.350991116371</v>
      </c>
      <c r="L16" s="40">
        <f t="shared" si="38"/>
        <v>83880.449084735184</v>
      </c>
      <c r="M16" s="40">
        <f t="shared" si="38"/>
        <v>99281.072172543674</v>
      </c>
      <c r="N16" s="40">
        <f t="shared" si="38"/>
        <v>148279.90203829214</v>
      </c>
      <c r="O16" s="40">
        <f t="shared" si="38"/>
        <v>118392.65769132716</v>
      </c>
      <c r="P16" s="40">
        <f t="shared" si="38"/>
        <v>119186.78334495833</v>
      </c>
      <c r="Q16" s="40">
        <f t="shared" si="38"/>
        <v>45565.551720377523</v>
      </c>
      <c r="R16" s="40">
        <f t="shared" si="38"/>
        <v>81136.967569354689</v>
      </c>
      <c r="S16" s="40">
        <f t="shared" si="38"/>
        <v>183295.85838448966</v>
      </c>
      <c r="T16" s="40">
        <f t="shared" si="38"/>
        <v>257259.11349060107</v>
      </c>
      <c r="U16" s="40">
        <f t="shared" si="35"/>
        <v>236757.62294599204</v>
      </c>
      <c r="V16" s="40">
        <f t="shared" si="35"/>
        <v>216017.06686391006</v>
      </c>
      <c r="W16" s="40">
        <f t="shared" si="35"/>
        <v>134334.55217090389</v>
      </c>
      <c r="X16" s="40">
        <f t="shared" si="35"/>
        <v>129332.01012655394</v>
      </c>
      <c r="Y16" s="40">
        <f t="shared" si="35"/>
        <v>157922.3659402621</v>
      </c>
      <c r="Z16" s="40">
        <f t="shared" si="35"/>
        <v>270666.33827841002</v>
      </c>
      <c r="AA16" s="40">
        <f t="shared" si="35"/>
        <v>198834.36725015193</v>
      </c>
      <c r="AB16" s="40">
        <f t="shared" si="35"/>
        <v>219482.47434197739</v>
      </c>
      <c r="AC16" s="40">
        <f t="shared" si="35"/>
        <v>208737.50455393642</v>
      </c>
      <c r="AD16" s="40">
        <f t="shared" si="35"/>
        <v>301225.84166622115</v>
      </c>
      <c r="AE16" s="40">
        <f t="shared" si="35"/>
        <v>684145.42895782785</v>
      </c>
      <c r="AF16" s="40">
        <f t="shared" si="35"/>
        <v>917659.32139833691</v>
      </c>
      <c r="AG16" s="40">
        <f t="shared" si="35"/>
        <v>901807.73008037545</v>
      </c>
      <c r="AH16" s="40">
        <f t="shared" si="35"/>
        <v>630298.83245725092</v>
      </c>
      <c r="AI16" s="40">
        <f t="shared" si="35"/>
        <v>337030.02955732867</v>
      </c>
      <c r="AJ16" s="40">
        <f t="shared" si="35"/>
        <v>322004.32534062304</v>
      </c>
      <c r="AK16" s="40">
        <f t="shared" si="35"/>
        <v>392891.60609848052</v>
      </c>
      <c r="AL16" s="40">
        <f t="shared" si="35"/>
        <v>599832.39393610973</v>
      </c>
      <c r="AM16" s="40">
        <f t="shared" si="35"/>
        <v>453055.57220833749</v>
      </c>
      <c r="AN16" s="40">
        <f t="shared" si="35"/>
        <v>277920.43698708341</v>
      </c>
      <c r="AO16" s="40">
        <f t="shared" si="35"/>
        <v>244050.33216398209</v>
      </c>
      <c r="AP16" s="40">
        <f t="shared" si="35"/>
        <v>327746.93017519452</v>
      </c>
      <c r="AQ16" s="40">
        <f t="shared" si="35"/>
        <v>891956.50044952147</v>
      </c>
      <c r="AR16" s="40">
        <f t="shared" si="35"/>
        <v>1113855.8695650622</v>
      </c>
      <c r="AS16" s="40">
        <f t="shared" si="35"/>
        <v>959106.99888556264</v>
      </c>
      <c r="AT16" s="40">
        <f t="shared" si="35"/>
        <v>645737.53209456243</v>
      </c>
      <c r="AU16" s="40">
        <f t="shared" si="35"/>
        <v>328956.22586071491</v>
      </c>
      <c r="AV16" s="40">
        <f t="shared" si="35"/>
        <v>347086.13893463276</v>
      </c>
      <c r="AW16" s="40">
        <f t="shared" si="35"/>
        <v>440459.06744974852</v>
      </c>
      <c r="AX16" s="40">
        <f t="shared" si="35"/>
        <v>590239.9734992478</v>
      </c>
      <c r="AY16" s="40">
        <f t="shared" si="35"/>
        <v>453536.02234676294</v>
      </c>
      <c r="AZ16" s="40">
        <f t="shared" si="35"/>
        <v>454844.71546864137</v>
      </c>
      <c r="BA16" s="40">
        <f t="shared" si="35"/>
        <v>416666.69450271688</v>
      </c>
      <c r="BB16" s="40">
        <f t="shared" si="35"/>
        <v>571603.43783871457</v>
      </c>
      <c r="BC16" s="40">
        <f t="shared" si="35"/>
        <v>1483959.207206985</v>
      </c>
      <c r="BD16" s="40">
        <f t="shared" si="35"/>
        <v>368791.15635281056</v>
      </c>
      <c r="BE16" s="40">
        <f t="shared" si="35"/>
        <v>367814.00473385304</v>
      </c>
      <c r="BF16" s="40">
        <f t="shared" si="35"/>
        <v>278840.28362636641</v>
      </c>
      <c r="BG16" s="40">
        <f t="shared" si="35"/>
        <v>149921.71366740763</v>
      </c>
      <c r="BH16" s="40">
        <f t="shared" si="35"/>
        <v>157732.86269990355</v>
      </c>
      <c r="BI16" s="40">
        <f t="shared" si="35"/>
        <v>193523.33512783051</v>
      </c>
      <c r="BJ16" s="40">
        <f t="shared" si="36"/>
        <v>273314.15854696929</v>
      </c>
      <c r="BK16" s="40">
        <f t="shared" si="36"/>
        <v>202487.37521089986</v>
      </c>
      <c r="BL16" s="40">
        <f t="shared" si="36"/>
        <v>212406.70178601518</v>
      </c>
      <c r="BM16" s="40">
        <f t="shared" si="36"/>
        <v>193564.77171407267</v>
      </c>
      <c r="BN16" s="40">
        <f t="shared" si="36"/>
        <v>253453.50084989518</v>
      </c>
      <c r="BO16" s="40">
        <f t="shared" si="36"/>
        <v>619341.00828509405</v>
      </c>
      <c r="BP16" s="40">
        <f t="shared" si="36"/>
        <v>761104.7359421663</v>
      </c>
      <c r="BQ16" s="40">
        <f t="shared" si="36"/>
        <v>722425.74611830711</v>
      </c>
      <c r="BR16" s="40">
        <f t="shared" si="36"/>
        <v>529990.8243461661</v>
      </c>
      <c r="BS16" s="40">
        <f t="shared" si="36"/>
        <v>257897.68879860267</v>
      </c>
      <c r="BT16" s="40">
        <f t="shared" si="36"/>
        <v>247959.85397308692</v>
      </c>
      <c r="BU16" s="40">
        <f t="shared" si="36"/>
        <v>290754.4529607743</v>
      </c>
      <c r="BV16" s="40">
        <f t="shared" si="36"/>
        <v>355339.29657875374</v>
      </c>
      <c r="BW16" s="40">
        <f t="shared" si="36"/>
        <v>280864.57034553215</v>
      </c>
      <c r="BX16" s="40">
        <f t="shared" si="36"/>
        <v>294132.80045966431</v>
      </c>
      <c r="BY16" s="40">
        <f t="shared" si="36"/>
        <v>266474.36385888234</v>
      </c>
      <c r="BZ16" s="40">
        <f t="shared" si="36"/>
        <v>344866.05199636519</v>
      </c>
      <c r="CA16" s="40">
        <f t="shared" si="36"/>
        <v>77764.468054182827</v>
      </c>
      <c r="CB16" s="40">
        <f t="shared" si="36"/>
        <v>97690.21998943761</v>
      </c>
      <c r="CC16" s="40">
        <f t="shared" si="36"/>
        <v>89918.568531382829</v>
      </c>
      <c r="CD16" s="40">
        <f t="shared" si="36"/>
        <v>59792.365671668202</v>
      </c>
      <c r="CE16" s="40">
        <f t="shared" si="36"/>
        <v>27303.954066559672</v>
      </c>
      <c r="CF16" s="258">
        <v>24910.703130489244</v>
      </c>
      <c r="CG16" s="258">
        <v>27835.719486109938</v>
      </c>
      <c r="CH16" s="258">
        <v>29313.246045733693</v>
      </c>
      <c r="CI16" s="258">
        <v>23993.175261331369</v>
      </c>
      <c r="CJ16" s="258">
        <v>25458.21723991886</v>
      </c>
      <c r="CK16" s="258">
        <v>23389.773069480354</v>
      </c>
      <c r="CL16" s="258">
        <v>31621.942773903826</v>
      </c>
      <c r="CM16" s="258">
        <v>79512.979661513673</v>
      </c>
      <c r="CN16" s="258">
        <v>97690.219989440928</v>
      </c>
      <c r="CO16" s="258">
        <v>89918.568531387093</v>
      </c>
      <c r="CP16" s="258">
        <v>59792.365671663159</v>
      </c>
      <c r="CQ16" s="258">
        <v>27303.95406656633</v>
      </c>
      <c r="CR16" s="258">
        <v>24910.703130489244</v>
      </c>
      <c r="CS16" s="258">
        <v>27835.719486109938</v>
      </c>
      <c r="CT16" s="258">
        <v>29313.246045733693</v>
      </c>
    </row>
    <row r="17" spans="1:98" x14ac:dyDescent="0.25">
      <c r="A17" s="33" t="s">
        <v>35</v>
      </c>
      <c r="B17" s="32"/>
      <c r="C17" s="32"/>
      <c r="D17" s="40">
        <f t="shared" si="37"/>
        <v>0</v>
      </c>
      <c r="E17" s="40">
        <f t="shared" si="38"/>
        <v>9.4764517045030008</v>
      </c>
      <c r="F17" s="40">
        <f t="shared" si="38"/>
        <v>992.38480063141662</v>
      </c>
      <c r="G17" s="40">
        <f t="shared" si="38"/>
        <v>7292.1248374502911</v>
      </c>
      <c r="H17" s="40">
        <f t="shared" si="38"/>
        <v>15994.94501268368</v>
      </c>
      <c r="I17" s="40">
        <f t="shared" si="38"/>
        <v>17164.241699319093</v>
      </c>
      <c r="J17" s="40">
        <f t="shared" si="38"/>
        <v>20320.430103720311</v>
      </c>
      <c r="K17" s="40">
        <f t="shared" si="38"/>
        <v>13070.873255390616</v>
      </c>
      <c r="L17" s="40">
        <f t="shared" si="38"/>
        <v>20231.253087994788</v>
      </c>
      <c r="M17" s="40">
        <f t="shared" si="38"/>
        <v>17598.692062585586</v>
      </c>
      <c r="N17" s="40">
        <f t="shared" si="38"/>
        <v>38937.79226598228</v>
      </c>
      <c r="O17" s="40">
        <f t="shared" si="38"/>
        <v>27592.203926662129</v>
      </c>
      <c r="P17" s="40">
        <f t="shared" si="38"/>
        <v>30486.6083612293</v>
      </c>
      <c r="Q17" s="40">
        <f t="shared" si="38"/>
        <v>20357.95825841499</v>
      </c>
      <c r="R17" s="40">
        <f t="shared" si="38"/>
        <v>40286.379846393131</v>
      </c>
      <c r="S17" s="40">
        <f t="shared" si="38"/>
        <v>90357.200169900665</v>
      </c>
      <c r="T17" s="40">
        <f t="shared" si="38"/>
        <v>120607.08647786122</v>
      </c>
      <c r="U17" s="40">
        <f t="shared" si="35"/>
        <v>117746.82574398903</v>
      </c>
      <c r="V17" s="40">
        <f t="shared" si="35"/>
        <v>90042.714549710974</v>
      </c>
      <c r="W17" s="40">
        <f t="shared" si="35"/>
        <v>48103.20895122306</v>
      </c>
      <c r="X17" s="40">
        <f t="shared" si="35"/>
        <v>44439.238829133916</v>
      </c>
      <c r="Y17" s="40">
        <f t="shared" si="35"/>
        <v>45576.431423941976</v>
      </c>
      <c r="Z17" s="40">
        <f t="shared" si="35"/>
        <v>85493.861875130096</v>
      </c>
      <c r="AA17" s="40">
        <f t="shared" si="35"/>
        <v>60404.694563134573</v>
      </c>
      <c r="AB17" s="40">
        <f t="shared" si="35"/>
        <v>66187.801188615616</v>
      </c>
      <c r="AC17" s="40">
        <f t="shared" si="35"/>
        <v>65843.640583625296</v>
      </c>
      <c r="AD17" s="40">
        <f t="shared" si="35"/>
        <v>97241.818953172537</v>
      </c>
      <c r="AE17" s="40">
        <f t="shared" si="35"/>
        <v>244220.78662038059</v>
      </c>
      <c r="AF17" s="40">
        <f t="shared" si="35"/>
        <v>303404.40532824234</v>
      </c>
      <c r="AG17" s="40">
        <f t="shared" si="35"/>
        <v>294330.25841648318</v>
      </c>
      <c r="AH17" s="40">
        <f t="shared" si="35"/>
        <v>188595.42307112576</v>
      </c>
      <c r="AI17" s="40">
        <f t="shared" si="35"/>
        <v>104726.50932704005</v>
      </c>
      <c r="AJ17" s="40">
        <f t="shared" si="35"/>
        <v>84625.791328145191</v>
      </c>
      <c r="AK17" s="40">
        <f t="shared" si="35"/>
        <v>90870.860348734073</v>
      </c>
      <c r="AL17" s="40">
        <f t="shared" si="35"/>
        <v>132672.81528491154</v>
      </c>
      <c r="AM17" s="40">
        <f t="shared" si="35"/>
        <v>101032.10359475715</v>
      </c>
      <c r="AN17" s="40">
        <f t="shared" si="35"/>
        <v>45752.79477960337</v>
      </c>
      <c r="AO17" s="40">
        <f t="shared" si="35"/>
        <v>44697.066485182382</v>
      </c>
      <c r="AP17" s="40">
        <f t="shared" si="35"/>
        <v>64771.954259123188</v>
      </c>
      <c r="AQ17" s="40">
        <f t="shared" si="35"/>
        <v>193382.71212351602</v>
      </c>
      <c r="AR17" s="40">
        <f t="shared" si="35"/>
        <v>268003.20881172037</v>
      </c>
      <c r="AS17" s="40">
        <f t="shared" si="35"/>
        <v>230566.83769477485</v>
      </c>
      <c r="AT17" s="40">
        <f t="shared" si="35"/>
        <v>149038.78589499276</v>
      </c>
      <c r="AU17" s="40">
        <f t="shared" si="35"/>
        <v>64473.107943349518</v>
      </c>
      <c r="AV17" s="40">
        <f t="shared" si="35"/>
        <v>59595.525131631643</v>
      </c>
      <c r="AW17" s="40">
        <f t="shared" si="35"/>
        <v>67654.963194404263</v>
      </c>
      <c r="AX17" s="40">
        <f t="shared" si="35"/>
        <v>112653.26245428575</v>
      </c>
      <c r="AY17" s="40">
        <f t="shared" si="35"/>
        <v>80398.783413374331</v>
      </c>
      <c r="AZ17" s="40">
        <f t="shared" si="35"/>
        <v>85404.008041627239</v>
      </c>
      <c r="BA17" s="40">
        <f t="shared" si="35"/>
        <v>88412.539526587352</v>
      </c>
      <c r="BB17" s="40">
        <f t="shared" si="35"/>
        <v>133353.43191240355</v>
      </c>
      <c r="BC17" s="40">
        <f t="shared" si="35"/>
        <v>375293.06528367009</v>
      </c>
      <c r="BD17" s="40">
        <f t="shared" si="35"/>
        <v>116311.37203034293</v>
      </c>
      <c r="BE17" s="40">
        <f t="shared" si="35"/>
        <v>120032.35044128075</v>
      </c>
      <c r="BF17" s="40">
        <f t="shared" si="35"/>
        <v>87097.371991563588</v>
      </c>
      <c r="BG17" s="40">
        <f t="shared" si="35"/>
        <v>40829.558489497751</v>
      </c>
      <c r="BH17" s="40">
        <f t="shared" si="35"/>
        <v>40783.031545895152</v>
      </c>
      <c r="BI17" s="40">
        <f t="shared" si="35"/>
        <v>52624.598783579655</v>
      </c>
      <c r="BJ17" s="40">
        <f t="shared" si="36"/>
        <v>90421.767377859913</v>
      </c>
      <c r="BK17" s="40">
        <f t="shared" si="36"/>
        <v>60507.219813821837</v>
      </c>
      <c r="BL17" s="40">
        <f t="shared" si="36"/>
        <v>62812.441748045385</v>
      </c>
      <c r="BM17" s="40">
        <f t="shared" si="36"/>
        <v>59918.908034297638</v>
      </c>
      <c r="BN17" s="40">
        <f t="shared" si="36"/>
        <v>86225.480218043551</v>
      </c>
      <c r="BO17" s="40">
        <f t="shared" si="36"/>
        <v>224883.4740033159</v>
      </c>
      <c r="BP17" s="40">
        <f t="shared" si="36"/>
        <v>266910.59984022751</v>
      </c>
      <c r="BQ17" s="40">
        <f t="shared" si="36"/>
        <v>257347.31360998284</v>
      </c>
      <c r="BR17" s="40">
        <f t="shared" si="36"/>
        <v>178888.37921419926</v>
      </c>
      <c r="BS17" s="40">
        <f t="shared" si="36"/>
        <v>82056.082624640316</v>
      </c>
      <c r="BT17" s="40">
        <f t="shared" si="36"/>
        <v>78647.241794964299</v>
      </c>
      <c r="BU17" s="40">
        <f t="shared" si="36"/>
        <v>95230.445293259807</v>
      </c>
      <c r="BV17" s="40">
        <f t="shared" si="36"/>
        <v>138430.68725733273</v>
      </c>
      <c r="BW17" s="40">
        <f t="shared" si="36"/>
        <v>107043.84925421607</v>
      </c>
      <c r="BX17" s="40">
        <f t="shared" si="36"/>
        <v>112566.54853670858</v>
      </c>
      <c r="BY17" s="40">
        <f t="shared" si="36"/>
        <v>107205.1742913397</v>
      </c>
      <c r="BZ17" s="40">
        <f t="shared" si="36"/>
        <v>144460.52882820647</v>
      </c>
      <c r="CA17" s="40">
        <f t="shared" si="36"/>
        <v>62284.788031520322</v>
      </c>
      <c r="CB17" s="40">
        <f t="shared" si="36"/>
        <v>60390.886677939445</v>
      </c>
      <c r="CC17" s="40">
        <f t="shared" si="36"/>
        <v>59120.689870521426</v>
      </c>
      <c r="CD17" s="40">
        <f t="shared" si="36"/>
        <v>41428.862553008832</v>
      </c>
      <c r="CE17" s="40">
        <f t="shared" si="36"/>
        <v>18353.422335176729</v>
      </c>
      <c r="CF17" s="258">
        <v>17574.434564466766</v>
      </c>
      <c r="CG17" s="258">
        <v>17843.472724938918</v>
      </c>
      <c r="CH17" s="258">
        <v>18277.380747904652</v>
      </c>
      <c r="CI17" s="258">
        <v>16217.696779627997</v>
      </c>
      <c r="CJ17" s="258">
        <v>17787.870512143065</v>
      </c>
      <c r="CK17" s="258">
        <v>16742.833119785697</v>
      </c>
      <c r="CL17" s="258">
        <v>21260.431681508711</v>
      </c>
      <c r="CM17" s="258">
        <v>53587.086872394022</v>
      </c>
      <c r="CN17" s="258">
        <v>60390.886677939496</v>
      </c>
      <c r="CO17" s="258">
        <v>59120.689870521383</v>
      </c>
      <c r="CP17" s="258">
        <v>41428.862553008374</v>
      </c>
      <c r="CQ17" s="258">
        <v>18353.422335176798</v>
      </c>
      <c r="CR17" s="258">
        <v>17574.434564466766</v>
      </c>
      <c r="CS17" s="258">
        <v>17843.472724938918</v>
      </c>
      <c r="CT17" s="258">
        <v>18277.380747904652</v>
      </c>
    </row>
    <row r="18" spans="1:98" x14ac:dyDescent="0.25">
      <c r="A18" s="33" t="s">
        <v>36</v>
      </c>
      <c r="B18" s="32"/>
      <c r="C18" s="32"/>
      <c r="D18" s="40">
        <f t="shared" si="37"/>
        <v>0</v>
      </c>
      <c r="E18" s="40">
        <f t="shared" si="38"/>
        <v>0</v>
      </c>
      <c r="F18" s="40">
        <f t="shared" si="38"/>
        <v>158.37627524588399</v>
      </c>
      <c r="G18" s="40">
        <f t="shared" si="38"/>
        <v>597.17310476301054</v>
      </c>
      <c r="H18" s="40">
        <f t="shared" si="38"/>
        <v>0</v>
      </c>
      <c r="I18" s="40">
        <f t="shared" si="38"/>
        <v>169.81270770721562</v>
      </c>
      <c r="J18" s="40">
        <f t="shared" si="38"/>
        <v>453.93840587905197</v>
      </c>
      <c r="K18" s="40">
        <f t="shared" si="38"/>
        <v>456.28021386938781</v>
      </c>
      <c r="L18" s="40">
        <f t="shared" si="38"/>
        <v>4319.4254014161179</v>
      </c>
      <c r="M18" s="40">
        <f t="shared" si="38"/>
        <v>2081.8680429045771</v>
      </c>
      <c r="N18" s="40">
        <f t="shared" si="38"/>
        <v>5464.5117731579412</v>
      </c>
      <c r="O18" s="40">
        <f t="shared" si="38"/>
        <v>3916.0471236254289</v>
      </c>
      <c r="P18" s="40">
        <f t="shared" si="38"/>
        <v>4286.7797434903841</v>
      </c>
      <c r="Q18" s="40">
        <f t="shared" si="38"/>
        <v>3982.5449796573193</v>
      </c>
      <c r="R18" s="40">
        <f t="shared" si="38"/>
        <v>11299.337986812028</v>
      </c>
      <c r="S18" s="40">
        <f t="shared" si="38"/>
        <v>37266.281050670106</v>
      </c>
      <c r="T18" s="40">
        <f t="shared" si="38"/>
        <v>39305.85563180274</v>
      </c>
      <c r="U18" s="40">
        <f t="shared" si="35"/>
        <v>39825.548110948119</v>
      </c>
      <c r="V18" s="40">
        <f t="shared" si="35"/>
        <v>24302.15285836329</v>
      </c>
      <c r="W18" s="40">
        <f t="shared" si="35"/>
        <v>9074.1876762166794</v>
      </c>
      <c r="X18" s="40">
        <f t="shared" si="35"/>
        <v>8467.5987787623017</v>
      </c>
      <c r="Y18" s="40">
        <f t="shared" si="35"/>
        <v>10043.475176890934</v>
      </c>
      <c r="Z18" s="40">
        <f t="shared" si="35"/>
        <v>11094.93412078757</v>
      </c>
      <c r="AA18" s="40">
        <f t="shared" si="35"/>
        <v>8945.8791974182532</v>
      </c>
      <c r="AB18" s="40">
        <f t="shared" si="35"/>
        <v>9467.3264548647567</v>
      </c>
      <c r="AC18" s="40">
        <f t="shared" si="35"/>
        <v>10005.404829831823</v>
      </c>
      <c r="AD18" s="40">
        <f t="shared" si="35"/>
        <v>18704.704243288696</v>
      </c>
      <c r="AE18" s="40">
        <f t="shared" si="35"/>
        <v>61479.015590718016</v>
      </c>
      <c r="AF18" s="40">
        <f t="shared" si="35"/>
        <v>67159.376438625099</v>
      </c>
      <c r="AG18" s="40">
        <f t="shared" si="35"/>
        <v>66916.483134767215</v>
      </c>
      <c r="AH18" s="40">
        <f t="shared" si="35"/>
        <v>39486.39096965373</v>
      </c>
      <c r="AI18" s="40">
        <f t="shared" si="35"/>
        <v>16391.286670723639</v>
      </c>
      <c r="AJ18" s="40">
        <f t="shared" si="35"/>
        <v>13125.924030081369</v>
      </c>
      <c r="AK18" s="40">
        <f t="shared" si="35"/>
        <v>13410.167764012935</v>
      </c>
      <c r="AL18" s="40">
        <f t="shared" si="35"/>
        <v>14623.775343037792</v>
      </c>
      <c r="AM18" s="40">
        <f t="shared" si="35"/>
        <v>11799.469904855709</v>
      </c>
      <c r="AN18" s="40">
        <f t="shared" si="35"/>
        <v>3692.3145879389485</v>
      </c>
      <c r="AO18" s="40">
        <f t="shared" si="35"/>
        <v>4204.7855756902136</v>
      </c>
      <c r="AP18" s="40">
        <f t="shared" si="35"/>
        <v>6322.2450522735016</v>
      </c>
      <c r="AQ18" s="40">
        <f t="shared" si="35"/>
        <v>16998.740262906649</v>
      </c>
      <c r="AR18" s="40">
        <f t="shared" si="35"/>
        <v>24454.531761112739</v>
      </c>
      <c r="AS18" s="40">
        <f t="shared" si="35"/>
        <v>24505.610798255075</v>
      </c>
      <c r="AT18" s="40">
        <f t="shared" si="35"/>
        <v>18203.425844928715</v>
      </c>
      <c r="AU18" s="40">
        <f t="shared" si="35"/>
        <v>7851.239692067029</v>
      </c>
      <c r="AV18" s="40">
        <f t="shared" si="35"/>
        <v>4908.0126723338617</v>
      </c>
      <c r="AW18" s="40">
        <f t="shared" si="35"/>
        <v>5923.4047280289233</v>
      </c>
      <c r="AX18" s="40">
        <f t="shared" si="35"/>
        <v>6352.0312849682523</v>
      </c>
      <c r="AY18" s="40">
        <f t="shared" si="35"/>
        <v>5614.7074151191628</v>
      </c>
      <c r="AZ18" s="40">
        <f t="shared" si="35"/>
        <v>6811.5314263690962</v>
      </c>
      <c r="BA18" s="40">
        <f t="shared" si="35"/>
        <v>8120.8580014418112</v>
      </c>
      <c r="BB18" s="40">
        <f t="shared" si="35"/>
        <v>16542.396630880423</v>
      </c>
      <c r="BC18" s="40">
        <f t="shared" si="35"/>
        <v>68523.222002004739</v>
      </c>
      <c r="BD18" s="40">
        <f t="shared" si="35"/>
        <v>36624.679884644225</v>
      </c>
      <c r="BE18" s="40">
        <f t="shared" si="35"/>
        <v>38171.607625738019</v>
      </c>
      <c r="BF18" s="40">
        <f t="shared" si="35"/>
        <v>19783.389279484516</v>
      </c>
      <c r="BG18" s="40">
        <f t="shared" si="35"/>
        <v>3636.3766774955438</v>
      </c>
      <c r="BH18" s="40">
        <f t="shared" si="35"/>
        <v>2369.7234684198629</v>
      </c>
      <c r="BI18" s="40">
        <f t="shared" ref="BI18:CE19" si="39">IF(BI9="","",BI9-BH9)</f>
        <v>3128.0537732590456</v>
      </c>
      <c r="BJ18" s="40">
        <f t="shared" si="39"/>
        <v>11984.518930729129</v>
      </c>
      <c r="BK18" s="40">
        <f t="shared" si="39"/>
        <v>7113.8665358065628</v>
      </c>
      <c r="BL18" s="40">
        <f t="shared" si="39"/>
        <v>7925.8422557272715</v>
      </c>
      <c r="BM18" s="40">
        <f t="shared" si="39"/>
        <v>9713.4254680548329</v>
      </c>
      <c r="BN18" s="40">
        <f t="shared" si="39"/>
        <v>18592.423872364918</v>
      </c>
      <c r="BO18" s="40">
        <f t="shared" si="39"/>
        <v>55412.093566097436</v>
      </c>
      <c r="BP18" s="40">
        <f t="shared" si="39"/>
        <v>60875.240777692292</v>
      </c>
      <c r="BQ18" s="40">
        <f t="shared" si="39"/>
        <v>60707.397697063396</v>
      </c>
      <c r="BR18" s="40">
        <f t="shared" si="39"/>
        <v>39451.202552466886</v>
      </c>
      <c r="BS18" s="40">
        <f t="shared" si="39"/>
        <v>14810.592807402834</v>
      </c>
      <c r="BT18" s="40">
        <f t="shared" si="39"/>
        <v>8480.435754221864</v>
      </c>
      <c r="BU18" s="40">
        <f t="shared" si="39"/>
        <v>8186.9454713328741</v>
      </c>
      <c r="BV18" s="40">
        <f t="shared" si="39"/>
        <v>10569.046507969266</v>
      </c>
      <c r="BW18" s="40">
        <f t="shared" si="39"/>
        <v>7923.5838327277452</v>
      </c>
      <c r="BX18" s="40">
        <f t="shared" si="39"/>
        <v>9126.9629712353926</v>
      </c>
      <c r="BY18" s="40">
        <f t="shared" si="39"/>
        <v>11417.363509551389</v>
      </c>
      <c r="BZ18" s="40">
        <f t="shared" si="39"/>
        <v>22321.405796870822</v>
      </c>
      <c r="CA18" s="40">
        <f t="shared" si="39"/>
        <v>2475.9511458768975</v>
      </c>
      <c r="CB18" s="40">
        <f t="shared" si="39"/>
        <v>3084.1419955417514</v>
      </c>
      <c r="CC18" s="40">
        <f t="shared" si="39"/>
        <v>2460.9583048145287</v>
      </c>
      <c r="CD18" s="40">
        <f t="shared" si="39"/>
        <v>2451.6826633403543</v>
      </c>
      <c r="CE18" s="40">
        <f t="shared" si="39"/>
        <v>1841.2534931912087</v>
      </c>
      <c r="CF18" s="258">
        <v>1335.8743213138509</v>
      </c>
      <c r="CG18" s="258">
        <v>1318.5168481118737</v>
      </c>
      <c r="CH18" s="258">
        <v>1458.4256221376022</v>
      </c>
      <c r="CI18" s="258">
        <v>1034.9305023027462</v>
      </c>
      <c r="CJ18" s="258">
        <v>1192.0633248756685</v>
      </c>
      <c r="CK18" s="258">
        <v>1175.1307459199468</v>
      </c>
      <c r="CL18" s="258">
        <v>1638.9024128050048</v>
      </c>
      <c r="CM18" s="258">
        <v>2615.9393303181901</v>
      </c>
      <c r="CN18" s="258">
        <v>3084.1419955418355</v>
      </c>
      <c r="CO18" s="258">
        <v>2460.9583048145032</v>
      </c>
      <c r="CP18" s="258">
        <v>2451.6826633403693</v>
      </c>
      <c r="CQ18" s="258">
        <v>1841.2534931911132</v>
      </c>
      <c r="CR18" s="258">
        <v>1335.8743213138509</v>
      </c>
      <c r="CS18" s="258">
        <v>1318.5168481118737</v>
      </c>
      <c r="CT18" s="258">
        <v>1458.4256221376022</v>
      </c>
    </row>
    <row r="19" spans="1:98" x14ac:dyDescent="0.25">
      <c r="A19" s="33" t="s">
        <v>28</v>
      </c>
      <c r="B19" s="32"/>
      <c r="C19" s="32"/>
      <c r="D19" s="40">
        <f t="shared" si="37"/>
        <v>0</v>
      </c>
      <c r="E19" s="40">
        <f t="shared" si="38"/>
        <v>0</v>
      </c>
      <c r="F19" s="40">
        <f t="shared" si="38"/>
        <v>0</v>
      </c>
      <c r="G19" s="40">
        <f t="shared" si="38"/>
        <v>0</v>
      </c>
      <c r="H19" s="40">
        <f t="shared" si="38"/>
        <v>0</v>
      </c>
      <c r="I19" s="40">
        <f t="shared" si="38"/>
        <v>1171.3068451326408</v>
      </c>
      <c r="J19" s="40">
        <f t="shared" si="38"/>
        <v>2529.6001774291863</v>
      </c>
      <c r="K19" s="40">
        <f t="shared" si="38"/>
        <v>1838.4501356835217</v>
      </c>
      <c r="L19" s="40">
        <f t="shared" si="38"/>
        <v>3416.6709735918112</v>
      </c>
      <c r="M19" s="40">
        <f t="shared" si="38"/>
        <v>9368.4257912663998</v>
      </c>
      <c r="N19" s="40">
        <f t="shared" si="38"/>
        <v>25007.893222675237</v>
      </c>
      <c r="O19" s="40">
        <f t="shared" si="38"/>
        <v>18377.753408188204</v>
      </c>
      <c r="P19" s="40">
        <f t="shared" si="38"/>
        <v>16903.521942794192</v>
      </c>
      <c r="Q19" s="40">
        <f t="shared" si="38"/>
        <v>7331.1472991635092</v>
      </c>
      <c r="R19" s="40">
        <f t="shared" si="38"/>
        <v>9246.8785262646852</v>
      </c>
      <c r="S19" s="40">
        <f t="shared" si="38"/>
        <v>23033.385093122604</v>
      </c>
      <c r="T19" s="40">
        <f t="shared" si="38"/>
        <v>35158.684040043896</v>
      </c>
      <c r="U19" s="40">
        <f t="shared" si="35"/>
        <v>49249.50737893011</v>
      </c>
      <c r="V19" s="40">
        <f t="shared" si="35"/>
        <v>57319.631133875024</v>
      </c>
      <c r="W19" s="40">
        <f t="shared" si="35"/>
        <v>29616.996324232954</v>
      </c>
      <c r="X19" s="40">
        <f t="shared" si="35"/>
        <v>41997.882571665046</v>
      </c>
      <c r="Y19" s="40">
        <f t="shared" si="35"/>
        <v>57277.076729206019</v>
      </c>
      <c r="Z19" s="40">
        <f t="shared" si="35"/>
        <v>59833.97917327896</v>
      </c>
      <c r="AA19" s="40">
        <f t="shared" si="35"/>
        <v>54943.052009645617</v>
      </c>
      <c r="AB19" s="40">
        <f t="shared" si="35"/>
        <v>56121.054110896483</v>
      </c>
      <c r="AC19" s="40">
        <f t="shared" si="35"/>
        <v>46035.332162926439</v>
      </c>
      <c r="AD19" s="40">
        <f t="shared" si="35"/>
        <v>48293.250035937643</v>
      </c>
      <c r="AE19" s="40">
        <f t="shared" si="35"/>
        <v>119044.01246319769</v>
      </c>
      <c r="AF19" s="40">
        <f t="shared" si="35"/>
        <v>147544.9976373259</v>
      </c>
      <c r="AG19" s="40">
        <f t="shared" si="35"/>
        <v>154848.44222777023</v>
      </c>
      <c r="AH19" s="40">
        <f t="shared" si="35"/>
        <v>118931.58559798705</v>
      </c>
      <c r="AI19" s="40">
        <f t="shared" si="35"/>
        <v>59668.76989156194</v>
      </c>
      <c r="AJ19" s="40">
        <f t="shared" si="35"/>
        <v>79301.158657101914</v>
      </c>
      <c r="AK19" s="40">
        <f t="shared" si="35"/>
        <v>105658.01363871386</v>
      </c>
      <c r="AL19" s="40">
        <f t="shared" si="35"/>
        <v>120039.81157577224</v>
      </c>
      <c r="AM19" s="40">
        <f t="shared" si="35"/>
        <v>101216.94814655907</v>
      </c>
      <c r="AN19" s="40">
        <f t="shared" si="35"/>
        <v>46724.306443704292</v>
      </c>
      <c r="AO19" s="40">
        <f t="shared" si="35"/>
        <v>35412.249737861566</v>
      </c>
      <c r="AP19" s="40">
        <f t="shared" si="35"/>
        <v>36226.865998081863</v>
      </c>
      <c r="AQ19" s="40">
        <f t="shared" si="35"/>
        <v>98278.596815729747</v>
      </c>
      <c r="AR19" s="40">
        <f t="shared" si="35"/>
        <v>135971.43528990331</v>
      </c>
      <c r="AS19" s="40">
        <f t="shared" si="35"/>
        <v>125092.92989895423</v>
      </c>
      <c r="AT19" s="40">
        <f t="shared" si="35"/>
        <v>104282.55101952376</v>
      </c>
      <c r="AU19" s="40">
        <f t="shared" si="35"/>
        <v>57893.093169890344</v>
      </c>
      <c r="AV19" s="40">
        <f t="shared" si="35"/>
        <v>73279.14658442419</v>
      </c>
      <c r="AW19" s="40">
        <f t="shared" si="35"/>
        <v>108806.09696892183</v>
      </c>
      <c r="AX19" s="40">
        <f t="shared" si="35"/>
        <v>133689.28810683126</v>
      </c>
      <c r="AY19" s="40">
        <f t="shared" si="35"/>
        <v>109140.9327871413</v>
      </c>
      <c r="AZ19" s="40">
        <f t="shared" si="35"/>
        <v>100535.11591136269</v>
      </c>
      <c r="BA19" s="40">
        <f t="shared" si="35"/>
        <v>83404.612478537019</v>
      </c>
      <c r="BB19" s="40">
        <f t="shared" si="35"/>
        <v>102325.26596933044</v>
      </c>
      <c r="BC19" s="40">
        <f t="shared" si="35"/>
        <v>299682.65627149772</v>
      </c>
      <c r="BD19" s="40">
        <f t="shared" si="35"/>
        <v>144161.24149628216</v>
      </c>
      <c r="BE19" s="40">
        <f t="shared" si="35"/>
        <v>156318.97487304313</v>
      </c>
      <c r="BF19" s="40">
        <f t="shared" si="35"/>
        <v>124387.42986012949</v>
      </c>
      <c r="BG19" s="40">
        <f t="shared" si="35"/>
        <v>57150.600717793219</v>
      </c>
      <c r="BH19" s="40">
        <f t="shared" si="35"/>
        <v>70993.103094398044</v>
      </c>
      <c r="BI19" s="40">
        <f t="shared" si="39"/>
        <v>93819.25974588003</v>
      </c>
      <c r="BJ19" s="40">
        <f t="shared" si="39"/>
        <v>110243.30355026387</v>
      </c>
      <c r="BK19" s="40">
        <f t="shared" si="39"/>
        <v>89450.629168430809</v>
      </c>
      <c r="BL19" s="40">
        <f t="shared" si="39"/>
        <v>91863.0681956443</v>
      </c>
      <c r="BM19" s="40">
        <f t="shared" si="39"/>
        <v>88151.323813742027</v>
      </c>
      <c r="BN19" s="40">
        <f t="shared" si="39"/>
        <v>104162.98818963766</v>
      </c>
      <c r="BO19" s="40">
        <f t="shared" si="39"/>
        <v>308343.56301096734</v>
      </c>
      <c r="BP19" s="40">
        <f t="shared" si="39"/>
        <v>389558.52237852011</v>
      </c>
      <c r="BQ19" s="40">
        <f t="shared" si="39"/>
        <v>379493.64661458787</v>
      </c>
      <c r="BR19" s="40">
        <f t="shared" si="39"/>
        <v>301134.14407501183</v>
      </c>
      <c r="BS19" s="40">
        <f t="shared" si="39"/>
        <v>146683.94920108654</v>
      </c>
      <c r="BT19" s="40">
        <f t="shared" si="39"/>
        <v>167779.67330669891</v>
      </c>
      <c r="BU19" s="40">
        <f t="shared" si="39"/>
        <v>205867.5317989355</v>
      </c>
      <c r="BV19" s="40">
        <f t="shared" si="39"/>
        <v>215240.37317671906</v>
      </c>
      <c r="BW19" s="40">
        <f t="shared" si="39"/>
        <v>176659.49898523372</v>
      </c>
      <c r="BX19" s="40">
        <f t="shared" si="39"/>
        <v>172412.67197484616</v>
      </c>
      <c r="BY19" s="40">
        <f t="shared" si="39"/>
        <v>151232.42055278271</v>
      </c>
      <c r="BZ19" s="40">
        <f t="shared" si="39"/>
        <v>167199.38691917993</v>
      </c>
      <c r="CA19" s="40">
        <f t="shared" si="39"/>
        <v>14168.645954233594</v>
      </c>
      <c r="CB19" s="40">
        <f t="shared" si="39"/>
        <v>-48435.546837441623</v>
      </c>
      <c r="CC19" s="40">
        <f t="shared" si="39"/>
        <v>-47680.067645252682</v>
      </c>
      <c r="CD19" s="40">
        <f t="shared" si="39"/>
        <v>-19288.737756875344</v>
      </c>
      <c r="CE19" s="40">
        <f t="shared" si="39"/>
        <v>4111.7390406001359</v>
      </c>
      <c r="CF19" s="258">
        <v>9948.2583073999995</v>
      </c>
      <c r="CG19" s="258">
        <v>17400.358423221078</v>
      </c>
      <c r="CH19" s="258">
        <v>17926.867705604363</v>
      </c>
      <c r="CI19" s="258">
        <v>14469.686867559669</v>
      </c>
      <c r="CJ19" s="258">
        <v>10999.035320781961</v>
      </c>
      <c r="CK19" s="258">
        <v>3550.400018869419</v>
      </c>
      <c r="CL19" s="258">
        <v>-3527.100066114303</v>
      </c>
      <c r="CM19" s="258">
        <v>-37161.039187865033</v>
      </c>
      <c r="CN19" s="258">
        <v>-48435.546837441783</v>
      </c>
      <c r="CO19" s="258">
        <v>-47680.067645252188</v>
      </c>
      <c r="CP19" s="258">
        <v>-19288.737756875227</v>
      </c>
      <c r="CQ19" s="258">
        <v>4111.739040599381</v>
      </c>
      <c r="CR19" s="258">
        <v>9948.2583073999995</v>
      </c>
      <c r="CS19" s="258">
        <v>17400.358423221078</v>
      </c>
      <c r="CT19" s="258">
        <v>17926.867705604363</v>
      </c>
    </row>
    <row r="20" spans="1:98" x14ac:dyDescent="0.25">
      <c r="A20" s="30" t="s">
        <v>30</v>
      </c>
      <c r="B20" s="32"/>
      <c r="C20" s="32"/>
      <c r="D20" s="39">
        <f>SUM(D14:D19)</f>
        <v>0.71203150918887492</v>
      </c>
      <c r="E20" s="39">
        <f t="shared" ref="E20:AW20" si="40">SUM(E14:E19)</f>
        <v>4695.4207688607357</v>
      </c>
      <c r="F20" s="39">
        <f t="shared" si="40"/>
        <v>39935.570121927383</v>
      </c>
      <c r="G20" s="39">
        <f t="shared" si="40"/>
        <v>291676.37356246018</v>
      </c>
      <c r="H20" s="39">
        <f t="shared" si="40"/>
        <v>544866.33457860793</v>
      </c>
      <c r="I20" s="39">
        <f t="shared" si="40"/>
        <v>663040.9475663905</v>
      </c>
      <c r="J20" s="39">
        <f t="shared" si="40"/>
        <v>547744.67638274853</v>
      </c>
      <c r="K20" s="39">
        <f t="shared" si="40"/>
        <v>270067.89072131994</v>
      </c>
      <c r="L20" s="39">
        <f t="shared" si="40"/>
        <v>449448.83291898988</v>
      </c>
      <c r="M20" s="39">
        <f t="shared" si="40"/>
        <v>672384.11562352569</v>
      </c>
      <c r="N20" s="39">
        <f t="shared" si="40"/>
        <v>860299.05315340089</v>
      </c>
      <c r="O20" s="39">
        <f t="shared" si="40"/>
        <v>921069.68539476907</v>
      </c>
      <c r="P20" s="39">
        <f t="shared" si="40"/>
        <v>727242.36549864151</v>
      </c>
      <c r="Q20" s="39">
        <f t="shared" si="40"/>
        <v>330495.27100759087</v>
      </c>
      <c r="R20" s="39">
        <f t="shared" si="40"/>
        <v>448514.38010054693</v>
      </c>
      <c r="S20" s="39">
        <f t="shared" si="40"/>
        <v>1166466.8526526121</v>
      </c>
      <c r="T20" s="39">
        <f t="shared" si="40"/>
        <v>1596902.1714481555</v>
      </c>
      <c r="U20" s="39">
        <f t="shared" si="40"/>
        <v>1748272.4117888496</v>
      </c>
      <c r="V20" s="39">
        <f t="shared" si="40"/>
        <v>1519471.01623757</v>
      </c>
      <c r="W20" s="39">
        <f t="shared" si="40"/>
        <v>764880.45368540613</v>
      </c>
      <c r="X20" s="39">
        <f t="shared" si="40"/>
        <v>908807.65228987066</v>
      </c>
      <c r="Y20" s="39">
        <f t="shared" si="40"/>
        <v>1120062.856555779</v>
      </c>
      <c r="Z20" s="39">
        <f t="shared" si="40"/>
        <v>1377220.6643166305</v>
      </c>
      <c r="AA20" s="39">
        <f t="shared" si="40"/>
        <v>1195166.5723548159</v>
      </c>
      <c r="AB20" s="39">
        <f t="shared" si="40"/>
        <v>1300632.3993987509</v>
      </c>
      <c r="AC20" s="39">
        <f t="shared" si="40"/>
        <v>1205822.8207733985</v>
      </c>
      <c r="AD20" s="39">
        <f t="shared" si="40"/>
        <v>1472551.2785682736</v>
      </c>
      <c r="AE20" s="39">
        <f t="shared" si="40"/>
        <v>3602609.9103061217</v>
      </c>
      <c r="AF20" s="39">
        <f t="shared" si="40"/>
        <v>4524979.9029475963</v>
      </c>
      <c r="AG20" s="39">
        <f t="shared" si="40"/>
        <v>4557691.9623519126</v>
      </c>
      <c r="AH20" s="39">
        <f t="shared" si="40"/>
        <v>3395133.6257571932</v>
      </c>
      <c r="AI20" s="39">
        <f t="shared" si="40"/>
        <v>1618999.5517252118</v>
      </c>
      <c r="AJ20" s="39">
        <f t="shared" si="40"/>
        <v>1693340.1593012405</v>
      </c>
      <c r="AK20" s="39">
        <f t="shared" si="40"/>
        <v>2043834.5150522969</v>
      </c>
      <c r="AL20" s="39">
        <f t="shared" si="40"/>
        <v>2546894.0685010902</v>
      </c>
      <c r="AM20" s="39">
        <f t="shared" si="40"/>
        <v>2089616.4766016018</v>
      </c>
      <c r="AN20" s="39">
        <f t="shared" si="40"/>
        <v>912247.85076541675</v>
      </c>
      <c r="AO20" s="39">
        <f t="shared" si="40"/>
        <v>846334.21711913729</v>
      </c>
      <c r="AP20" s="39">
        <f t="shared" si="40"/>
        <v>1066637.678205363</v>
      </c>
      <c r="AQ20" s="39">
        <f t="shared" si="40"/>
        <v>2863352.6421243409</v>
      </c>
      <c r="AR20" s="39">
        <f t="shared" si="40"/>
        <v>3675557.523710967</v>
      </c>
      <c r="AS20" s="39">
        <f t="shared" si="40"/>
        <v>3342039.9312423691</v>
      </c>
      <c r="AT20" s="39">
        <f t="shared" si="40"/>
        <v>2373846.5851787962</v>
      </c>
      <c r="AU20" s="39">
        <f t="shared" si="40"/>
        <v>1051178.3111241481</v>
      </c>
      <c r="AV20" s="39">
        <f t="shared" ref="AV20" si="41">SUM(AV14:AV19)</f>
        <v>1105092.1759465141</v>
      </c>
      <c r="AW20" s="39">
        <f t="shared" si="40"/>
        <v>1381965.5186848878</v>
      </c>
      <c r="AX20" s="39">
        <f t="shared" ref="AX20:AY20" si="42">SUM(AX14:AX19)</f>
        <v>1700717.7639811411</v>
      </c>
      <c r="AY20" s="39">
        <f t="shared" si="42"/>
        <v>1356926.8590753335</v>
      </c>
      <c r="AZ20" s="39">
        <f t="shared" ref="AZ20:BA20" si="43">SUM(AZ14:AZ19)</f>
        <v>1353802.1905861669</v>
      </c>
      <c r="BA20" s="39">
        <f t="shared" si="43"/>
        <v>1239676.1204544338</v>
      </c>
      <c r="BB20" s="39">
        <f t="shared" ref="BB20:BC20" si="44">SUM(BB14:BB19)</f>
        <v>1628086.4160208032</v>
      </c>
      <c r="BC20" s="39">
        <f t="shared" si="44"/>
        <v>4511630.5078466395</v>
      </c>
      <c r="BD20" s="39">
        <f t="shared" ref="BD20:BE20" si="45">SUM(BD14:BD19)</f>
        <v>1051039.3753533266</v>
      </c>
      <c r="BE20" s="39">
        <f t="shared" si="45"/>
        <v>1133487.8662933947</v>
      </c>
      <c r="BF20" s="39">
        <f t="shared" ref="BF20:BG20" si="46">SUM(BF14:BF19)</f>
        <v>808760.63763167639</v>
      </c>
      <c r="BG20" s="39">
        <f t="shared" si="46"/>
        <v>375458.03446689073</v>
      </c>
      <c r="BH20" s="39">
        <f t="shared" ref="BH20:BI20" si="47">SUM(BH14:BH19)</f>
        <v>426692.32957000914</v>
      </c>
      <c r="BI20" s="39">
        <f t="shared" si="47"/>
        <v>579421.78363716719</v>
      </c>
      <c r="BJ20" s="39">
        <f t="shared" ref="BJ20:BK20" si="48">SUM(BJ14:BJ19)</f>
        <v>801605.52584873384</v>
      </c>
      <c r="BK20" s="39">
        <f t="shared" si="48"/>
        <v>596790.15800777823</v>
      </c>
      <c r="BL20" s="39">
        <f t="shared" ref="BL20:BM20" si="49">SUM(BL14:BL19)</f>
        <v>601738.66705846821</v>
      </c>
      <c r="BM20" s="39">
        <f t="shared" si="49"/>
        <v>554067.14924048469</v>
      </c>
      <c r="BN20" s="39">
        <f t="shared" ref="BN20:BO20" si="50">SUM(BN14:BN19)</f>
        <v>754375.92963655689</v>
      </c>
      <c r="BO20" s="39">
        <f t="shared" si="50"/>
        <v>2025351.8248758968</v>
      </c>
      <c r="BP20" s="39">
        <f t="shared" ref="BP20:BQ20" si="51">SUM(BP14:BP19)</f>
        <v>2625386.5745604574</v>
      </c>
      <c r="BQ20" s="39">
        <f t="shared" si="51"/>
        <v>2540999.4109809548</v>
      </c>
      <c r="BR20" s="39">
        <f t="shared" ref="BR20:BS20" si="52">SUM(BR14:BR19)</f>
        <v>1733783.3413791929</v>
      </c>
      <c r="BS20" s="39">
        <f t="shared" si="52"/>
        <v>755529.95697051473</v>
      </c>
      <c r="BT20" s="39">
        <f t="shared" ref="BT20:BU20" si="53">SUM(BT14:BT19)</f>
        <v>800386.7883500997</v>
      </c>
      <c r="BU20" s="39">
        <f t="shared" si="53"/>
        <v>1026238.810692295</v>
      </c>
      <c r="BV20" s="39">
        <f t="shared" ref="BV20:BW20" si="54">SUM(BV14:BV19)</f>
        <v>1231550.2114614553</v>
      </c>
      <c r="BW20" s="39">
        <f t="shared" si="54"/>
        <v>965580.38748209178</v>
      </c>
      <c r="BX20" s="39">
        <f t="shared" ref="BX20:BY20" si="55">SUM(BX14:BX19)</f>
        <v>943950.69423399284</v>
      </c>
      <c r="BY20" s="39">
        <f t="shared" si="55"/>
        <v>832657.91061831987</v>
      </c>
      <c r="BZ20" s="39">
        <f t="shared" ref="BZ20:CA20" si="56">SUM(BZ14:BZ19)</f>
        <v>1073282.4949379705</v>
      </c>
      <c r="CA20" s="39">
        <f t="shared" si="56"/>
        <v>275621.41704727127</v>
      </c>
      <c r="CB20" s="39">
        <f t="shared" ref="CB20:CC20" si="57">SUM(CB14:CB19)</f>
        <v>346705.76946718805</v>
      </c>
      <c r="CC20" s="39">
        <f t="shared" si="57"/>
        <v>320216.89179785782</v>
      </c>
      <c r="CD20" s="39">
        <f t="shared" ref="CD20:CE20" si="58">SUM(CD14:CD19)</f>
        <v>203766.77594898478</v>
      </c>
      <c r="CE20" s="39">
        <f t="shared" si="58"/>
        <v>87613.126650978345</v>
      </c>
      <c r="CF20" s="39">
        <f t="shared" ref="CF20:CG20" si="59">SUM(CF14:CF19)</f>
        <v>87440.554442982291</v>
      </c>
      <c r="CG20" s="39">
        <f t="shared" si="59"/>
        <v>106803.58051463941</v>
      </c>
      <c r="CH20" s="39">
        <f t="shared" ref="CH20:CI20" si="60">SUM(CH14:CH19)</f>
        <v>109740.14329615334</v>
      </c>
      <c r="CI20" s="39">
        <f t="shared" si="60"/>
        <v>90251.712610174261</v>
      </c>
      <c r="CJ20" s="39">
        <f t="shared" ref="CJ20:CK20" si="61">SUM(CJ14:CJ19)</f>
        <v>90152.429165050824</v>
      </c>
      <c r="CK20" s="39">
        <f t="shared" si="61"/>
        <v>75888.074140667086</v>
      </c>
      <c r="CL20" s="39">
        <f t="shared" ref="CL20:CM20" si="62">SUM(CL14:CL19)</f>
        <v>102090.1322010204</v>
      </c>
      <c r="CM20" s="39">
        <f t="shared" si="62"/>
        <v>273600.27538346616</v>
      </c>
      <c r="CN20" s="39">
        <f t="shared" ref="CN20:CO20" si="63">SUM(CN14:CN19)</f>
        <v>346705.76946718508</v>
      </c>
      <c r="CO20" s="39">
        <f t="shared" si="63"/>
        <v>320216.89179787121</v>
      </c>
      <c r="CP20" s="39">
        <f t="shared" ref="CP20:CQ20" si="64">SUM(CP14:CP19)</f>
        <v>203766.77594898126</v>
      </c>
      <c r="CQ20" s="39">
        <f t="shared" si="64"/>
        <v>87613.126650972845</v>
      </c>
      <c r="CR20" s="39">
        <f t="shared" ref="CR20:CS20" si="65">SUM(CR14:CR19)</f>
        <v>87440.554442982291</v>
      </c>
      <c r="CS20" s="39">
        <f t="shared" si="65"/>
        <v>106803.58051463941</v>
      </c>
      <c r="CT20" s="39">
        <f t="shared" ref="CT20" si="66">SUM(CT14:CT19)</f>
        <v>109740.14329615334</v>
      </c>
    </row>
    <row r="21" spans="1:98" x14ac:dyDescent="0.25">
      <c r="A21" s="30"/>
      <c r="B21" s="32"/>
      <c r="C21" s="32"/>
    </row>
    <row r="22" spans="1:98" x14ac:dyDescent="0.25">
      <c r="A22" s="24" t="s">
        <v>31</v>
      </c>
      <c r="B22" s="32"/>
      <c r="C22" s="32"/>
      <c r="CF22" s="259" t="s">
        <v>143</v>
      </c>
      <c r="CG22" s="260"/>
    </row>
    <row r="23" spans="1:98" x14ac:dyDescent="0.25">
      <c r="A23" t="s">
        <v>32</v>
      </c>
      <c r="B23" s="32"/>
      <c r="C23" s="32"/>
      <c r="D23" s="38">
        <v>1268128455</v>
      </c>
      <c r="E23" s="38">
        <v>872933544</v>
      </c>
      <c r="F23" s="38">
        <v>738196558</v>
      </c>
      <c r="G23" s="38">
        <v>978975302</v>
      </c>
      <c r="H23" s="38">
        <v>1243909773</v>
      </c>
      <c r="I23" s="38">
        <v>1310015315</v>
      </c>
      <c r="J23" s="38">
        <v>1208033233</v>
      </c>
      <c r="K23" s="94">
        <v>993546162</v>
      </c>
      <c r="L23" s="38">
        <v>897156231</v>
      </c>
      <c r="M23" s="38">
        <v>1208147189</v>
      </c>
      <c r="N23" s="38">
        <v>1334184680</v>
      </c>
      <c r="O23" s="38">
        <v>1302694951</v>
      </c>
      <c r="P23" s="38">
        <v>1123586700</v>
      </c>
      <c r="Q23" s="38">
        <v>886578697</v>
      </c>
      <c r="R23" s="38">
        <v>790098101</v>
      </c>
      <c r="S23" s="38">
        <v>1041013964</v>
      </c>
      <c r="T23" s="38">
        <v>1397050553</v>
      </c>
      <c r="U23" s="38">
        <v>1310723723</v>
      </c>
      <c r="V23" s="38">
        <v>1275164339</v>
      </c>
      <c r="W23" s="38">
        <v>800796996</v>
      </c>
      <c r="X23" s="38">
        <v>856955103</v>
      </c>
      <c r="Y23" s="38">
        <v>1137867523</v>
      </c>
      <c r="Z23" s="38">
        <v>1482496943</v>
      </c>
      <c r="AA23" s="38">
        <v>1507047480</v>
      </c>
      <c r="AB23" s="38">
        <v>1193201650</v>
      </c>
      <c r="AC23" s="38">
        <v>803567941</v>
      </c>
      <c r="AD23" s="38">
        <v>753161249</v>
      </c>
      <c r="AE23" s="38">
        <v>1061485022</v>
      </c>
      <c r="AF23" s="38">
        <v>1299384453</v>
      </c>
      <c r="AG23" s="38">
        <v>1325635096</v>
      </c>
      <c r="AH23" s="38">
        <v>1302322503</v>
      </c>
      <c r="AI23" s="38">
        <v>902367562</v>
      </c>
      <c r="AJ23" s="38">
        <v>849229853</v>
      </c>
      <c r="AK23" s="38">
        <v>1063566547</v>
      </c>
      <c r="AL23" s="38">
        <v>1372451320</v>
      </c>
      <c r="AM23" s="38">
        <v>1445914846</v>
      </c>
      <c r="AN23" s="38">
        <v>1156058653</v>
      </c>
      <c r="AO23" s="38">
        <v>900363528</v>
      </c>
      <c r="AP23" s="38">
        <v>837159184</v>
      </c>
      <c r="AQ23" s="38">
        <v>1060197293</v>
      </c>
      <c r="AR23" s="38">
        <v>1457350528</v>
      </c>
      <c r="AS23" s="38">
        <v>1390553772</v>
      </c>
      <c r="AT23" s="38">
        <v>1159635260</v>
      </c>
      <c r="AU23" s="38">
        <v>837049627</v>
      </c>
      <c r="AV23" s="38">
        <v>795371527</v>
      </c>
      <c r="AW23" s="38">
        <v>1056098740.4689</v>
      </c>
      <c r="AX23" s="38">
        <v>1465026007</v>
      </c>
      <c r="AY23" s="38">
        <v>1251994199</v>
      </c>
      <c r="AZ23" s="38">
        <v>1034539781</v>
      </c>
      <c r="BA23" s="38">
        <v>890081676</v>
      </c>
      <c r="BB23" s="38">
        <v>758154085</v>
      </c>
      <c r="BC23" s="38">
        <v>977251664</v>
      </c>
      <c r="BD23" s="38">
        <v>1278057997</v>
      </c>
      <c r="BE23" s="38">
        <v>1318572650</v>
      </c>
      <c r="BF23" s="38">
        <v>1220075915</v>
      </c>
      <c r="BG23" s="38">
        <v>887307993</v>
      </c>
      <c r="BH23" s="38">
        <v>778350513.42400002</v>
      </c>
      <c r="BI23" s="38">
        <v>1086671129</v>
      </c>
      <c r="BJ23" s="38">
        <v>1422169141</v>
      </c>
      <c r="BK23" s="38">
        <v>1336981468</v>
      </c>
      <c r="BL23" s="38">
        <v>926412440</v>
      </c>
      <c r="BM23" s="38">
        <v>848897331</v>
      </c>
      <c r="BN23" s="38">
        <v>766903433</v>
      </c>
      <c r="BO23" s="38">
        <v>1042127801</v>
      </c>
      <c r="BP23" s="38">
        <v>1392030781</v>
      </c>
      <c r="BQ23" s="38">
        <v>1268811473</v>
      </c>
      <c r="BR23" s="38">
        <v>1204491382</v>
      </c>
      <c r="BS23" s="38">
        <v>881094739</v>
      </c>
      <c r="BT23" s="38">
        <v>727839367</v>
      </c>
      <c r="BU23" s="38">
        <v>1131172162</v>
      </c>
      <c r="BV23" s="38">
        <v>1519085073</v>
      </c>
      <c r="BW23" s="38">
        <v>1469680772</v>
      </c>
      <c r="BX23" s="38">
        <v>1182786264</v>
      </c>
      <c r="BY23" s="38">
        <v>792914133</v>
      </c>
      <c r="BZ23" s="38">
        <v>741131906</v>
      </c>
      <c r="CA23" s="38">
        <v>902805020</v>
      </c>
      <c r="CB23" s="38">
        <v>1422740932</v>
      </c>
      <c r="CC23" s="38">
        <v>1467241325</v>
      </c>
      <c r="CD23" s="38">
        <v>1164098928</v>
      </c>
      <c r="CE23" s="38">
        <v>953236301</v>
      </c>
      <c r="CF23" s="261">
        <f>'[2]PPC.1, PCR.2F, EO.5'!B27</f>
        <v>934691409.66474664</v>
      </c>
      <c r="CG23" s="261">
        <f>'[2]PPC.1, PCR.2F, EO.5'!C27</f>
        <v>1172004013.6804736</v>
      </c>
      <c r="CH23" s="261">
        <f>'[2]PPC.1, PCR.2F, EO.5'!D27</f>
        <v>1501280534.9402111</v>
      </c>
      <c r="CI23" s="261">
        <f>'[2]PPC.1, PCR.2F, EO.5'!E27</f>
        <v>1229492845.5535142</v>
      </c>
      <c r="CJ23" s="261">
        <f>'[2]PPC.1, PCR.2F, EO.5'!F27</f>
        <v>1055841056.4788648</v>
      </c>
      <c r="CK23" s="261">
        <f>'[2]PPC.1, PCR.2F, EO.5'!G27</f>
        <v>782160106.46270216</v>
      </c>
      <c r="CL23" s="261">
        <f>'[2]PPC.1, PCR.2F, EO.5'!H27</f>
        <v>808422808.60364091</v>
      </c>
      <c r="CM23" s="261">
        <f>'[2]PPC.1, PCR.2F, EO.5'!I27</f>
        <v>1138736144.245827</v>
      </c>
      <c r="CN23" s="261">
        <f>'[2]PPC.1, PCR.2F, EO.5'!J27</f>
        <v>1365029337.8153753</v>
      </c>
      <c r="CO23" s="261">
        <f>'[2]PPC.1, PCR.2F, EO.5'!K27</f>
        <v>1309003114.2814729</v>
      </c>
      <c r="CP23" s="261">
        <f>'[2]PPC.1, PCR.2F, EO.5'!L27</f>
        <v>887344499.20834303</v>
      </c>
      <c r="CQ23" s="261">
        <f>'[2]PPC.1, PCR.2F, EO.5'!M27</f>
        <v>724028085.19755471</v>
      </c>
      <c r="CR23" s="261">
        <f>'[2]PPC.1, PCR.2F, EO.5'!N27</f>
        <v>965743639.04302931</v>
      </c>
      <c r="CS23" s="261">
        <f>'[2]PPC.1, PCR.2F, EO.5'!O27</f>
        <v>1382595622.7453718</v>
      </c>
      <c r="CT23" s="261">
        <f>'[2]PPC.1, PCR.2F, EO.5'!P27</f>
        <v>1415185124.8536115</v>
      </c>
    </row>
    <row r="24" spans="1:98" x14ac:dyDescent="0.25">
      <c r="A24" t="s">
        <v>33</v>
      </c>
      <c r="B24" s="32"/>
      <c r="C24" s="32"/>
      <c r="D24" s="38">
        <v>290178959</v>
      </c>
      <c r="E24" s="38">
        <v>235096003</v>
      </c>
      <c r="F24" s="38">
        <v>221772499</v>
      </c>
      <c r="G24" s="38">
        <v>258735845</v>
      </c>
      <c r="H24" s="38">
        <v>295975497</v>
      </c>
      <c r="I24" s="38">
        <v>304175879</v>
      </c>
      <c r="J24" s="38">
        <v>293549572</v>
      </c>
      <c r="K24" s="94">
        <v>264736629</v>
      </c>
      <c r="L24" s="38">
        <v>237145043</v>
      </c>
      <c r="M24" s="38">
        <v>278572550</v>
      </c>
      <c r="N24" s="38">
        <v>297050898</v>
      </c>
      <c r="O24" s="38">
        <v>290934660</v>
      </c>
      <c r="P24" s="38">
        <v>265078600</v>
      </c>
      <c r="Q24" s="38">
        <v>203506574</v>
      </c>
      <c r="R24" s="38">
        <v>184563246</v>
      </c>
      <c r="S24" s="38">
        <v>231230759</v>
      </c>
      <c r="T24" s="38">
        <v>288425422</v>
      </c>
      <c r="U24" s="38">
        <v>281389691</v>
      </c>
      <c r="V24" s="38">
        <v>269111017</v>
      </c>
      <c r="W24" s="38">
        <v>218212399</v>
      </c>
      <c r="X24" s="38">
        <v>218068919</v>
      </c>
      <c r="Y24" s="38">
        <v>251883126</v>
      </c>
      <c r="Z24" s="38">
        <v>300425840</v>
      </c>
      <c r="AA24" s="38">
        <v>303577891</v>
      </c>
      <c r="AB24" s="38">
        <v>265359424</v>
      </c>
      <c r="AC24" s="38">
        <v>211100441</v>
      </c>
      <c r="AD24" s="38">
        <v>205986967</v>
      </c>
      <c r="AE24" s="38">
        <v>264522271</v>
      </c>
      <c r="AF24" s="38">
        <v>291815734</v>
      </c>
      <c r="AG24" s="38">
        <v>291413887</v>
      </c>
      <c r="AH24" s="38">
        <v>294374400</v>
      </c>
      <c r="AI24" s="38">
        <v>245524134</v>
      </c>
      <c r="AJ24" s="38">
        <v>219607166</v>
      </c>
      <c r="AK24" s="38">
        <v>250466096</v>
      </c>
      <c r="AL24" s="38">
        <v>295383726</v>
      </c>
      <c r="AM24" s="38">
        <v>301077290</v>
      </c>
      <c r="AN24" s="38">
        <v>261058604</v>
      </c>
      <c r="AO24" s="38">
        <v>230949228</v>
      </c>
      <c r="AP24" s="38">
        <v>223998788</v>
      </c>
      <c r="AQ24" s="38">
        <v>260692423</v>
      </c>
      <c r="AR24" s="38">
        <v>312328749</v>
      </c>
      <c r="AS24" s="38">
        <v>305346654</v>
      </c>
      <c r="AT24" s="38">
        <v>279929276</v>
      </c>
      <c r="AU24" s="38">
        <v>230143220</v>
      </c>
      <c r="AV24" s="38">
        <v>219390300</v>
      </c>
      <c r="AW24" s="38">
        <v>274277285</v>
      </c>
      <c r="AX24" s="38">
        <v>313843493</v>
      </c>
      <c r="AY24" s="38">
        <v>275065920</v>
      </c>
      <c r="AZ24" s="38">
        <v>246366200</v>
      </c>
      <c r="BA24" s="38">
        <v>226379912</v>
      </c>
      <c r="BB24" s="38">
        <v>209000108</v>
      </c>
      <c r="BC24" s="38">
        <v>251344146</v>
      </c>
      <c r="BD24" s="38">
        <v>291402974</v>
      </c>
      <c r="BE24" s="38">
        <v>297748759</v>
      </c>
      <c r="BF24" s="38">
        <v>290701055</v>
      </c>
      <c r="BG24" s="38">
        <v>244186013</v>
      </c>
      <c r="BH24" s="38">
        <v>224485019</v>
      </c>
      <c r="BI24" s="38">
        <v>258087459</v>
      </c>
      <c r="BJ24" s="38">
        <v>311334710</v>
      </c>
      <c r="BK24" s="38">
        <v>292542260</v>
      </c>
      <c r="BL24" s="38">
        <v>235940797</v>
      </c>
      <c r="BM24" s="38">
        <v>229085910</v>
      </c>
      <c r="BN24" s="38">
        <v>218207531</v>
      </c>
      <c r="BO24" s="38">
        <v>266604752</v>
      </c>
      <c r="BP24" s="38">
        <v>318705410</v>
      </c>
      <c r="BQ24" s="38">
        <v>299140757</v>
      </c>
      <c r="BR24" s="38">
        <v>291256399</v>
      </c>
      <c r="BS24" s="38">
        <v>245729806</v>
      </c>
      <c r="BT24" s="38">
        <v>220132712</v>
      </c>
      <c r="BU24" s="38">
        <v>269383405</v>
      </c>
      <c r="BV24" s="38">
        <v>326375475</v>
      </c>
      <c r="BW24" s="38">
        <v>314016169</v>
      </c>
      <c r="BX24" s="38">
        <v>275429142</v>
      </c>
      <c r="BY24" s="38">
        <v>217486182</v>
      </c>
      <c r="BZ24" s="38">
        <v>214202707</v>
      </c>
      <c r="CA24" s="38">
        <v>247031646</v>
      </c>
      <c r="CB24" s="38">
        <v>326672425</v>
      </c>
      <c r="CC24" s="38">
        <v>319059845</v>
      </c>
      <c r="CD24" s="38">
        <v>290372246</v>
      </c>
      <c r="CE24" s="38">
        <v>257719313</v>
      </c>
      <c r="CF24" s="261">
        <f>'[2]PPC.1, PCR.2F, EO.5'!B28</f>
        <v>221002259.01149774</v>
      </c>
      <c r="CG24" s="261">
        <f>'[2]PPC.1, PCR.2F, EO.5'!C28</f>
        <v>273131062.94405389</v>
      </c>
      <c r="CH24" s="261">
        <f>'[2]PPC.1, PCR.2F, EO.5'!D28</f>
        <v>305607376.55643886</v>
      </c>
      <c r="CI24" s="261">
        <f>'[2]PPC.1, PCR.2F, EO.5'!E28</f>
        <v>267588488.0846718</v>
      </c>
      <c r="CJ24" s="261">
        <f>'[2]PPC.1, PCR.2F, EO.5'!F28</f>
        <v>249244473.51618513</v>
      </c>
      <c r="CK24" s="261">
        <f>'[2]PPC.1, PCR.2F, EO.5'!G28</f>
        <v>220407039.52407867</v>
      </c>
      <c r="CL24" s="261">
        <f>'[2]PPC.1, PCR.2F, EO.5'!H28</f>
        <v>235148961.40706077</v>
      </c>
      <c r="CM24" s="261">
        <f>'[2]PPC.1, PCR.2F, EO.5'!I28</f>
        <v>265150781.4668892</v>
      </c>
      <c r="CN24" s="261">
        <f>'[2]PPC.1, PCR.2F, EO.5'!J28</f>
        <v>301490667.39570183</v>
      </c>
      <c r="CO24" s="261">
        <f>'[2]PPC.1, PCR.2F, EO.5'!K28</f>
        <v>296938882.8489812</v>
      </c>
      <c r="CP24" s="261">
        <f>'[2]PPC.1, PCR.2F, EO.5'!L28</f>
        <v>249340706.45416617</v>
      </c>
      <c r="CQ24" s="261">
        <f>'[2]PPC.1, PCR.2F, EO.5'!M28</f>
        <v>211125845.92878258</v>
      </c>
      <c r="CR24" s="261">
        <f>'[2]PPC.1, PCR.2F, EO.5'!N28</f>
        <v>222444969.71227011</v>
      </c>
      <c r="CS24" s="261">
        <f>'[2]PPC.1, PCR.2F, EO.5'!O28</f>
        <v>273508394.59864038</v>
      </c>
      <c r="CT24" s="261">
        <f>'[2]PPC.1, PCR.2F, EO.5'!P28</f>
        <v>303763193.76725805</v>
      </c>
    </row>
    <row r="25" spans="1:98" x14ac:dyDescent="0.25">
      <c r="A25" t="s">
        <v>34</v>
      </c>
      <c r="B25" s="32"/>
      <c r="C25" s="32"/>
      <c r="D25" s="38">
        <v>599641261</v>
      </c>
      <c r="E25" s="38">
        <v>546450417</v>
      </c>
      <c r="F25" s="38">
        <v>548775486</v>
      </c>
      <c r="G25" s="38">
        <v>609609142</v>
      </c>
      <c r="H25" s="38">
        <v>656813642</v>
      </c>
      <c r="I25" s="38">
        <v>671886437</v>
      </c>
      <c r="J25" s="38">
        <v>678219627</v>
      </c>
      <c r="K25" s="94">
        <v>622550219</v>
      </c>
      <c r="L25" s="38">
        <v>549600433</v>
      </c>
      <c r="M25" s="38">
        <v>596432225</v>
      </c>
      <c r="N25" s="38">
        <v>616923082</v>
      </c>
      <c r="O25" s="38">
        <v>599527620</v>
      </c>
      <c r="P25" s="38">
        <v>566693954</v>
      </c>
      <c r="Q25" s="38">
        <v>483801855</v>
      </c>
      <c r="R25" s="38">
        <v>451939609</v>
      </c>
      <c r="S25" s="38">
        <v>534583835</v>
      </c>
      <c r="T25" s="38">
        <v>624356693</v>
      </c>
      <c r="U25" s="38">
        <v>621885740</v>
      </c>
      <c r="V25" s="38">
        <v>619148163</v>
      </c>
      <c r="W25" s="38">
        <v>528448107.69999999</v>
      </c>
      <c r="X25" s="38">
        <v>514648084</v>
      </c>
      <c r="Y25" s="38">
        <v>553120787</v>
      </c>
      <c r="Z25" s="38">
        <v>592823385</v>
      </c>
      <c r="AA25" s="38">
        <v>585712392</v>
      </c>
      <c r="AB25" s="38">
        <v>543642088</v>
      </c>
      <c r="AC25" s="38">
        <v>483262229</v>
      </c>
      <c r="AD25" s="38">
        <v>492375125.19999999</v>
      </c>
      <c r="AE25" s="38">
        <v>586671915</v>
      </c>
      <c r="AF25" s="38">
        <v>641235470</v>
      </c>
      <c r="AG25" s="38">
        <v>634777638</v>
      </c>
      <c r="AH25" s="38">
        <v>647017474</v>
      </c>
      <c r="AI25" s="38">
        <v>568724491</v>
      </c>
      <c r="AJ25" s="38">
        <v>505304455</v>
      </c>
      <c r="AK25" s="38">
        <v>555282313.60000002</v>
      </c>
      <c r="AL25" s="38">
        <v>590675076</v>
      </c>
      <c r="AM25" s="38">
        <v>582248455</v>
      </c>
      <c r="AN25" s="38">
        <v>534070902</v>
      </c>
      <c r="AO25" s="38">
        <v>506459043</v>
      </c>
      <c r="AP25" s="38">
        <v>516003997</v>
      </c>
      <c r="AQ25" s="38">
        <v>579943536</v>
      </c>
      <c r="AR25" s="38">
        <v>650768443</v>
      </c>
      <c r="AS25" s="38">
        <v>645110540</v>
      </c>
      <c r="AT25" s="38">
        <v>617464584</v>
      </c>
      <c r="AU25" s="38">
        <v>530232061</v>
      </c>
      <c r="AV25" s="38">
        <v>516180366</v>
      </c>
      <c r="AW25" s="38">
        <v>573339069</v>
      </c>
      <c r="AX25" s="38">
        <v>603008465</v>
      </c>
      <c r="AY25" s="38">
        <v>535848689</v>
      </c>
      <c r="AZ25" s="38">
        <v>513226736</v>
      </c>
      <c r="BA25" s="38">
        <v>490211820</v>
      </c>
      <c r="BB25" s="38">
        <v>487205076</v>
      </c>
      <c r="BC25" s="38">
        <v>550130655</v>
      </c>
      <c r="BD25" s="38">
        <v>592309179</v>
      </c>
      <c r="BE25" s="38">
        <v>613854730</v>
      </c>
      <c r="BF25" s="38">
        <v>614247424</v>
      </c>
      <c r="BG25" s="38">
        <v>540155873</v>
      </c>
      <c r="BH25" s="38">
        <v>496155566</v>
      </c>
      <c r="BI25" s="38">
        <v>533840032</v>
      </c>
      <c r="BJ25" s="38">
        <v>585074116</v>
      </c>
      <c r="BK25" s="38">
        <v>530212754</v>
      </c>
      <c r="BL25" s="38">
        <v>493196594</v>
      </c>
      <c r="BM25" s="38">
        <v>492216077</v>
      </c>
      <c r="BN25" s="38">
        <v>494860364</v>
      </c>
      <c r="BO25" s="38">
        <v>560458750</v>
      </c>
      <c r="BP25" s="38">
        <v>632894485</v>
      </c>
      <c r="BQ25" s="38">
        <v>593928493</v>
      </c>
      <c r="BR25" s="38">
        <v>594218359</v>
      </c>
      <c r="BS25" s="38">
        <v>530006142</v>
      </c>
      <c r="BT25" s="38">
        <v>484337466</v>
      </c>
      <c r="BU25" s="38">
        <v>530040478</v>
      </c>
      <c r="BV25" s="38">
        <v>581934696</v>
      </c>
      <c r="BW25" s="38">
        <v>550353259</v>
      </c>
      <c r="BX25" s="38">
        <v>533380318</v>
      </c>
      <c r="BY25" s="38">
        <v>458966865</v>
      </c>
      <c r="BZ25" s="38">
        <v>489395552</v>
      </c>
      <c r="CA25" s="38">
        <v>531587343</v>
      </c>
      <c r="CB25" s="38">
        <v>647796117</v>
      </c>
      <c r="CC25" s="38">
        <v>637875394</v>
      </c>
      <c r="CD25" s="38">
        <v>588890325</v>
      </c>
      <c r="CE25" s="38">
        <v>552757461</v>
      </c>
      <c r="CF25" s="261">
        <f>'[2]PPC.1, PCR.2F, EO.5'!B29</f>
        <v>514849246.9053455</v>
      </c>
      <c r="CG25" s="261">
        <f>'[2]PPC.1, PCR.2F, EO.5'!C29</f>
        <v>555246232.23021936</v>
      </c>
      <c r="CH25" s="261">
        <f>'[2]PPC.1, PCR.2F, EO.5'!D29</f>
        <v>569470005.798172</v>
      </c>
      <c r="CI25" s="261">
        <f>'[2]PPC.1, PCR.2F, EO.5'!E29</f>
        <v>513339293.13988298</v>
      </c>
      <c r="CJ25" s="261">
        <f>'[2]PPC.1, PCR.2F, EO.5'!F29</f>
        <v>529773957.10116965</v>
      </c>
      <c r="CK25" s="261">
        <f>'[2]PPC.1, PCR.2F, EO.5'!G29</f>
        <v>498074378.57082307</v>
      </c>
      <c r="CL25" s="261">
        <f>'[2]PPC.1, PCR.2F, EO.5'!H29</f>
        <v>546830054.36345434</v>
      </c>
      <c r="CM25" s="261">
        <f>'[2]PPC.1, PCR.2F, EO.5'!I29</f>
        <v>587831042.81094801</v>
      </c>
      <c r="CN25" s="261">
        <f>'[2]PPC.1, PCR.2F, EO.5'!J29</f>
        <v>645414823.62084246</v>
      </c>
      <c r="CO25" s="261">
        <f>'[2]PPC.1, PCR.2F, EO.5'!K29</f>
        <v>645343124.9017036</v>
      </c>
      <c r="CP25" s="261">
        <f>'[2]PPC.1, PCR.2F, EO.5'!L29</f>
        <v>568043556.04628742</v>
      </c>
      <c r="CQ25" s="261">
        <f>'[2]PPC.1, PCR.2F, EO.5'!M29</f>
        <v>522887907.84986055</v>
      </c>
      <c r="CR25" s="261">
        <f>'[2]PPC.1, PCR.2F, EO.5'!N29</f>
        <v>518531056.28073186</v>
      </c>
      <c r="CS25" s="261">
        <f>'[2]PPC.1, PCR.2F, EO.5'!O29</f>
        <v>552297998.54118049</v>
      </c>
      <c r="CT25" s="261">
        <f>'[2]PPC.1, PCR.2F, EO.5'!P29</f>
        <v>567177592.63575089</v>
      </c>
    </row>
    <row r="26" spans="1:98" x14ac:dyDescent="0.25">
      <c r="A26" t="s">
        <v>35</v>
      </c>
      <c r="B26" s="32"/>
      <c r="C26" s="32"/>
      <c r="D26" s="38">
        <v>242499726</v>
      </c>
      <c r="E26" s="38">
        <v>232539680</v>
      </c>
      <c r="F26" s="38">
        <v>229224298</v>
      </c>
      <c r="G26" s="38">
        <v>266349220</v>
      </c>
      <c r="H26" s="38">
        <v>267674678</v>
      </c>
      <c r="I26" s="38">
        <v>281003685</v>
      </c>
      <c r="J26" s="38">
        <v>279302255</v>
      </c>
      <c r="K26" s="94">
        <v>258807768</v>
      </c>
      <c r="L26" s="38">
        <v>239334214</v>
      </c>
      <c r="M26" s="38">
        <v>241025466</v>
      </c>
      <c r="N26" s="38">
        <v>247898204</v>
      </c>
      <c r="O26" s="38">
        <v>255420215</v>
      </c>
      <c r="P26" s="38">
        <v>225135566</v>
      </c>
      <c r="Q26" s="38">
        <v>219961316</v>
      </c>
      <c r="R26" s="38">
        <v>207074154</v>
      </c>
      <c r="S26" s="38">
        <v>241165089</v>
      </c>
      <c r="T26" s="38">
        <v>253833450</v>
      </c>
      <c r="U26" s="38">
        <v>266058831</v>
      </c>
      <c r="V26" s="38">
        <v>266126792</v>
      </c>
      <c r="W26" s="38">
        <v>236673642.40000001</v>
      </c>
      <c r="X26" s="38">
        <v>234876378</v>
      </c>
      <c r="Y26" s="38">
        <v>245759481</v>
      </c>
      <c r="Z26" s="38">
        <v>241302585</v>
      </c>
      <c r="AA26" s="38">
        <v>254211213</v>
      </c>
      <c r="AB26" s="38">
        <v>216207694</v>
      </c>
      <c r="AC26" s="38">
        <v>214809052</v>
      </c>
      <c r="AD26" s="38">
        <v>221576502.5</v>
      </c>
      <c r="AE26" s="38">
        <v>232417188</v>
      </c>
      <c r="AF26" s="38">
        <v>286577542</v>
      </c>
      <c r="AG26" s="38">
        <v>263115351</v>
      </c>
      <c r="AH26" s="38">
        <v>266455046</v>
      </c>
      <c r="AI26" s="38">
        <v>230080105</v>
      </c>
      <c r="AJ26" s="38">
        <v>200697530</v>
      </c>
      <c r="AK26" s="38">
        <v>269908616.5</v>
      </c>
      <c r="AL26" s="38">
        <v>254759231</v>
      </c>
      <c r="AM26" s="38">
        <v>236605471</v>
      </c>
      <c r="AN26" s="38">
        <v>220600472</v>
      </c>
      <c r="AO26" s="38">
        <v>227017145</v>
      </c>
      <c r="AP26" s="38">
        <v>225997805</v>
      </c>
      <c r="AQ26" s="38">
        <v>251076328</v>
      </c>
      <c r="AR26" s="38">
        <v>267504084</v>
      </c>
      <c r="AS26" s="38">
        <v>272015339</v>
      </c>
      <c r="AT26" s="38">
        <v>258297228</v>
      </c>
      <c r="AU26" s="38">
        <v>229178636</v>
      </c>
      <c r="AV26" s="38">
        <v>231438770</v>
      </c>
      <c r="AW26" s="38">
        <v>241377872</v>
      </c>
      <c r="AX26" s="38">
        <v>231408894</v>
      </c>
      <c r="AY26" s="38">
        <v>221649717</v>
      </c>
      <c r="AZ26" s="38">
        <v>205003755</v>
      </c>
      <c r="BA26" s="38">
        <v>219436038</v>
      </c>
      <c r="BB26" s="38">
        <v>219271209</v>
      </c>
      <c r="BC26" s="38">
        <v>232550715</v>
      </c>
      <c r="BD26" s="38">
        <v>235130742</v>
      </c>
      <c r="BE26" s="38">
        <v>262292552</v>
      </c>
      <c r="BF26" s="38">
        <v>254203699</v>
      </c>
      <c r="BG26" s="38">
        <v>220702925</v>
      </c>
      <c r="BH26" s="38">
        <v>219441539</v>
      </c>
      <c r="BI26" s="38">
        <v>218534163</v>
      </c>
      <c r="BJ26" s="38">
        <v>232541184</v>
      </c>
      <c r="BK26" s="38">
        <v>222844092</v>
      </c>
      <c r="BL26" s="38">
        <v>216520104</v>
      </c>
      <c r="BM26" s="38">
        <v>207628128</v>
      </c>
      <c r="BN26" s="38">
        <v>217699925</v>
      </c>
      <c r="BO26" s="38">
        <v>237346838</v>
      </c>
      <c r="BP26" s="38">
        <v>254880958</v>
      </c>
      <c r="BQ26" s="38">
        <v>240871472</v>
      </c>
      <c r="BR26" s="38">
        <v>236345293</v>
      </c>
      <c r="BS26" s="38">
        <v>231951126</v>
      </c>
      <c r="BT26" s="38">
        <v>205207715</v>
      </c>
      <c r="BU26" s="38">
        <v>216523463</v>
      </c>
      <c r="BV26" s="38">
        <v>224894811</v>
      </c>
      <c r="BW26" s="38">
        <v>222106948</v>
      </c>
      <c r="BX26" s="38">
        <v>217652060</v>
      </c>
      <c r="BY26" s="38">
        <v>210949305</v>
      </c>
      <c r="BZ26" s="38">
        <v>219397939</v>
      </c>
      <c r="CA26" s="38">
        <v>219693106</v>
      </c>
      <c r="CB26" s="38">
        <v>268022650</v>
      </c>
      <c r="CC26" s="38">
        <v>239135808</v>
      </c>
      <c r="CD26" s="38">
        <v>238267860</v>
      </c>
      <c r="CE26" s="38">
        <v>239527440</v>
      </c>
      <c r="CF26" s="261">
        <f>'[2]PPC.1, PCR.2F, EO.5'!B30</f>
        <v>214431320.95015869</v>
      </c>
      <c r="CG26" s="261">
        <f>'[2]PPC.1, PCR.2F, EO.5'!C30</f>
        <v>217384853.68146685</v>
      </c>
      <c r="CH26" s="261">
        <f>'[2]PPC.1, PCR.2F, EO.5'!D30</f>
        <v>230347096.50209251</v>
      </c>
      <c r="CI26" s="261">
        <f>'[2]PPC.1, PCR.2F, EO.5'!E30</f>
        <v>214489729.15033561</v>
      </c>
      <c r="CJ26" s="261">
        <f>'[2]PPC.1, PCR.2F, EO.5'!F30</f>
        <v>221162258.07722431</v>
      </c>
      <c r="CK26" s="261">
        <f>'[2]PPC.1, PCR.2F, EO.5'!G30</f>
        <v>215629113.92205966</v>
      </c>
      <c r="CL26" s="261">
        <f>'[2]PPC.1, PCR.2F, EO.5'!H30</f>
        <v>229274563.69153032</v>
      </c>
      <c r="CM26" s="261">
        <f>'[2]PPC.1, PCR.2F, EO.5'!I30</f>
        <v>244218506.25143638</v>
      </c>
      <c r="CN26" s="261">
        <f>'[2]PPC.1, PCR.2F, EO.5'!J30</f>
        <v>260988724.27065736</v>
      </c>
      <c r="CO26" s="261">
        <f>'[2]PPC.1, PCR.2F, EO.5'!K30</f>
        <v>261012483.04431123</v>
      </c>
      <c r="CP26" s="261">
        <f>'[2]PPC.1, PCR.2F, EO.5'!L30</f>
        <v>240184037.87684086</v>
      </c>
      <c r="CQ26" s="261">
        <f>'[2]PPC.1, PCR.2F, EO.5'!M30</f>
        <v>233225536.00191772</v>
      </c>
      <c r="CR26" s="261">
        <f>'[2]PPC.1, PCR.2F, EO.5'!N30</f>
        <v>221473129.69808137</v>
      </c>
      <c r="CS26" s="261">
        <f>'[2]PPC.1, PCR.2F, EO.5'!O30</f>
        <v>226260309.79809558</v>
      </c>
      <c r="CT26" s="261">
        <f>'[2]PPC.1, PCR.2F, EO.5'!P30</f>
        <v>232705197.22525746</v>
      </c>
    </row>
    <row r="27" spans="1:98" x14ac:dyDescent="0.25">
      <c r="A27" t="s">
        <v>36</v>
      </c>
      <c r="B27" s="32"/>
      <c r="C27" s="32"/>
      <c r="D27" s="38">
        <v>99309923</v>
      </c>
      <c r="E27" s="38">
        <v>98876748</v>
      </c>
      <c r="F27" s="38">
        <v>96480454</v>
      </c>
      <c r="G27" s="38">
        <v>121526151</v>
      </c>
      <c r="H27" s="38">
        <v>113123855</v>
      </c>
      <c r="I27" s="38">
        <v>125262874</v>
      </c>
      <c r="J27" s="38">
        <v>126945040</v>
      </c>
      <c r="K27" s="94">
        <v>119752379</v>
      </c>
      <c r="L27" s="38">
        <v>106348532</v>
      </c>
      <c r="M27" s="38">
        <v>100067076</v>
      </c>
      <c r="N27" s="38">
        <v>105899561</v>
      </c>
      <c r="O27" s="38">
        <v>111203176</v>
      </c>
      <c r="P27" s="38">
        <v>86704807</v>
      </c>
      <c r="Q27" s="38">
        <v>92097434</v>
      </c>
      <c r="R27" s="38">
        <v>93506334</v>
      </c>
      <c r="S27" s="38">
        <v>92139707</v>
      </c>
      <c r="T27" s="38">
        <v>105110654</v>
      </c>
      <c r="U27" s="38">
        <v>108265948</v>
      </c>
      <c r="V27" s="38">
        <v>109806573</v>
      </c>
      <c r="W27" s="38">
        <v>96724322.099999994</v>
      </c>
      <c r="X27" s="38">
        <v>94866307</v>
      </c>
      <c r="Y27" s="38">
        <v>96874394</v>
      </c>
      <c r="Z27" s="38">
        <v>84244327</v>
      </c>
      <c r="AA27" s="38">
        <v>112346620</v>
      </c>
      <c r="AB27" s="38">
        <v>50801494</v>
      </c>
      <c r="AC27" s="38">
        <v>85186767</v>
      </c>
      <c r="AD27" s="38">
        <v>94290468.700000003</v>
      </c>
      <c r="AE27" s="38">
        <v>96665030</v>
      </c>
      <c r="AF27" s="38">
        <v>111403127</v>
      </c>
      <c r="AG27" s="38">
        <v>106051211</v>
      </c>
      <c r="AH27" s="38">
        <v>114673513</v>
      </c>
      <c r="AI27" s="38">
        <v>105106440</v>
      </c>
      <c r="AJ27" s="38">
        <v>69778498</v>
      </c>
      <c r="AK27" s="38">
        <v>120928612.40000001</v>
      </c>
      <c r="AL27" s="38">
        <v>91160220</v>
      </c>
      <c r="AM27" s="38">
        <v>84926008</v>
      </c>
      <c r="AN27" s="38">
        <v>81012090</v>
      </c>
      <c r="AO27" s="38">
        <v>85726323</v>
      </c>
      <c r="AP27" s="38">
        <v>71350428</v>
      </c>
      <c r="AQ27" s="38">
        <v>86976917</v>
      </c>
      <c r="AR27" s="38">
        <v>99783323</v>
      </c>
      <c r="AS27" s="38">
        <v>98663196</v>
      </c>
      <c r="AT27" s="38">
        <v>102858299</v>
      </c>
      <c r="AU27" s="38">
        <v>88364839</v>
      </c>
      <c r="AV27" s="38">
        <v>88263402</v>
      </c>
      <c r="AW27" s="38">
        <v>86648705</v>
      </c>
      <c r="AX27" s="38">
        <v>77135409</v>
      </c>
      <c r="AY27" s="38">
        <v>74737407</v>
      </c>
      <c r="AZ27" s="38">
        <v>64517924</v>
      </c>
      <c r="BA27" s="38">
        <v>64659611</v>
      </c>
      <c r="BB27" s="38">
        <v>67634326</v>
      </c>
      <c r="BC27" s="38">
        <v>81350810</v>
      </c>
      <c r="BD27" s="38">
        <v>76194105</v>
      </c>
      <c r="BE27" s="38">
        <v>87357832</v>
      </c>
      <c r="BF27" s="38">
        <v>95274398</v>
      </c>
      <c r="BG27" s="38">
        <v>96078281</v>
      </c>
      <c r="BH27" s="38">
        <v>85657578</v>
      </c>
      <c r="BI27" s="38">
        <v>96441503</v>
      </c>
      <c r="BJ27" s="38">
        <v>86731223</v>
      </c>
      <c r="BK27" s="38">
        <v>77476531</v>
      </c>
      <c r="BL27" s="38">
        <v>59042973</v>
      </c>
      <c r="BM27" s="38">
        <v>57210973</v>
      </c>
      <c r="BN27" s="38">
        <v>69610474</v>
      </c>
      <c r="BO27" s="38">
        <v>70581627</v>
      </c>
      <c r="BP27" s="38">
        <v>81457799</v>
      </c>
      <c r="BQ27" s="38">
        <v>80264416</v>
      </c>
      <c r="BR27" s="38">
        <v>70127730</v>
      </c>
      <c r="BS27" s="38">
        <v>70045643</v>
      </c>
      <c r="BT27" s="38">
        <v>67297126</v>
      </c>
      <c r="BU27" s="38">
        <v>55889311</v>
      </c>
      <c r="BV27" s="38">
        <v>69346877</v>
      </c>
      <c r="BW27" s="38">
        <v>61270424</v>
      </c>
      <c r="BX27" s="38">
        <v>59814245</v>
      </c>
      <c r="BY27" s="38">
        <v>67854054</v>
      </c>
      <c r="BZ27" s="38">
        <v>65075199</v>
      </c>
      <c r="CA27" s="38">
        <v>80920772</v>
      </c>
      <c r="CB27" s="38">
        <v>95769594</v>
      </c>
      <c r="CC27" s="38">
        <v>92334707</v>
      </c>
      <c r="CD27" s="38">
        <v>86188788</v>
      </c>
      <c r="CE27" s="38">
        <v>84652258</v>
      </c>
      <c r="CF27" s="261">
        <f>'[2]PPC.1, PCR.2F, EO.5'!B31</f>
        <v>68732453.552071258</v>
      </c>
      <c r="CG27" s="261">
        <f>'[2]PPC.1, PCR.2F, EO.5'!C31</f>
        <v>66590092.865217187</v>
      </c>
      <c r="CH27" s="261">
        <f>'[2]PPC.1, PCR.2F, EO.5'!D31</f>
        <v>64674964.490822993</v>
      </c>
      <c r="CI27" s="261">
        <f>'[2]PPC.1, PCR.2F, EO.5'!E31</f>
        <v>58573848.850580357</v>
      </c>
      <c r="CJ27" s="261">
        <f>'[2]PPC.1, PCR.2F, EO.5'!F31</f>
        <v>65494560.92136158</v>
      </c>
      <c r="CK27" s="261">
        <f>'[2]PPC.1, PCR.2F, EO.5'!G31</f>
        <v>66861478.801501341</v>
      </c>
      <c r="CL27" s="261">
        <f>'[2]PPC.1, PCR.2F, EO.5'!H31</f>
        <v>74288764.887821615</v>
      </c>
      <c r="CM27" s="261">
        <f>'[2]PPC.1, PCR.2F, EO.5'!I31</f>
        <v>74563120.373582616</v>
      </c>
      <c r="CN27" s="261">
        <f>'[2]PPC.1, PCR.2F, EO.5'!J31</f>
        <v>80252631.814296842</v>
      </c>
      <c r="CO27" s="261">
        <f>'[2]PPC.1, PCR.2F, EO.5'!K31</f>
        <v>81110234.966044441</v>
      </c>
      <c r="CP27" s="261">
        <f>'[2]PPC.1, PCR.2F, EO.5'!L31</f>
        <v>72851088.581060141</v>
      </c>
      <c r="CQ27" s="261">
        <f>'[2]PPC.1, PCR.2F, EO.5'!M31</f>
        <v>74551445.964260712</v>
      </c>
      <c r="CR27" s="261">
        <f>'[2]PPC.1, PCR.2F, EO.5'!N31</f>
        <v>68203809.021018788</v>
      </c>
      <c r="CS27" s="261">
        <f>'[2]PPC.1, PCR.2F, EO.5'!O31</f>
        <v>66435422.697305597</v>
      </c>
      <c r="CT27" s="261">
        <f>'[2]PPC.1, PCR.2F, EO.5'!P31</f>
        <v>68450508.413569331</v>
      </c>
    </row>
    <row r="28" spans="1:98" x14ac:dyDescent="0.25">
      <c r="A28" s="28" t="s">
        <v>30</v>
      </c>
      <c r="B28" s="26"/>
      <c r="C28" s="26"/>
      <c r="D28" s="29">
        <f>SUM(D23:D27)</f>
        <v>2499758324</v>
      </c>
      <c r="E28" s="29">
        <f t="shared" ref="E28:AW28" si="67">SUM(E23:E27)</f>
        <v>1985896392</v>
      </c>
      <c r="F28" s="29">
        <f t="shared" si="67"/>
        <v>1834449295</v>
      </c>
      <c r="G28" s="29">
        <f t="shared" si="67"/>
        <v>2235195660</v>
      </c>
      <c r="H28" s="29">
        <f t="shared" si="67"/>
        <v>2577497445</v>
      </c>
      <c r="I28" s="29">
        <f t="shared" si="67"/>
        <v>2692344190</v>
      </c>
      <c r="J28" s="29">
        <f t="shared" si="67"/>
        <v>2586049727</v>
      </c>
      <c r="K28" s="29">
        <f t="shared" si="67"/>
        <v>2259393157</v>
      </c>
      <c r="L28" s="29">
        <f t="shared" si="67"/>
        <v>2029584453</v>
      </c>
      <c r="M28" s="29">
        <f t="shared" si="67"/>
        <v>2424244506</v>
      </c>
      <c r="N28" s="29">
        <f t="shared" si="67"/>
        <v>2601956425</v>
      </c>
      <c r="O28" s="29">
        <f t="shared" si="67"/>
        <v>2559780622</v>
      </c>
      <c r="P28" s="29">
        <f t="shared" si="67"/>
        <v>2267199627</v>
      </c>
      <c r="Q28" s="29">
        <f t="shared" si="67"/>
        <v>1885945876</v>
      </c>
      <c r="R28" s="29">
        <f t="shared" si="67"/>
        <v>1727181444</v>
      </c>
      <c r="S28" s="29">
        <f t="shared" si="67"/>
        <v>2140133354</v>
      </c>
      <c r="T28" s="29">
        <f t="shared" si="67"/>
        <v>2668776772</v>
      </c>
      <c r="U28" s="29">
        <f t="shared" si="67"/>
        <v>2588323933</v>
      </c>
      <c r="V28" s="29">
        <f t="shared" si="67"/>
        <v>2539356884</v>
      </c>
      <c r="W28" s="29">
        <f t="shared" si="67"/>
        <v>1880855467.2</v>
      </c>
      <c r="X28" s="29">
        <f t="shared" si="67"/>
        <v>1919414791</v>
      </c>
      <c r="Y28" s="29">
        <f t="shared" si="67"/>
        <v>2285505311</v>
      </c>
      <c r="Z28" s="29">
        <f t="shared" si="67"/>
        <v>2701293080</v>
      </c>
      <c r="AA28" s="29">
        <f t="shared" si="67"/>
        <v>2762895596</v>
      </c>
      <c r="AB28" s="29">
        <f t="shared" si="67"/>
        <v>2269212350</v>
      </c>
      <c r="AC28" s="29">
        <f t="shared" si="67"/>
        <v>1797926430</v>
      </c>
      <c r="AD28" s="29">
        <f t="shared" si="67"/>
        <v>1767390312.4000001</v>
      </c>
      <c r="AE28" s="29">
        <f t="shared" si="67"/>
        <v>2241761426</v>
      </c>
      <c r="AF28" s="29">
        <f t="shared" si="67"/>
        <v>2630416326</v>
      </c>
      <c r="AG28" s="29">
        <f t="shared" si="67"/>
        <v>2620993183</v>
      </c>
      <c r="AH28" s="29">
        <f t="shared" si="67"/>
        <v>2624842936</v>
      </c>
      <c r="AI28" s="29">
        <f t="shared" si="67"/>
        <v>2051802732</v>
      </c>
      <c r="AJ28" s="29">
        <f t="shared" si="67"/>
        <v>1844617502</v>
      </c>
      <c r="AK28" s="29">
        <f t="shared" si="67"/>
        <v>2260152185.5</v>
      </c>
      <c r="AL28" s="29">
        <f t="shared" si="67"/>
        <v>2604429573</v>
      </c>
      <c r="AM28" s="29">
        <f t="shared" si="67"/>
        <v>2650772070</v>
      </c>
      <c r="AN28" s="29">
        <f t="shared" si="67"/>
        <v>2252800721</v>
      </c>
      <c r="AO28" s="29">
        <f t="shared" si="67"/>
        <v>1950515267</v>
      </c>
      <c r="AP28" s="29">
        <f t="shared" si="67"/>
        <v>1874510202</v>
      </c>
      <c r="AQ28" s="29">
        <f t="shared" si="67"/>
        <v>2238886497</v>
      </c>
      <c r="AR28" s="29">
        <f t="shared" si="67"/>
        <v>2787735127</v>
      </c>
      <c r="AS28" s="29">
        <f t="shared" si="67"/>
        <v>2711689501</v>
      </c>
      <c r="AT28" s="29">
        <f t="shared" si="67"/>
        <v>2418184647</v>
      </c>
      <c r="AU28" s="29">
        <f t="shared" si="67"/>
        <v>1914968383</v>
      </c>
      <c r="AV28" s="29">
        <f t="shared" ref="AV28" si="68">SUM(AV23:AV27)</f>
        <v>1850644365</v>
      </c>
      <c r="AW28" s="29">
        <f t="shared" si="67"/>
        <v>2231741671.4688997</v>
      </c>
      <c r="AX28" s="29">
        <f t="shared" ref="AX28:AY28" si="69">SUM(AX23:AX27)</f>
        <v>2690422268</v>
      </c>
      <c r="AY28" s="29">
        <f t="shared" si="69"/>
        <v>2359295932</v>
      </c>
      <c r="AZ28" s="29">
        <f t="shared" ref="AZ28:BA28" si="70">SUM(AZ23:AZ27)</f>
        <v>2063654396</v>
      </c>
      <c r="BA28" s="29">
        <f t="shared" si="70"/>
        <v>1890769057</v>
      </c>
      <c r="BB28" s="29">
        <f t="shared" ref="BB28:BC28" si="71">SUM(BB23:BB27)</f>
        <v>1741264804</v>
      </c>
      <c r="BC28" s="29">
        <f t="shared" si="71"/>
        <v>2092627990</v>
      </c>
      <c r="BD28" s="29">
        <f t="shared" ref="BD28:BE28" si="72">SUM(BD23:BD27)</f>
        <v>2473094997</v>
      </c>
      <c r="BE28" s="29">
        <f t="shared" si="72"/>
        <v>2579826523</v>
      </c>
      <c r="BF28" s="29">
        <f t="shared" ref="BF28:BG28" si="73">SUM(BF23:BF27)</f>
        <v>2474502491</v>
      </c>
      <c r="BG28" s="29">
        <f t="shared" si="73"/>
        <v>1988431085</v>
      </c>
      <c r="BH28" s="29">
        <f t="shared" ref="BH28:BI28" si="74">SUM(BH23:BH27)</f>
        <v>1804090215.424</v>
      </c>
      <c r="BI28" s="29">
        <f t="shared" si="74"/>
        <v>2193574286</v>
      </c>
      <c r="BJ28" s="29">
        <f t="shared" ref="BJ28:BK28" si="75">SUM(BJ23:BJ27)</f>
        <v>2637850374</v>
      </c>
      <c r="BK28" s="29">
        <f t="shared" si="75"/>
        <v>2460057105</v>
      </c>
      <c r="BL28" s="29">
        <f t="shared" ref="BL28:BM28" si="76">SUM(BL23:BL27)</f>
        <v>1931112908</v>
      </c>
      <c r="BM28" s="29">
        <f t="shared" si="76"/>
        <v>1835038419</v>
      </c>
      <c r="BN28" s="29">
        <f t="shared" ref="BN28:BO28" si="77">SUM(BN23:BN27)</f>
        <v>1767281727</v>
      </c>
      <c r="BO28" s="29">
        <f t="shared" si="77"/>
        <v>2177119768</v>
      </c>
      <c r="BP28" s="29">
        <f t="shared" ref="BP28:BQ28" si="78">SUM(BP23:BP27)</f>
        <v>2679969433</v>
      </c>
      <c r="BQ28" s="29">
        <f t="shared" si="78"/>
        <v>2483016611</v>
      </c>
      <c r="BR28" s="29">
        <f t="shared" ref="BR28:BS28" si="79">SUM(BR23:BR27)</f>
        <v>2396439163</v>
      </c>
      <c r="BS28" s="29">
        <f t="shared" si="79"/>
        <v>1958827456</v>
      </c>
      <c r="BT28" s="29">
        <f t="shared" ref="BT28:BU28" si="80">SUM(BT23:BT27)</f>
        <v>1704814386</v>
      </c>
      <c r="BU28" s="29">
        <f t="shared" si="80"/>
        <v>2203008819</v>
      </c>
      <c r="BV28" s="29">
        <f t="shared" ref="BV28:BW28" si="81">SUM(BV23:BV27)</f>
        <v>2721636932</v>
      </c>
      <c r="BW28" s="29">
        <f t="shared" si="81"/>
        <v>2617427572</v>
      </c>
      <c r="BX28" s="29">
        <f t="shared" ref="BX28:BY28" si="82">SUM(BX23:BX27)</f>
        <v>2269062029</v>
      </c>
      <c r="BY28" s="29">
        <f t="shared" si="82"/>
        <v>1748170539</v>
      </c>
      <c r="BZ28" s="29">
        <f t="shared" ref="BZ28:CA28" si="83">SUM(BZ23:BZ27)</f>
        <v>1729203303</v>
      </c>
      <c r="CA28" s="29">
        <f t="shared" si="83"/>
        <v>1982037887</v>
      </c>
      <c r="CB28" s="29">
        <f t="shared" ref="CB28:CC28" si="84">SUM(CB23:CB27)</f>
        <v>2761001718</v>
      </c>
      <c r="CC28" s="29">
        <f t="shared" si="84"/>
        <v>2755647079</v>
      </c>
      <c r="CD28" s="29">
        <f t="shared" ref="CD28:CE28" si="85">SUM(CD23:CD27)</f>
        <v>2367818147</v>
      </c>
      <c r="CE28" s="29">
        <f t="shared" si="85"/>
        <v>2087892773</v>
      </c>
      <c r="CF28" s="29">
        <f t="shared" ref="CF28:CG28" si="86">SUM(CF23:CF27)</f>
        <v>1953706690.0838196</v>
      </c>
      <c r="CG28" s="29">
        <f t="shared" si="86"/>
        <v>2284356255.4014311</v>
      </c>
      <c r="CH28" s="29">
        <f t="shared" ref="CH28:CI28" si="87">SUM(CH23:CH27)</f>
        <v>2671379978.2877369</v>
      </c>
      <c r="CI28" s="29">
        <f t="shared" si="87"/>
        <v>2283484204.778985</v>
      </c>
      <c r="CJ28" s="29">
        <f t="shared" ref="CJ28:CK28" si="88">SUM(CJ23:CJ27)</f>
        <v>2121516306.0948055</v>
      </c>
      <c r="CK28" s="29">
        <f t="shared" si="88"/>
        <v>1783132117.2811646</v>
      </c>
      <c r="CL28" s="29">
        <f t="shared" ref="CL28:CM28" si="89">SUM(CL23:CL27)</f>
        <v>1893965152.9535079</v>
      </c>
      <c r="CM28" s="29">
        <f t="shared" si="89"/>
        <v>2310499595.1486831</v>
      </c>
      <c r="CN28" s="29">
        <f t="shared" ref="CN28:CO28" si="90">SUM(CN23:CN27)</f>
        <v>2653176184.9168739</v>
      </c>
      <c r="CO28" s="29">
        <f t="shared" si="90"/>
        <v>2593407840.0425134</v>
      </c>
      <c r="CP28" s="29">
        <f t="shared" ref="CP28:CQ28" si="91">SUM(CP23:CP27)</f>
        <v>2017763888.1666975</v>
      </c>
      <c r="CQ28" s="29">
        <f t="shared" si="91"/>
        <v>1765818820.9423764</v>
      </c>
      <c r="CR28" s="29">
        <f t="shared" ref="CR28:CS28" si="92">SUM(CR23:CR27)</f>
        <v>1996396603.7551315</v>
      </c>
      <c r="CS28" s="29">
        <f t="shared" si="92"/>
        <v>2501097748.3805943</v>
      </c>
      <c r="CT28" s="29">
        <f t="shared" ref="CT28" si="93">SUM(CT23:CT27)</f>
        <v>2587281616.8954473</v>
      </c>
    </row>
    <row r="29" spans="1:98" x14ac:dyDescent="0.25">
      <c r="B29" s="32"/>
      <c r="C29" s="32"/>
    </row>
    <row r="30" spans="1:98" x14ac:dyDescent="0.25">
      <c r="A30" s="24" t="s">
        <v>39</v>
      </c>
      <c r="B30" s="32"/>
      <c r="C30" s="32"/>
    </row>
    <row r="31" spans="1:98" x14ac:dyDescent="0.25">
      <c r="A31" t="s">
        <v>32</v>
      </c>
      <c r="B31" s="32"/>
      <c r="C31" s="32"/>
      <c r="D31" s="40">
        <f>D14+(D$19*(D23/D$28))</f>
        <v>0</v>
      </c>
      <c r="E31" s="40">
        <f>IF(E14="","",E14+(E$19*(E23/E$28)))</f>
        <v>3542.7066619947968</v>
      </c>
      <c r="F31" s="40">
        <f t="shared" ref="E31:AW35" si="94">IF(F14="","",F14+(F$19*(F23/F$28)))</f>
        <v>26593.748856903429</v>
      </c>
      <c r="G31" s="40">
        <f t="shared" si="94"/>
        <v>243363.92907678595</v>
      </c>
      <c r="H31" s="40">
        <f t="shared" si="94"/>
        <v>441129.8099540461</v>
      </c>
      <c r="I31" s="40">
        <f t="shared" si="94"/>
        <v>538055.00088770315</v>
      </c>
      <c r="J31" s="40">
        <f>IF(J14="","",J14+(J$19*(J23/J$28)))</f>
        <v>375001.00963366695</v>
      </c>
      <c r="K31" s="40">
        <f>IF(K14="","",K14+(K$19*(K23/K$28)))</f>
        <v>137834.38057719183</v>
      </c>
      <c r="L31" s="40">
        <f t="shared" si="94"/>
        <v>274809.55657286098</v>
      </c>
      <c r="M31" s="40">
        <f t="shared" si="94"/>
        <v>467843.25553902646</v>
      </c>
      <c r="N31" s="40">
        <f t="shared" si="94"/>
        <v>544296.07292371744</v>
      </c>
      <c r="O31" s="40">
        <f t="shared" si="94"/>
        <v>676189.22029010952</v>
      </c>
      <c r="P31" s="40">
        <f t="shared" si="94"/>
        <v>463090.51540533279</v>
      </c>
      <c r="Q31" s="40">
        <f>IF(Q14="","",Q14+(Q$19*(Q23/Q$28)))</f>
        <v>212999.83668866704</v>
      </c>
      <c r="R31" s="40">
        <f t="shared" si="94"/>
        <v>239315.41925638349</v>
      </c>
      <c r="S31" s="40">
        <f t="shared" si="94"/>
        <v>745964.63979628112</v>
      </c>
      <c r="T31" s="40">
        <f t="shared" si="94"/>
        <v>1021961.1417325244</v>
      </c>
      <c r="U31" s="40">
        <f t="shared" si="94"/>
        <v>1221140.287913003</v>
      </c>
      <c r="V31" s="40">
        <f t="shared" si="94"/>
        <v>1038934.5439936385</v>
      </c>
      <c r="W31" s="40">
        <f t="shared" si="94"/>
        <v>456853.18990942289</v>
      </c>
      <c r="X31" s="40">
        <f t="shared" si="94"/>
        <v>609473.30327174987</v>
      </c>
      <c r="Y31" s="40">
        <f t="shared" si="94"/>
        <v>767580.56672561402</v>
      </c>
      <c r="Z31" s="40">
        <f t="shared" si="94"/>
        <v>793063.84804214339</v>
      </c>
      <c r="AA31" s="40">
        <f t="shared" si="94"/>
        <v>764854.30430963449</v>
      </c>
      <c r="AB31" s="40">
        <f t="shared" si="94"/>
        <v>819560.20806617534</v>
      </c>
      <c r="AC31" s="40">
        <f t="shared" si="94"/>
        <v>733166.25858200283</v>
      </c>
      <c r="AD31" s="40">
        <f t="shared" si="94"/>
        <v>808585.44290839287</v>
      </c>
      <c r="AE31" s="40">
        <f t="shared" si="94"/>
        <v>2229150.475396621</v>
      </c>
      <c r="AF31" s="40">
        <f t="shared" si="94"/>
        <v>2728598.0253418689</v>
      </c>
      <c r="AG31" s="40">
        <f t="shared" si="94"/>
        <v>2843181.2454154654</v>
      </c>
      <c r="AH31" s="40">
        <f t="shared" si="94"/>
        <v>2152415.8892408246</v>
      </c>
      <c r="AI31" s="40">
        <f t="shared" si="94"/>
        <v>886771.1903804827</v>
      </c>
      <c r="AJ31" s="40">
        <f t="shared" si="94"/>
        <v>1017970.7346454827</v>
      </c>
      <c r="AK31" s="40">
        <f t="shared" si="94"/>
        <v>1252923.0225376603</v>
      </c>
      <c r="AL31" s="40">
        <f t="shared" si="94"/>
        <v>1434652.1574546397</v>
      </c>
      <c r="AM31" s="40">
        <f t="shared" si="94"/>
        <v>1242256.6900827016</v>
      </c>
      <c r="AN31" s="40">
        <f t="shared" si="94"/>
        <v>466704.19082447694</v>
      </c>
      <c r="AO31" s="40">
        <f t="shared" si="94"/>
        <v>411086.64598257263</v>
      </c>
      <c r="AP31" s="40">
        <f t="shared" si="94"/>
        <v>460606.66199414816</v>
      </c>
      <c r="AQ31" s="40">
        <f t="shared" si="94"/>
        <v>1458035.3553365585</v>
      </c>
      <c r="AR31" s="40">
        <f t="shared" si="94"/>
        <v>1865399.5827007205</v>
      </c>
      <c r="AS31" s="40">
        <f t="shared" si="94"/>
        <v>1789207.583547906</v>
      </c>
      <c r="AT31" s="40">
        <f t="shared" si="94"/>
        <v>1230661.6176145528</v>
      </c>
      <c r="AU31" s="40">
        <f t="shared" si="94"/>
        <v>448108.96181830607</v>
      </c>
      <c r="AV31" s="40">
        <f t="shared" ref="AV31" si="95">IF(AV14="","",AV14+(AV$19*(AV23/AV$28)))</f>
        <v>511415.71013617213</v>
      </c>
      <c r="AW31" s="40">
        <f t="shared" si="94"/>
        <v>657599.6612363765</v>
      </c>
      <c r="AX31" s="40">
        <f t="shared" ref="AX31:AY31" si="96">IF(AX14="","",AX14+(AX$19*(AX23/AX$28)))</f>
        <v>715751.71736553009</v>
      </c>
      <c r="AY31" s="40">
        <f t="shared" si="96"/>
        <v>611610.33271900774</v>
      </c>
      <c r="AZ31" s="40">
        <f t="shared" ref="AZ31:BA31" si="97">IF(AZ14="","",AZ14+(AZ$19*(AZ23/AZ$28)))</f>
        <v>580052.23772821727</v>
      </c>
      <c r="BA31" s="40">
        <f t="shared" si="97"/>
        <v>485147.45423910866</v>
      </c>
      <c r="BB31" s="40">
        <f t="shared" ref="BB31:BC31" si="98">IF(BB14="","",BB14+(BB$19*(BB23/BB$28)))</f>
        <v>579019.58477694308</v>
      </c>
      <c r="BC31" s="40">
        <f t="shared" si="98"/>
        <v>2075209.7832731153</v>
      </c>
      <c r="BD31" s="40">
        <f t="shared" ref="BD31:BE31" si="99">IF(BD14="","",BD14+(BD$19*(BD23/BD$28)))</f>
        <v>336900.48174892482</v>
      </c>
      <c r="BE31" s="40">
        <f t="shared" si="99"/>
        <v>423106.97149800922</v>
      </c>
      <c r="BF31" s="40">
        <f t="shared" ref="BF31:BG31" si="100">IF(BF14="","",BF14+(BF$19*(BF23/BF$28)))</f>
        <v>257414.74403194929</v>
      </c>
      <c r="BG31" s="40">
        <f t="shared" si="100"/>
        <v>72670.704773576188</v>
      </c>
      <c r="BH31" s="40">
        <f t="shared" ref="BH31:BI31" si="101">IF(BH14="","",BH14+(BH$19*(BH23/BH$28)))</f>
        <v>107651.21205611953</v>
      </c>
      <c r="BI31" s="40">
        <f t="shared" si="101"/>
        <v>190082.4773555084</v>
      </c>
      <c r="BJ31" s="40">
        <f t="shared" ref="BJ31:BK31" si="102">IF(BJ14="","",BJ14+(BJ$19*(BJ23/BJ$28)))</f>
        <v>234716.31279439255</v>
      </c>
      <c r="BK31" s="40">
        <f t="shared" si="102"/>
        <v>189707.45135280554</v>
      </c>
      <c r="BL31" s="40">
        <f t="shared" ref="BL31:BM31" si="103">IF(BL14="","",BL14+(BL$19*(BL23/BL$28)))</f>
        <v>161384.19695432918</v>
      </c>
      <c r="BM31" s="40">
        <f t="shared" si="103"/>
        <v>121228.18203919443</v>
      </c>
      <c r="BN31" s="40">
        <f t="shared" ref="BN31:BO31" si="104">IF(BN14="","",BN14+(BN$19*(BN23/BN$28)))</f>
        <v>171153.07554214355</v>
      </c>
      <c r="BO31" s="40">
        <f t="shared" si="104"/>
        <v>726807.55664463679</v>
      </c>
      <c r="BP31" s="40">
        <f t="shared" ref="BP31:BQ31" si="105">IF(BP14="","",BP14+(BP$19*(BP23/BP$28)))</f>
        <v>1035244.8874318618</v>
      </c>
      <c r="BQ31" s="40">
        <f t="shared" si="105"/>
        <v>1044606.4999408977</v>
      </c>
      <c r="BR31" s="40">
        <f t="shared" ref="BR31:BS31" si="106">IF(BR14="","",BR14+(BR$19*(BR23/BR$28)))</f>
        <v>601256.55125012272</v>
      </c>
      <c r="BS31" s="40">
        <f t="shared" si="106"/>
        <v>165216.72821033362</v>
      </c>
      <c r="BT31" s="40">
        <f t="shared" ref="BT31:BU31" si="107">IF(BT14="","",BT14+(BT$19*(BT23/BT$28)))</f>
        <v>230432.50663339812</v>
      </c>
      <c r="BU31" s="40">
        <f t="shared" si="107"/>
        <v>378252.71506532904</v>
      </c>
      <c r="BV31" s="40">
        <f t="shared" ref="BV31:BW31" si="108">IF(BV14="","",BV14+(BV$19*(BV23/BV$28)))</f>
        <v>426698.4018217292</v>
      </c>
      <c r="BW31" s="40">
        <f t="shared" si="108"/>
        <v>346452.36233973084</v>
      </c>
      <c r="BX31" s="40">
        <f t="shared" ref="BX31:BY31" si="109">IF(BX14="","",BX14+(BX$19*(BX23/BX$28)))</f>
        <v>284233.09091178671</v>
      </c>
      <c r="BY31" s="40">
        <f t="shared" si="109"/>
        <v>189318.14246613521</v>
      </c>
      <c r="BZ31" s="40">
        <f t="shared" ref="BZ31:CA31" si="110">IF(BZ14="","",BZ14+(BZ$19*(BZ23/BZ$28)))</f>
        <v>234192.42127986971</v>
      </c>
      <c r="CA31" s="40">
        <f t="shared" si="110"/>
        <v>67508.639255642076</v>
      </c>
      <c r="CB31" s="40">
        <f t="shared" ref="CB31:CC31" si="111">IF(CB14="","",CB14+(CB$19*(CB23/CB$28)))</f>
        <v>148702.48179788201</v>
      </c>
      <c r="CC31" s="40">
        <f t="shared" si="111"/>
        <v>139550.24546614217</v>
      </c>
      <c r="CD31" s="40">
        <f t="shared" ref="CD31:CE31" si="112">IF(CD14="","",CD14+(CD$19*(CD23/CD$28)))</f>
        <v>68409.919776193899</v>
      </c>
      <c r="CE31" s="40">
        <f t="shared" si="112"/>
        <v>10931.437878899986</v>
      </c>
      <c r="CF31" s="262">
        <f t="shared" ref="CF31:CG31" si="113">IF(CF14="","",CF14+(CF$19*(CF23/CF$28)))</f>
        <v>14145.222749125496</v>
      </c>
      <c r="CG31" s="262">
        <f t="shared" si="113"/>
        <v>24784.068541490105</v>
      </c>
      <c r="CH31" s="262">
        <f t="shared" ref="CH31:CI31" si="114">IF(CH14="","",CH14+(CH$19*(CH23/CH$28)))</f>
        <v>25843.907024376771</v>
      </c>
      <c r="CI31" s="263">
        <f t="shared" si="114"/>
        <v>21046.159610743776</v>
      </c>
      <c r="CJ31" s="263">
        <f t="shared" ref="CJ31:CK31" si="115">IF(CJ14="","",CJ14+(CJ$19*(CJ23/CJ$28)))</f>
        <v>16364.624862991395</v>
      </c>
      <c r="CK31" s="263">
        <f t="shared" si="115"/>
        <v>9932.0332172906819</v>
      </c>
      <c r="CL31" s="263">
        <f t="shared" ref="CL31:CM31" si="116">IF(CL14="","",CL14+(CL$19*(CL23/CL$28)))</f>
        <v>19221.768289382097</v>
      </c>
      <c r="CM31" s="263">
        <f t="shared" si="116"/>
        <v>110043.62739545593</v>
      </c>
      <c r="CN31" s="263">
        <f t="shared" ref="CN31:CO31" si="117">IF(CN14="","",CN14+(CN$19*(CN23/CN$28)))</f>
        <v>148741.71735340642</v>
      </c>
      <c r="CO31" s="263">
        <f t="shared" si="117"/>
        <v>140871.29046612998</v>
      </c>
      <c r="CP31" s="263">
        <f t="shared" ref="CP31:CQ31" si="118">IF(CP14="","",CP14+(CP$19*(CP23/CP$28)))</f>
        <v>69410.374840509292</v>
      </c>
      <c r="CQ31" s="263">
        <f t="shared" si="118"/>
        <v>10740.117643247877</v>
      </c>
      <c r="CR31" s="263">
        <f t="shared" ref="CR31:CS31" si="119">IF(CR14="","",CR14+(CR$19*(CR23/CR$28)))</f>
        <v>14198.185911034107</v>
      </c>
      <c r="CS31" s="263">
        <f t="shared" si="119"/>
        <v>25475.540243639152</v>
      </c>
      <c r="CT31" s="263">
        <f t="shared" ref="CT31" si="120">IF(CT14="","",CT14+(CT$19*(CT23/CT$28)))</f>
        <v>25574.837654350718</v>
      </c>
    </row>
    <row r="32" spans="1:98" x14ac:dyDescent="0.25">
      <c r="A32" t="s">
        <v>33</v>
      </c>
      <c r="B32" s="32"/>
      <c r="C32" s="32"/>
      <c r="D32" s="40">
        <f>D15+(D$19*(D24/D$28))</f>
        <v>0.34412602678174997</v>
      </c>
      <c r="E32" s="40">
        <f>IF(E15="","",E15+(E$19*(E24/E$28)))</f>
        <v>593.85341007321881</v>
      </c>
      <c r="F32" s="40">
        <f t="shared" si="94"/>
        <v>8368.5225960071712</v>
      </c>
      <c r="G32" s="40">
        <f t="shared" si="94"/>
        <v>23641.814181406706</v>
      </c>
      <c r="H32" s="40">
        <f t="shared" si="94"/>
        <v>47663.861231335664</v>
      </c>
      <c r="I32" s="40">
        <f t="shared" si="94"/>
        <v>53414.007632337976</v>
      </c>
      <c r="J32" s="40">
        <f t="shared" si="94"/>
        <v>71963.570102025027</v>
      </c>
      <c r="K32" s="40">
        <f t="shared" si="94"/>
        <v>61965.410188273323</v>
      </c>
      <c r="L32" s="40">
        <f t="shared" si="94"/>
        <v>64700.998849587129</v>
      </c>
      <c r="M32" s="40">
        <f t="shared" si="94"/>
        <v>81956.189294724609</v>
      </c>
      <c r="N32" s="40">
        <f t="shared" si="94"/>
        <v>113990.99327753842</v>
      </c>
      <c r="O32" s="40">
        <f t="shared" si="94"/>
        <v>88043.147483850829</v>
      </c>
      <c r="P32" s="40">
        <f t="shared" si="94"/>
        <v>103641.60510926238</v>
      </c>
      <c r="Q32" s="40">
        <f t="shared" si="94"/>
        <v>44495.668454394727</v>
      </c>
      <c r="R32" s="40">
        <f t="shared" si="94"/>
        <v>72447.479306892477</v>
      </c>
      <c r="S32" s="40">
        <f t="shared" si="94"/>
        <v>100242.14080653639</v>
      </c>
      <c r="T32" s="40">
        <f t="shared" si="94"/>
        <v>144814.88878280437</v>
      </c>
      <c r="U32" s="40">
        <f t="shared" si="94"/>
        <v>113846.66455304027</v>
      </c>
      <c r="V32" s="40">
        <f t="shared" si="94"/>
        <v>127713.0610159208</v>
      </c>
      <c r="W32" s="40">
        <f t="shared" si="94"/>
        <v>102944.20736329375</v>
      </c>
      <c r="X32" s="40">
        <f t="shared" si="94"/>
        <v>98619.753088261379</v>
      </c>
      <c r="Y32" s="40">
        <f t="shared" si="94"/>
        <v>116491.49867964754</v>
      </c>
      <c r="Z32" s="40">
        <f t="shared" si="94"/>
        <v>196559.66519683803</v>
      </c>
      <c r="AA32" s="40">
        <f t="shared" si="94"/>
        <v>143190.44336244816</v>
      </c>
      <c r="AB32" s="40">
        <f t="shared" si="94"/>
        <v>165885.95699877734</v>
      </c>
      <c r="AC32" s="40">
        <f t="shared" si="94"/>
        <v>168014.93999895826</v>
      </c>
      <c r="AD32" s="40">
        <f t="shared" si="94"/>
        <v>224708.57117023846</v>
      </c>
      <c r="AE32" s="40">
        <f t="shared" si="94"/>
        <v>334985.01191056194</v>
      </c>
      <c r="AF32" s="40">
        <f t="shared" si="94"/>
        <v>449867.18718954525</v>
      </c>
      <c r="AG32" s="40">
        <f t="shared" si="94"/>
        <v>392143.15877642907</v>
      </c>
      <c r="AH32" s="40">
        <f t="shared" si="94"/>
        <v>337751.81199888035</v>
      </c>
      <c r="AI32" s="40">
        <f t="shared" si="94"/>
        <v>247793.76914859904</v>
      </c>
      <c r="AJ32" s="40">
        <f t="shared" si="94"/>
        <v>222262.13845546212</v>
      </c>
      <c r="AK32" s="40">
        <f t="shared" si="94"/>
        <v>249509.48642011534</v>
      </c>
      <c r="AL32" s="40">
        <f t="shared" si="94"/>
        <v>321944.69044732186</v>
      </c>
      <c r="AM32" s="40">
        <f t="shared" si="94"/>
        <v>246962.75301226831</v>
      </c>
      <c r="AN32" s="40">
        <f t="shared" si="94"/>
        <v>100845.58616926862</v>
      </c>
      <c r="AO32" s="40">
        <f t="shared" si="94"/>
        <v>127422.49440160212</v>
      </c>
      <c r="AP32" s="40">
        <f t="shared" si="94"/>
        <v>191471.00601967305</v>
      </c>
      <c r="AQ32" s="40">
        <f t="shared" si="94"/>
        <v>262682.7688338983</v>
      </c>
      <c r="AR32" s="40">
        <f t="shared" si="94"/>
        <v>354188.78297288192</v>
      </c>
      <c r="AS32" s="40">
        <f t="shared" si="94"/>
        <v>291793.54141646903</v>
      </c>
      <c r="AT32" s="40">
        <f t="shared" si="94"/>
        <v>288002.90399346605</v>
      </c>
      <c r="AU32" s="40">
        <f t="shared" si="94"/>
        <v>176158.92806469859</v>
      </c>
      <c r="AV32" s="40">
        <f t="shared" ref="AV32" si="121">IF(AV15="","",AV15+(AV$19*(AV24/AV$28)))</f>
        <v>148988.71783347923</v>
      </c>
      <c r="AW32" s="40">
        <f t="shared" si="94"/>
        <v>166383.33688258496</v>
      </c>
      <c r="AX32" s="40">
        <f t="shared" ref="AX32:AY32" si="122">IF(AX15="","",AX15+(AX$19*(AX24/AX$28)))</f>
        <v>230424.97504364184</v>
      </c>
      <c r="AY32" s="40">
        <f t="shared" si="122"/>
        <v>167267.8186977868</v>
      </c>
      <c r="AZ32" s="40">
        <f t="shared" ref="AZ32:BA32" si="123">IF(AZ15="","",AZ15+(AZ$19*(AZ24/AZ$28)))</f>
        <v>188556.51884636932</v>
      </c>
      <c r="BA32" s="40">
        <f t="shared" si="123"/>
        <v>207172.72942284547</v>
      </c>
      <c r="BB32" s="40">
        <f t="shared" ref="BB32:BC32" si="124">IF(BB15="","",BB15+(BB$19*(BB24/BB$28)))</f>
        <v>282077.02604301338</v>
      </c>
      <c r="BC32" s="40">
        <f t="shared" si="124"/>
        <v>384908.25435282208</v>
      </c>
      <c r="BD32" s="40">
        <f t="shared" ref="BD32:BE32" si="125">IF(BD15="","",BD15+(BD$19*(BD24/BD$28)))</f>
        <v>139737.20125715411</v>
      </c>
      <c r="BE32" s="40">
        <f t="shared" si="125"/>
        <v>125981.43604405341</v>
      </c>
      <c r="BF32" s="40">
        <f t="shared" ref="BF32:BG32" si="126">IF(BF15="","",BF15+(BF$19*(BF24/BF$28)))</f>
        <v>117180.62967897265</v>
      </c>
      <c r="BG32" s="40">
        <f t="shared" si="126"/>
        <v>83769.976962386063</v>
      </c>
      <c r="BH32" s="40">
        <f t="shared" ref="BH32:BI32" si="127">IF(BH15="","",BH15+(BH$19*(BH24/BH$28)))</f>
        <v>86625.171754673938</v>
      </c>
      <c r="BI32" s="40">
        <f t="shared" si="127"/>
        <v>103759.43732189588</v>
      </c>
      <c r="BJ32" s="40">
        <f t="shared" ref="BJ32:BK32" si="128">IF(BJ15="","",BJ15+(BJ$19*(BJ24/BJ$28)))</f>
        <v>153373.54325638647</v>
      </c>
      <c r="BK32" s="40">
        <f t="shared" si="128"/>
        <v>106775.05460937983</v>
      </c>
      <c r="BL32" s="40">
        <f t="shared" ref="BL32:BM32" si="129">IF(BL15="","",BL15+(BL$19*(BL24/BL$28)))</f>
        <v>120639.5759518858</v>
      </c>
      <c r="BM32" s="40">
        <f t="shared" si="129"/>
        <v>133274.54920832094</v>
      </c>
      <c r="BN32" s="40">
        <f t="shared" ref="BN32:BO32" si="130">IF(BN15="","",BN15+(BN$19*(BN24/BN$28)))</f>
        <v>178850.56851695653</v>
      </c>
      <c r="BO32" s="40">
        <f t="shared" si="130"/>
        <v>275918.7728501762</v>
      </c>
      <c r="BP32" s="40">
        <f t="shared" ref="BP32:BQ32" si="131">IF(BP15="","",BP15+(BP$19*(BP24/BP$28)))</f>
        <v>360364.02993826458</v>
      </c>
      <c r="BQ32" s="40">
        <f t="shared" si="131"/>
        <v>316057.92453325889</v>
      </c>
      <c r="BR32" s="40">
        <f t="shared" ref="BR32:BS32" si="132">IF(BR15="","",BR15+(BR$19*(BR24/BR$28)))</f>
        <v>271016.40741513378</v>
      </c>
      <c r="BS32" s="40">
        <f t="shared" si="132"/>
        <v>173245.5348725713</v>
      </c>
      <c r="BT32" s="40">
        <f t="shared" ref="BT32:BU32" si="133">IF(BT15="","",BT15+(BT$19*(BT24/BT$28)))</f>
        <v>160381.95228567347</v>
      </c>
      <c r="BU32" s="40">
        <f t="shared" si="133"/>
        <v>178826.32223536313</v>
      </c>
      <c r="BV32" s="40">
        <f t="shared" ref="BV32:BW32" si="134">IF(BV15="","",BV15+(BV$19*(BV24/BV$28)))</f>
        <v>231220.46126330021</v>
      </c>
      <c r="BW32" s="40">
        <f t="shared" si="134"/>
        <v>167024.57521917662</v>
      </c>
      <c r="BX32" s="40">
        <f t="shared" ref="BX32:BY32" si="135">IF(BX15="","",BX15+(BX$19*(BX24/BX$28)))</f>
        <v>182279.82765440881</v>
      </c>
      <c r="BY32" s="40">
        <f t="shared" si="135"/>
        <v>194419.12944950667</v>
      </c>
      <c r="BZ32" s="40">
        <f t="shared" ref="BZ32:CA32" si="136">IF(BZ15="","",BZ15+(BZ$19*(BZ24/BZ$28)))</f>
        <v>252615.50632201991</v>
      </c>
      <c r="CA32" s="40">
        <f t="shared" si="136"/>
        <v>59638.559927928007</v>
      </c>
      <c r="CB32" s="40">
        <f t="shared" ref="CB32:CC32" si="137">IF(CB15="","",CB15+(CB$19*(CB24/CB$28)))</f>
        <v>54584.074845480594</v>
      </c>
      <c r="CC32" s="40">
        <f t="shared" si="137"/>
        <v>45938.707492139867</v>
      </c>
      <c r="CD32" s="40">
        <f t="shared" ref="CD32:CE32" si="138">IF(CD15="","",CD15+(CD$19*(CD24/CD$28)))</f>
        <v>39124.259172710314</v>
      </c>
      <c r="CE32" s="40">
        <f t="shared" si="138"/>
        <v>27456.08477223427</v>
      </c>
      <c r="CF32" s="262">
        <f>IF(CF15="","",CF15+(CF$19*(CF24/CF$28)))</f>
        <v>25410.84397269968</v>
      </c>
      <c r="CG32" s="262">
        <f t="shared" ref="CG32" si="139">IF(CG15="","",CG15+(CG$19*(CG24/CG$28)))</f>
        <v>28629.302062797997</v>
      </c>
      <c r="CH32" s="262">
        <f t="shared" ref="CH32:CI32" si="140">IF(CH15="","",CH15+(CH$19*(CH24/CH$28)))</f>
        <v>29045.824618502043</v>
      </c>
      <c r="CI32" s="263">
        <f t="shared" si="140"/>
        <v>22976.574626292841</v>
      </c>
      <c r="CJ32" s="263">
        <f t="shared" ref="CJ32:CK32" si="141">IF(CJ15="","",CJ15+(CJ$19*(CJ24/CJ$28)))</f>
        <v>25116.854769839385</v>
      </c>
      <c r="CK32" s="263">
        <f t="shared" si="141"/>
        <v>23094.118596118635</v>
      </c>
      <c r="CL32" s="263">
        <f t="shared" ref="CL32:CM32" si="142">IF(CL15="","",CL15+(CL$19*(CL24/CL$28)))</f>
        <v>29930.760614459472</v>
      </c>
      <c r="CM32" s="263">
        <f t="shared" si="142"/>
        <v>42422.193666950443</v>
      </c>
      <c r="CN32" s="263">
        <f t="shared" ref="CN32:CO32" si="143">IF(CN15="","",CN15+(CN$19*(CN24/CN$28)))</f>
        <v>54810.887185163221</v>
      </c>
      <c r="CO32" s="263">
        <f t="shared" si="143"/>
        <v>46000.044860274989</v>
      </c>
      <c r="CP32" s="263">
        <f t="shared" ref="CP32:CQ32" si="144">IF(CP15="","",CP15+(CP$19*(CP24/CP$28)))</f>
        <v>39106.128641964206</v>
      </c>
      <c r="CQ32" s="263">
        <f t="shared" si="144"/>
        <v>27440.161843949401</v>
      </c>
      <c r="CR32" s="263">
        <f t="shared" ref="CR32:CS32" si="145">IF(CR15="","",CR15+(CR$19*(CR24/CR$28)))</f>
        <v>25393.969429745193</v>
      </c>
      <c r="CS32" s="263">
        <f t="shared" si="145"/>
        <v>28451.635029360721</v>
      </c>
      <c r="CT32" s="263">
        <f t="shared" ref="CT32" si="146">IF(CT15="","",CT15+(CT$19*(CT24/CT$28)))</f>
        <v>29099.708269773273</v>
      </c>
    </row>
    <row r="33" spans="1:98" x14ac:dyDescent="0.25">
      <c r="A33" t="s">
        <v>34</v>
      </c>
      <c r="B33" s="32"/>
      <c r="C33" s="32"/>
      <c r="D33" s="40">
        <f>D16+(D$19*(D25/D$28))</f>
        <v>0.36790548240712501</v>
      </c>
      <c r="E33" s="40">
        <f t="shared" si="94"/>
        <v>549.3842450882164</v>
      </c>
      <c r="F33" s="40">
        <f t="shared" si="94"/>
        <v>3822.5375931394819</v>
      </c>
      <c r="G33" s="40">
        <f t="shared" si="94"/>
        <v>16781.332362054229</v>
      </c>
      <c r="H33" s="40">
        <f t="shared" si="94"/>
        <v>40077.718380542559</v>
      </c>
      <c r="I33" s="40">
        <f t="shared" si="94"/>
        <v>54061.137994792116</v>
      </c>
      <c r="J33" s="40">
        <f t="shared" si="94"/>
        <v>79608.348605740233</v>
      </c>
      <c r="K33" s="40">
        <f t="shared" si="94"/>
        <v>56432.915123633284</v>
      </c>
      <c r="L33" s="40">
        <f t="shared" si="94"/>
        <v>84805.665004540322</v>
      </c>
      <c r="M33" s="40">
        <f t="shared" si="94"/>
        <v>101585.96799703788</v>
      </c>
      <c r="N33" s="40">
        <f t="shared" si="94"/>
        <v>154209.2659634623</v>
      </c>
      <c r="O33" s="40">
        <f t="shared" si="94"/>
        <v>122696.92137199735</v>
      </c>
      <c r="P33" s="40">
        <f t="shared" si="94"/>
        <v>123411.87388052933</v>
      </c>
      <c r="Q33" s="40">
        <f t="shared" si="94"/>
        <v>47446.211556775474</v>
      </c>
      <c r="R33" s="40">
        <f t="shared" si="94"/>
        <v>83556.534245541465</v>
      </c>
      <c r="S33" s="40">
        <f t="shared" si="94"/>
        <v>189049.36683437167</v>
      </c>
      <c r="T33" s="40">
        <f t="shared" si="94"/>
        <v>265484.4397628404</v>
      </c>
      <c r="U33" s="40">
        <f t="shared" si="94"/>
        <v>248590.59560852987</v>
      </c>
      <c r="V33" s="40">
        <f t="shared" si="94"/>
        <v>229992.78825383674</v>
      </c>
      <c r="W33" s="40">
        <f t="shared" si="94"/>
        <v>142655.78999924072</v>
      </c>
      <c r="X33" s="40">
        <f t="shared" si="94"/>
        <v>140592.80164431839</v>
      </c>
      <c r="Y33" s="40">
        <f t="shared" si="94"/>
        <v>171784.13279113677</v>
      </c>
      <c r="Z33" s="40">
        <f t="shared" si="94"/>
        <v>283797.45031291858</v>
      </c>
      <c r="AA33" s="40">
        <f t="shared" si="94"/>
        <v>210481.86723637651</v>
      </c>
      <c r="AB33" s="40">
        <f t="shared" si="94"/>
        <v>232927.56555946911</v>
      </c>
      <c r="AC33" s="40">
        <f t="shared" si="94"/>
        <v>221111.27962203597</v>
      </c>
      <c r="AD33" s="40">
        <f t="shared" si="94"/>
        <v>314679.79966629087</v>
      </c>
      <c r="AE33" s="40">
        <f t="shared" si="94"/>
        <v>715299.40366319334</v>
      </c>
      <c r="AF33" s="40">
        <f t="shared" si="94"/>
        <v>953627.42461110547</v>
      </c>
      <c r="AG33" s="40">
        <f t="shared" si="94"/>
        <v>939310.43288894033</v>
      </c>
      <c r="AH33" s="40">
        <f t="shared" si="94"/>
        <v>659615.18241367524</v>
      </c>
      <c r="AI33" s="40">
        <f t="shared" si="94"/>
        <v>353569.18814987835</v>
      </c>
      <c r="AJ33" s="40">
        <f t="shared" si="94"/>
        <v>343727.65210763505</v>
      </c>
      <c r="AK33" s="40">
        <f t="shared" si="94"/>
        <v>418850.04670264991</v>
      </c>
      <c r="AL33" s="40">
        <f t="shared" si="94"/>
        <v>627056.98298263596</v>
      </c>
      <c r="AM33" s="40">
        <f t="shared" si="94"/>
        <v>475288.11809378932</v>
      </c>
      <c r="AN33" s="40">
        <f t="shared" si="94"/>
        <v>288997.35659879085</v>
      </c>
      <c r="AO33" s="40">
        <f t="shared" si="94"/>
        <v>253245.26358346242</v>
      </c>
      <c r="AP33" s="40">
        <f t="shared" si="94"/>
        <v>337719.24594805558</v>
      </c>
      <c r="AQ33" s="40">
        <f t="shared" si="94"/>
        <v>917413.81462190335</v>
      </c>
      <c r="AR33" s="40">
        <f t="shared" si="94"/>
        <v>1145597.0197120309</v>
      </c>
      <c r="AS33" s="40">
        <f t="shared" si="94"/>
        <v>988866.58881189337</v>
      </c>
      <c r="AT33" s="40">
        <f t="shared" si="94"/>
        <v>672365.26793086936</v>
      </c>
      <c r="AU33" s="40">
        <f t="shared" si="94"/>
        <v>344986.1375718661</v>
      </c>
      <c r="AV33" s="40">
        <f t="shared" ref="AV33" si="147">IF(AV16="","",AV16+(AV$19*(AV25/AV$28)))</f>
        <v>367525.10463732504</v>
      </c>
      <c r="AW33" s="40">
        <f t="shared" si="94"/>
        <v>468411.57966709038</v>
      </c>
      <c r="AX33" s="40">
        <f t="shared" ref="AX33:AY33" si="148">IF(AX16="","",AX16+(AX$19*(AX25/AX$28)))</f>
        <v>620203.95847182651</v>
      </c>
      <c r="AY33" s="40">
        <f t="shared" si="148"/>
        <v>478324.36066286819</v>
      </c>
      <c r="AZ33" s="40">
        <f t="shared" ref="AZ33:BA33" si="149">IF(AZ16="","",AZ16+(AZ$19*(AZ25/AZ$28)))</f>
        <v>479847.59845747025</v>
      </c>
      <c r="BA33" s="40">
        <f t="shared" si="149"/>
        <v>438290.6610723678</v>
      </c>
      <c r="BB33" s="40">
        <f t="shared" ref="BB33:BC33" si="150">IF(BB16="","",BB16+(BB$19*(BB25/BB$28)))</f>
        <v>600233.99929541291</v>
      </c>
      <c r="BC33" s="40">
        <f t="shared" si="150"/>
        <v>1562742.7352753344</v>
      </c>
      <c r="BD33" s="40">
        <f t="shared" ref="BD33:BE33" si="151">IF(BD16="","",BD16+(BD$19*(BD25/BD$28)))</f>
        <v>403317.94432410318</v>
      </c>
      <c r="BE33" s="40">
        <f t="shared" si="151"/>
        <v>405009.19644890801</v>
      </c>
      <c r="BF33" s="40">
        <f t="shared" ref="BF33:BG33" si="152">IF(BF16="","",BF16+(BF$19*(BF25/BF$28)))</f>
        <v>309717.05932065495</v>
      </c>
      <c r="BG33" s="40">
        <f t="shared" si="152"/>
        <v>165446.63321632627</v>
      </c>
      <c r="BH33" s="40">
        <f t="shared" ref="BH33:BI33" si="153">IF(BH16="","",BH16+(BH$19*(BH25/BH$28)))</f>
        <v>177257.17636601315</v>
      </c>
      <c r="BI33" s="40">
        <f t="shared" si="153"/>
        <v>216355.69459913264</v>
      </c>
      <c r="BJ33" s="40">
        <f t="shared" ref="BJ33:BK33" si="154">IF(BJ16="","",BJ16+(BJ$19*(BJ25/BJ$28)))</f>
        <v>297766.07742960955</v>
      </c>
      <c r="BK33" s="40">
        <f t="shared" si="154"/>
        <v>221766.54736590007</v>
      </c>
      <c r="BL33" s="40">
        <f t="shared" ref="BL33:BM33" si="155">IF(BL16="","",BL16+(BL$19*(BL25/BL$28)))</f>
        <v>235868.07069965589</v>
      </c>
      <c r="BM33" s="40">
        <f t="shared" si="155"/>
        <v>217209.78009139144</v>
      </c>
      <c r="BN33" s="40">
        <f t="shared" ref="BN33:BO33" si="156">IF(BN16="","",BN16+(BN$19*(BN25/BN$28)))</f>
        <v>282620.40359287354</v>
      </c>
      <c r="BO33" s="40">
        <f t="shared" si="156"/>
        <v>698718.28942311229</v>
      </c>
      <c r="BP33" s="40">
        <f t="shared" ref="BP33:BQ33" si="157">IF(BP16="","",BP16+(BP$19*(BP25/BP$28)))</f>
        <v>853101.84507416235</v>
      </c>
      <c r="BQ33" s="40">
        <f t="shared" si="157"/>
        <v>813199.23858644778</v>
      </c>
      <c r="BR33" s="40">
        <f t="shared" ref="BR33:BS33" si="158">IF(BR16="","",BR16+(BR$19*(BR25/BR$28)))</f>
        <v>604659.70795225631</v>
      </c>
      <c r="BS33" s="40">
        <f t="shared" si="158"/>
        <v>297586.42900451482</v>
      </c>
      <c r="BT33" s="40">
        <f t="shared" ref="BT33:BU33" si="159">IF(BT16="","",BT16+(BT$19*(BT25/BT$28)))</f>
        <v>295626.02953037975</v>
      </c>
      <c r="BU33" s="40">
        <f t="shared" si="159"/>
        <v>340285.85928937874</v>
      </c>
      <c r="BV33" s="40">
        <f t="shared" ref="BV33:BW33" si="160">IF(BV16="","",BV16+(BV$19*(BV25/BV$28)))</f>
        <v>401361.5413751881</v>
      </c>
      <c r="BW33" s="40">
        <f t="shared" si="160"/>
        <v>318009.86981433083</v>
      </c>
      <c r="BX33" s="40">
        <f t="shared" ref="BX33:BY33" si="161">IF(BX16="","",BX16+(BX$19*(BX25/BX$28)))</f>
        <v>334661.23230941041</v>
      </c>
      <c r="BY33" s="40">
        <f t="shared" si="161"/>
        <v>306179.11142154119</v>
      </c>
      <c r="BZ33" s="40">
        <f t="shared" ref="BZ33:CA33" si="162">IF(BZ16="","",BZ16+(BZ$19*(BZ25/BZ$28)))</f>
        <v>392186.47760127374</v>
      </c>
      <c r="CA33" s="40">
        <f t="shared" si="162"/>
        <v>81564.533081253991</v>
      </c>
      <c r="CB33" s="40">
        <f t="shared" ref="CB33:CC33" si="163">IF(CB16="","",CB16+(CB$19*(CB25/CB$28)))</f>
        <v>86326.098423879681</v>
      </c>
      <c r="CC33" s="40">
        <f t="shared" si="163"/>
        <v>78881.617476605825</v>
      </c>
      <c r="CD33" s="40">
        <f t="shared" ref="CD33:CE33" si="164">IF(CD16="","",CD16+(CD$19*(CD25/CD$28)))</f>
        <v>54995.142936941818</v>
      </c>
      <c r="CE33" s="40">
        <f t="shared" si="164"/>
        <v>28392.513048978599</v>
      </c>
      <c r="CF33" s="262">
        <f t="shared" ref="CF33:CG33" si="165">IF(CF16="","",CF16+(CF$19*(CF25/CF$28)))</f>
        <v>27532.311237571579</v>
      </c>
      <c r="CG33" s="262">
        <f t="shared" si="165"/>
        <v>32065.131352627686</v>
      </c>
      <c r="CH33" s="262">
        <f t="shared" ref="CH33:CI33" si="166">IF(CH16="","",CH16+(CH$19*(CH25/CH$28)))</f>
        <v>33134.796532458939</v>
      </c>
      <c r="CI33" s="263">
        <f t="shared" si="166"/>
        <v>27246.03718741921</v>
      </c>
      <c r="CJ33" s="263">
        <f t="shared" ref="CJ33:CK33" si="167">IF(CJ16="","",CJ16+(CJ$19*(CJ25/CJ$28)))</f>
        <v>28204.838818761345</v>
      </c>
      <c r="CK33" s="263">
        <f t="shared" si="167"/>
        <v>24381.490545677541</v>
      </c>
      <c r="CL33" s="263">
        <f t="shared" ref="CL33:CM33" si="168">IF(CL16="","",CL16+(CL$19*(CL25/CL$28)))</f>
        <v>30603.590182837979</v>
      </c>
      <c r="CM33" s="263">
        <f t="shared" si="168"/>
        <v>70058.568821707624</v>
      </c>
      <c r="CN33" s="263">
        <f t="shared" ref="CN33:CO33" si="169">IF(CN16="","",CN16+(CN$19*(CN25/CN$28)))</f>
        <v>85907.730723638189</v>
      </c>
      <c r="CO33" s="263">
        <f t="shared" si="169"/>
        <v>78053.869360427838</v>
      </c>
      <c r="CP33" s="263">
        <f t="shared" ref="CP33:CQ33" si="170">IF(CP16="","",CP16+(CP$19*(CP25/CP$28)))</f>
        <v>54362.174730435203</v>
      </c>
      <c r="CQ33" s="263">
        <f t="shared" si="170"/>
        <v>28521.50741862326</v>
      </c>
      <c r="CR33" s="263">
        <f t="shared" ref="CR33:CS33" si="171">IF(CR16="","",CR16+(CR$19*(CR25/CR$28)))</f>
        <v>27494.598974925575</v>
      </c>
      <c r="CS33" s="263">
        <f t="shared" si="171"/>
        <v>31678.105549296215</v>
      </c>
      <c r="CT33" s="263">
        <f t="shared" ref="CT33" si="172">IF(CT16="","",CT16+(CT$19*(CT25/CT$28)))</f>
        <v>33243.130447326126</v>
      </c>
    </row>
    <row r="34" spans="1:98" x14ac:dyDescent="0.25">
      <c r="A34" t="s">
        <v>35</v>
      </c>
      <c r="B34" s="32"/>
      <c r="C34" s="32"/>
      <c r="D34" s="40">
        <f>D17+(D$19*(D26/D$28))</f>
        <v>0</v>
      </c>
      <c r="E34" s="40">
        <f t="shared" si="94"/>
        <v>9.4764517045030008</v>
      </c>
      <c r="F34" s="40">
        <f t="shared" si="94"/>
        <v>992.38480063141662</v>
      </c>
      <c r="G34" s="40">
        <f t="shared" si="94"/>
        <v>7292.1248374502911</v>
      </c>
      <c r="H34" s="40">
        <f t="shared" si="94"/>
        <v>15994.94501268368</v>
      </c>
      <c r="I34" s="40">
        <f t="shared" si="94"/>
        <v>17286.492613957165</v>
      </c>
      <c r="J34" s="40">
        <f t="shared" si="94"/>
        <v>20593.63561343183</v>
      </c>
      <c r="K34" s="40">
        <f t="shared" si="94"/>
        <v>13281.46306563299</v>
      </c>
      <c r="L34" s="40">
        <f t="shared" si="94"/>
        <v>20634.15638219006</v>
      </c>
      <c r="M34" s="40">
        <f t="shared" si="94"/>
        <v>18530.128304448888</v>
      </c>
      <c r="N34" s="40">
        <f t="shared" si="94"/>
        <v>41320.38859087076</v>
      </c>
      <c r="O34" s="40">
        <f t="shared" si="94"/>
        <v>29425.974245256413</v>
      </c>
      <c r="P34" s="40">
        <f t="shared" si="94"/>
        <v>32165.147795809222</v>
      </c>
      <c r="Q34" s="40">
        <f t="shared" si="94"/>
        <v>21213.003373036219</v>
      </c>
      <c r="R34" s="40">
        <f t="shared" si="94"/>
        <v>41395.000804902586</v>
      </c>
      <c r="S34" s="40">
        <f t="shared" si="94"/>
        <v>92952.761963081415</v>
      </c>
      <c r="T34" s="40">
        <f t="shared" si="94"/>
        <v>123951.10916307675</v>
      </c>
      <c r="U34" s="40">
        <f t="shared" si="94"/>
        <v>122809.27801030048</v>
      </c>
      <c r="V34" s="40">
        <f t="shared" si="94"/>
        <v>96049.861338882605</v>
      </c>
      <c r="W34" s="40">
        <f t="shared" si="94"/>
        <v>51830.00376307463</v>
      </c>
      <c r="X34" s="40">
        <f t="shared" si="94"/>
        <v>49578.466987818043</v>
      </c>
      <c r="Y34" s="40">
        <f t="shared" si="94"/>
        <v>51735.412802116007</v>
      </c>
      <c r="Z34" s="40">
        <f t="shared" si="94"/>
        <v>90838.744276912417</v>
      </c>
      <c r="AA34" s="40">
        <f t="shared" si="94"/>
        <v>65459.948883100595</v>
      </c>
      <c r="AB34" s="40">
        <f t="shared" si="94"/>
        <v>71534.944524128558</v>
      </c>
      <c r="AC34" s="40">
        <f t="shared" si="94"/>
        <v>71343.757771636898</v>
      </c>
      <c r="AD34" s="40">
        <f t="shared" si="94"/>
        <v>103296.3103477702</v>
      </c>
      <c r="AE34" s="40">
        <f t="shared" si="94"/>
        <v>256562.81120160531</v>
      </c>
      <c r="AF34" s="40">
        <f t="shared" si="94"/>
        <v>319479.07850425603</v>
      </c>
      <c r="AG34" s="40">
        <f t="shared" si="94"/>
        <v>309875.12991512951</v>
      </c>
      <c r="AH34" s="40">
        <f t="shared" si="94"/>
        <v>200668.49634980995</v>
      </c>
      <c r="AI34" s="40">
        <f t="shared" si="94"/>
        <v>111417.50190042912</v>
      </c>
      <c r="AJ34" s="40">
        <f t="shared" si="94"/>
        <v>93253.892629017733</v>
      </c>
      <c r="AK34" s="40">
        <f t="shared" si="94"/>
        <v>103488.5984224446</v>
      </c>
      <c r="AL34" s="40">
        <f t="shared" si="94"/>
        <v>144414.82989089785</v>
      </c>
      <c r="AM34" s="40">
        <f t="shared" si="94"/>
        <v>110066.63506595949</v>
      </c>
      <c r="AN34" s="40">
        <f t="shared" si="94"/>
        <v>50328.1679847302</v>
      </c>
      <c r="AO34" s="40">
        <f t="shared" si="94"/>
        <v>48818.637830727937</v>
      </c>
      <c r="AP34" s="40">
        <f t="shared" si="94"/>
        <v>69139.5977047872</v>
      </c>
      <c r="AQ34" s="40">
        <f t="shared" si="94"/>
        <v>204404.00741586328</v>
      </c>
      <c r="AR34" s="40">
        <f t="shared" si="94"/>
        <v>281050.68735267245</v>
      </c>
      <c r="AS34" s="40">
        <f t="shared" si="94"/>
        <v>243115.17544525067</v>
      </c>
      <c r="AT34" s="40">
        <f t="shared" si="94"/>
        <v>160177.67633933009</v>
      </c>
      <c r="AU34" s="40">
        <f t="shared" si="94"/>
        <v>71401.608823197399</v>
      </c>
      <c r="AV34" s="40">
        <f t="shared" ref="AV34" si="173">IF(AV17="","",AV17+(AV$19*(AV26/AV$28)))</f>
        <v>68759.703767405808</v>
      </c>
      <c r="AW34" s="40">
        <f t="shared" si="94"/>
        <v>79423.074388787179</v>
      </c>
      <c r="AX34" s="40">
        <f t="shared" ref="AX34:AY34" si="174">IF(AX17="","",AX17+(AX$19*(AX26/AX$28)))</f>
        <v>124152.16010630637</v>
      </c>
      <c r="AY34" s="40">
        <f t="shared" si="174"/>
        <v>90652.290206343227</v>
      </c>
      <c r="AZ34" s="40">
        <f t="shared" ref="AZ34:BA34" si="175">IF(AZ17="","",AZ17+(AZ$19*(AZ26/AZ$28)))</f>
        <v>95391.182401412632</v>
      </c>
      <c r="BA34" s="40">
        <f t="shared" si="175"/>
        <v>98092.186887780408</v>
      </c>
      <c r="BB34" s="40">
        <f t="shared" ref="BB34:BC34" si="176">IF(BB17="","",BB17+(BB$19*(BB26/BB$28)))</f>
        <v>146238.88433112807</v>
      </c>
      <c r="BC34" s="40">
        <f t="shared" si="176"/>
        <v>408596.36444724287</v>
      </c>
      <c r="BD34" s="40">
        <f t="shared" ref="BD34:BE34" si="177">IF(BD17="","",BD17+(BD$19*(BD26/BD$28)))</f>
        <v>130017.57406535599</v>
      </c>
      <c r="BE34" s="40">
        <f t="shared" si="177"/>
        <v>135925.39692325707</v>
      </c>
      <c r="BF34" s="40">
        <f t="shared" ref="BF34:BG34" si="178">IF(BF17="","",BF17+(BF$19*(BF26/BF$28)))</f>
        <v>99875.595046319839</v>
      </c>
      <c r="BG34" s="40">
        <f t="shared" si="178"/>
        <v>47172.903672076238</v>
      </c>
      <c r="BH34" s="40">
        <f t="shared" ref="BH34:BI34" si="179">IF(BH17="","",BH17+(BH$19*(BH26/BH$28)))</f>
        <v>49418.318001211912</v>
      </c>
      <c r="BI34" s="40">
        <f t="shared" si="179"/>
        <v>61971.31365560359</v>
      </c>
      <c r="BJ34" s="40">
        <f t="shared" ref="BJ34:BK34" si="180">IF(BJ17="","",BJ17+(BJ$19*(BJ26/BJ$28)))</f>
        <v>100140.32783463651</v>
      </c>
      <c r="BK34" s="40">
        <f t="shared" si="180"/>
        <v>68610.098480887449</v>
      </c>
      <c r="BL34" s="40">
        <f t="shared" ref="BL34:BM34" si="181">IF(BL17="","",BL17+(BL$19*(BL26/BL$28)))</f>
        <v>73112.306140790664</v>
      </c>
      <c r="BM34" s="40">
        <f t="shared" si="181"/>
        <v>69892.91956161111</v>
      </c>
      <c r="BN34" s="40">
        <f t="shared" ref="BN34:BO34" si="182">IF(BN17="","",BN17+(BN$19*(BN26/BN$28)))</f>
        <v>99056.640281670465</v>
      </c>
      <c r="BO34" s="40">
        <f t="shared" si="182"/>
        <v>258498.69847281641</v>
      </c>
      <c r="BP34" s="40">
        <f t="shared" ref="BP34:BQ34" si="183">IF(BP17="","",BP17+(BP$19*(BP26/BP$28)))</f>
        <v>303959.92143258377</v>
      </c>
      <c r="BQ34" s="40">
        <f t="shared" si="183"/>
        <v>294161.07992542034</v>
      </c>
      <c r="BR34" s="40">
        <f t="shared" ref="BR34:BS34" si="184">IF(BR17="","",BR17+(BR$19*(BR26/BR$28)))</f>
        <v>208587.29192292673</v>
      </c>
      <c r="BS34" s="40">
        <f t="shared" si="184"/>
        <v>99425.405828224626</v>
      </c>
      <c r="BT34" s="40">
        <f t="shared" ref="BT34:BU34" si="185">IF(BT17="","",BT17+(BT$19*(BT26/BT$28)))</f>
        <v>98842.803062778577</v>
      </c>
      <c r="BU34" s="40">
        <f t="shared" si="185"/>
        <v>115464.20492233016</v>
      </c>
      <c r="BV34" s="40">
        <f t="shared" ref="BV34:BW34" si="186">IF(BV17="","",BV17+(BV$19*(BV26/BV$28)))</f>
        <v>156216.4699515645</v>
      </c>
      <c r="BW34" s="40">
        <f t="shared" si="186"/>
        <v>122034.6373755614</v>
      </c>
      <c r="BX34" s="40">
        <f t="shared" ref="BX34:BY34" si="187">IF(BX17="","",BX17+(BX$19*(BX26/BX$28)))</f>
        <v>129104.64786842567</v>
      </c>
      <c r="BY34" s="40">
        <f t="shared" si="187"/>
        <v>125454.17992172073</v>
      </c>
      <c r="BZ34" s="40">
        <f t="shared" ref="BZ34:CA34" si="188">IF(BZ17="","",BZ17+(BZ$19*(BZ26/BZ$28)))</f>
        <v>165674.46060157855</v>
      </c>
      <c r="CA34" s="40">
        <f t="shared" si="188"/>
        <v>63855.2695333706</v>
      </c>
      <c r="CB34" s="40">
        <f t="shared" ref="CB34:CC34" si="189">IF(CB17="","",CB17+(CB$19*(CB26/CB$28)))</f>
        <v>55689.033892793799</v>
      </c>
      <c r="CC34" s="40">
        <f t="shared" si="189"/>
        <v>54983.000545667877</v>
      </c>
      <c r="CD34" s="40">
        <f t="shared" ref="CD34:CE34" si="190">IF(CD17="","",CD17+(CD$19*(CD26/CD$28)))</f>
        <v>39487.883144072875</v>
      </c>
      <c r="CE34" s="40">
        <f t="shared" si="190"/>
        <v>18825.129665686756</v>
      </c>
      <c r="CF34" s="262">
        <f t="shared" ref="CF34:CG34" si="191">IF(CF17="","",CF17+(CF$19*(CF26/CF$28)))</f>
        <v>18666.317077249507</v>
      </c>
      <c r="CG34" s="262">
        <f t="shared" si="191"/>
        <v>19499.332821582328</v>
      </c>
      <c r="CH34" s="262">
        <f t="shared" ref="CH34:CI34" si="192">IF(CH17="","",CH17+(CH$19*(CH26/CH$28)))</f>
        <v>19823.174292411899</v>
      </c>
      <c r="CI34" s="263">
        <f t="shared" si="192"/>
        <v>17576.847506669455</v>
      </c>
      <c r="CJ34" s="263">
        <f t="shared" ref="CJ34:CK34" si="193">IF(CJ17="","",CJ17+(CJ$19*(CJ26/CJ$28)))</f>
        <v>18934.489786869763</v>
      </c>
      <c r="CK34" s="263">
        <f t="shared" si="193"/>
        <v>17172.172932981917</v>
      </c>
      <c r="CL34" s="263">
        <f t="shared" ref="CL34:CM34" si="194">IF(CL17="","",CL17+(CL$19*(CL26/CL$28)))</f>
        <v>20833.457443100127</v>
      </c>
      <c r="CM34" s="263">
        <f t="shared" si="194"/>
        <v>49659.185954225941</v>
      </c>
      <c r="CN34" s="263">
        <f t="shared" ref="CN34:CO34" si="195">IF(CN17="","",CN17+(CN$19*(CN26/CN$28)))</f>
        <v>55626.358920484272</v>
      </c>
      <c r="CO34" s="263">
        <f t="shared" si="195"/>
        <v>54321.948748645242</v>
      </c>
      <c r="CP34" s="263">
        <f t="shared" ref="CP34:CQ34" si="196">IF(CP17="","",CP17+(CP$19*(CP26/CP$28)))</f>
        <v>39132.832305285439</v>
      </c>
      <c r="CQ34" s="263">
        <f t="shared" si="196"/>
        <v>18896.49194700256</v>
      </c>
      <c r="CR34" s="263">
        <f t="shared" ref="CR34:CS34" si="197">IF(CR17="","",CR17+(CR$19*(CR26/CR$28)))</f>
        <v>18678.058913576839</v>
      </c>
      <c r="CS34" s="263">
        <f t="shared" si="197"/>
        <v>19417.585727913323</v>
      </c>
      <c r="CT34" s="263">
        <f t="shared" ref="CT34" si="198">IF(CT17="","",CT17+(CT$19*(CT26/CT$28)))</f>
        <v>19889.758487468029</v>
      </c>
    </row>
    <row r="35" spans="1:98" x14ac:dyDescent="0.25">
      <c r="A35" t="s">
        <v>36</v>
      </c>
      <c r="B35" s="32"/>
      <c r="C35" s="32"/>
      <c r="D35" s="40">
        <f>D18+(D$19*(D27/D$28))</f>
        <v>0</v>
      </c>
      <c r="E35" s="40">
        <f t="shared" si="94"/>
        <v>0</v>
      </c>
      <c r="F35" s="40">
        <f t="shared" si="94"/>
        <v>158.37627524588399</v>
      </c>
      <c r="G35" s="40">
        <f t="shared" si="94"/>
        <v>597.17310476301054</v>
      </c>
      <c r="H35" s="40">
        <f t="shared" si="94"/>
        <v>0</v>
      </c>
      <c r="I35" s="40">
        <f t="shared" si="94"/>
        <v>224.30843760020062</v>
      </c>
      <c r="J35" s="40">
        <f t="shared" si="94"/>
        <v>578.11242788452876</v>
      </c>
      <c r="K35" s="40">
        <f t="shared" si="94"/>
        <v>553.72176658848127</v>
      </c>
      <c r="L35" s="40">
        <f t="shared" si="94"/>
        <v>4498.45610981133</v>
      </c>
      <c r="M35" s="40">
        <f t="shared" si="94"/>
        <v>2468.5744882877784</v>
      </c>
      <c r="N35" s="40">
        <f t="shared" si="94"/>
        <v>6482.3323978120161</v>
      </c>
      <c r="O35" s="40">
        <f t="shared" si="94"/>
        <v>4714.4220035550234</v>
      </c>
      <c r="P35" s="40">
        <f t="shared" si="94"/>
        <v>4933.2233077077817</v>
      </c>
      <c r="Q35" s="40">
        <f t="shared" si="94"/>
        <v>4340.5509347173938</v>
      </c>
      <c r="R35" s="40">
        <f t="shared" si="94"/>
        <v>11799.946486826884</v>
      </c>
      <c r="S35" s="40">
        <f t="shared" si="94"/>
        <v>38257.943252341713</v>
      </c>
      <c r="T35" s="40">
        <f t="shared" si="94"/>
        <v>40690.592006909494</v>
      </c>
      <c r="U35" s="40">
        <f t="shared" si="94"/>
        <v>41885.585703975645</v>
      </c>
      <c r="V35" s="40">
        <f t="shared" si="94"/>
        <v>26780.761635291285</v>
      </c>
      <c r="W35" s="40">
        <f t="shared" si="94"/>
        <v>10597.262650374174</v>
      </c>
      <c r="X35" s="40">
        <f t="shared" si="94"/>
        <v>10543.327297722915</v>
      </c>
      <c r="Y35" s="40">
        <f t="shared" si="94"/>
        <v>12471.245557264963</v>
      </c>
      <c r="Z35" s="40">
        <f t="shared" si="94"/>
        <v>12960.956487818141</v>
      </c>
      <c r="AA35" s="40">
        <f t="shared" si="94"/>
        <v>11180.008563256184</v>
      </c>
      <c r="AB35" s="40">
        <f t="shared" si="94"/>
        <v>10723.724250200386</v>
      </c>
      <c r="AC35" s="40">
        <f t="shared" si="94"/>
        <v>12186.584798764601</v>
      </c>
      <c r="AD35" s="40">
        <f t="shared" si="94"/>
        <v>21281.154475581399</v>
      </c>
      <c r="AE35" s="40">
        <f t="shared" si="94"/>
        <v>66612.208134140514</v>
      </c>
      <c r="AF35" s="40">
        <f t="shared" si="94"/>
        <v>73408.187300820806</v>
      </c>
      <c r="AG35" s="40">
        <f t="shared" si="94"/>
        <v>73181.995355948209</v>
      </c>
      <c r="AH35" s="40">
        <f t="shared" si="94"/>
        <v>44682.245754003154</v>
      </c>
      <c r="AI35" s="40">
        <f t="shared" si="94"/>
        <v>19447.902145822471</v>
      </c>
      <c r="AJ35" s="40">
        <f t="shared" si="94"/>
        <v>16125.741463642871</v>
      </c>
      <c r="AK35" s="40">
        <f t="shared" si="94"/>
        <v>19063.36096942682</v>
      </c>
      <c r="AL35" s="40">
        <f t="shared" si="94"/>
        <v>18825.407725594807</v>
      </c>
      <c r="AM35" s="40">
        <f t="shared" si="94"/>
        <v>15042.280346882986</v>
      </c>
      <c r="AN35" s="40">
        <f t="shared" si="94"/>
        <v>5372.5491881501548</v>
      </c>
      <c r="AO35" s="40">
        <f t="shared" si="94"/>
        <v>5761.1753207721658</v>
      </c>
      <c r="AP35" s="40">
        <f t="shared" si="94"/>
        <v>7701.1665386990999</v>
      </c>
      <c r="AQ35" s="40">
        <f t="shared" si="94"/>
        <v>20816.695916117322</v>
      </c>
      <c r="AR35" s="40">
        <f t="shared" si="94"/>
        <v>29321.450972661642</v>
      </c>
      <c r="AS35" s="40">
        <f t="shared" si="94"/>
        <v>29057.042020850196</v>
      </c>
      <c r="AT35" s="40">
        <f t="shared" si="94"/>
        <v>22639.119300577775</v>
      </c>
      <c r="AU35" s="40">
        <f t="shared" si="94"/>
        <v>10522.674846079888</v>
      </c>
      <c r="AV35" s="40">
        <f t="shared" ref="AV35" si="199">IF(AV18="","",AV18+(AV$19*(AV27/AV$28)))</f>
        <v>8402.9395721317924</v>
      </c>
      <c r="AW35" s="40">
        <f t="shared" si="94"/>
        <v>10147.866510048789</v>
      </c>
      <c r="AX35" s="40">
        <f t="shared" ref="AX35:AY35" si="200">IF(AX18="","",AX18+(AX$19*(AX27/AX$28)))</f>
        <v>10184.952993836321</v>
      </c>
      <c r="AY35" s="40">
        <f t="shared" si="200"/>
        <v>9072.0567893273928</v>
      </c>
      <c r="AZ35" s="40">
        <f t="shared" ref="AZ35:BA35" si="201">IF(AZ18="","",AZ18+(AZ$19*(AZ27/AZ$28)))</f>
        <v>9954.6531526973886</v>
      </c>
      <c r="BA35" s="40">
        <f t="shared" si="201"/>
        <v>10973.088832331672</v>
      </c>
      <c r="BB35" s="40">
        <f t="shared" ref="BB35:BC35" si="202">IF(BB18="","",BB18+(BB$19*(BB27/BB$28)))</f>
        <v>20516.921574305627</v>
      </c>
      <c r="BC35" s="40">
        <f t="shared" si="202"/>
        <v>80173.370498125121</v>
      </c>
      <c r="BD35" s="40">
        <f t="shared" ref="BD35:BE35" si="203">IF(BD18="","",BD18+(BD$19*(BD27/BD$28)))</f>
        <v>41066.173957788429</v>
      </c>
      <c r="BE35" s="40">
        <f t="shared" si="203"/>
        <v>43464.865379167015</v>
      </c>
      <c r="BF35" s="40">
        <f t="shared" ref="BF35:BG35" si="204">IF(BF18="","",BF18+(BF$19*(BF27/BF$28)))</f>
        <v>24572.609553779672</v>
      </c>
      <c r="BG35" s="40">
        <f t="shared" si="204"/>
        <v>6397.8158425259671</v>
      </c>
      <c r="BH35" s="40">
        <f t="shared" ref="BH35:BI35" si="205">IF(BH18="","",BH18+(BH$19*(BH27/BH$28)))</f>
        <v>5740.4513919906103</v>
      </c>
      <c r="BI35" s="40">
        <f t="shared" si="205"/>
        <v>7252.8607050266928</v>
      </c>
      <c r="BJ35" s="40">
        <f t="shared" ref="BJ35:BK35" si="206">IF(BJ18="","",BJ18+(BJ$19*(BJ27/BJ$28)))</f>
        <v>15609.264533708742</v>
      </c>
      <c r="BK35" s="40">
        <f t="shared" si="206"/>
        <v>9931.0061988053349</v>
      </c>
      <c r="BL35" s="40">
        <f t="shared" ref="BL35:BM35" si="207">IF(BL18="","",BL18+(BL$19*(BL27/BL$28)))</f>
        <v>10734.517311806689</v>
      </c>
      <c r="BM35" s="40">
        <f t="shared" si="207"/>
        <v>12461.71833996677</v>
      </c>
      <c r="BN35" s="40">
        <f t="shared" ref="BN35:BO35" si="208">IF(BN18="","",BN18+(BN$19*(BN27/BN$28)))</f>
        <v>22695.241702912812</v>
      </c>
      <c r="BO35" s="40">
        <f t="shared" si="208"/>
        <v>65408.507485155234</v>
      </c>
      <c r="BP35" s="40">
        <f t="shared" ref="BP35:BQ35" si="209">IF(BP18="","",BP18+(BP$19*(BP27/BP$28)))</f>
        <v>72715.89068358489</v>
      </c>
      <c r="BQ35" s="40">
        <f t="shared" si="209"/>
        <v>72974.667994930234</v>
      </c>
      <c r="BR35" s="40">
        <f t="shared" ref="BR35:BS35" si="210">IF(BR18="","",BR18+(BR$19*(BR27/BR$28)))</f>
        <v>48263.382838753387</v>
      </c>
      <c r="BS35" s="40">
        <f t="shared" si="210"/>
        <v>20055.85905487034</v>
      </c>
      <c r="BT35" s="40">
        <f t="shared" ref="BT35:BU35" si="211">IF(BT18="","",BT18+(BT$19*(BT27/BT$28)))</f>
        <v>15103.496837869801</v>
      </c>
      <c r="BU35" s="40">
        <f t="shared" si="211"/>
        <v>13409.709179893904</v>
      </c>
      <c r="BV35" s="40">
        <f t="shared" ref="BV35:BW35" si="212">IF(BV18="","",BV18+(BV$19*(BV27/BV$28)))</f>
        <v>16053.337049673319</v>
      </c>
      <c r="BW35" s="40">
        <f t="shared" si="212"/>
        <v>12058.942733292135</v>
      </c>
      <c r="BX35" s="40">
        <f t="shared" ref="BX35:BY35" si="213">IF(BX18="","",BX18+(BX$19*(BX27/BX$28)))</f>
        <v>13671.895489961209</v>
      </c>
      <c r="BY35" s="40">
        <f t="shared" si="213"/>
        <v>17287.347359416068</v>
      </c>
      <c r="BZ35" s="40">
        <f t="shared" ref="BZ35:CA35" si="214">IF(BZ18="","",BZ18+(BZ$19*(BZ27/BZ$28)))</f>
        <v>28613.629133228646</v>
      </c>
      <c r="CA35" s="40">
        <f t="shared" si="214"/>
        <v>3054.4152490765855</v>
      </c>
      <c r="CB35" s="40">
        <f t="shared" ref="CB35:CC35" si="215">IF(CB18="","",CB18+(CB$19*(CB27/CB$28)))</f>
        <v>1404.0805071519901</v>
      </c>
      <c r="CC35" s="40">
        <f t="shared" si="215"/>
        <v>863.32081730207688</v>
      </c>
      <c r="CD35" s="40">
        <f t="shared" ref="CD35:CE35" si="216">IF(CD18="","",CD18+(CD$19*(CD27/CD$28)))</f>
        <v>1749.5709190658795</v>
      </c>
      <c r="CE35" s="40">
        <f t="shared" si="216"/>
        <v>2007.9612851787406</v>
      </c>
      <c r="CF35" s="262">
        <f t="shared" ref="CF35:CG35" si="217">IF(CF18="","",CF18+(CF$19*(CF27/CF$28)))</f>
        <v>1685.8594063360258</v>
      </c>
      <c r="CG35" s="262">
        <f t="shared" si="217"/>
        <v>1825.7457361413103</v>
      </c>
      <c r="CH35" s="262">
        <f t="shared" ref="CH35:CI35" si="218">IF(CH18="","",CH18+(CH$19*(CH27/CH$28)))</f>
        <v>1892.4408284036879</v>
      </c>
      <c r="CI35" s="263">
        <f t="shared" si="218"/>
        <v>1406.0936790490027</v>
      </c>
      <c r="CJ35" s="263">
        <f t="shared" ref="CJ35:CK35" si="219">IF(CJ18="","",CJ18+(CJ$19*(CJ27/CJ$28)))</f>
        <v>1531.6209265889452</v>
      </c>
      <c r="CK35" s="263">
        <f t="shared" si="219"/>
        <v>1308.2588485983065</v>
      </c>
      <c r="CL35" s="263">
        <f t="shared" ref="CL35:CM35" si="220">IF(CL18="","",CL18+(CL$19*(CL27/CL$28)))</f>
        <v>1500.5556712407383</v>
      </c>
      <c r="CM35" s="263">
        <f t="shared" si="220"/>
        <v>1416.6995451262369</v>
      </c>
      <c r="CN35" s="263">
        <f t="shared" ref="CN35:CO35" si="221">IF(CN18="","",CN18+(CN$19*(CN27/CN$28)))</f>
        <v>1619.0752844929684</v>
      </c>
      <c r="CO35" s="263">
        <f t="shared" si="221"/>
        <v>969.73836239314392</v>
      </c>
      <c r="CP35" s="263">
        <f t="shared" ref="CP35:CQ35" si="222">IF(CP18="","",CP18+(CP$19*(CP27/CP$28)))</f>
        <v>1755.2654307871098</v>
      </c>
      <c r="CQ35" s="263">
        <f t="shared" si="222"/>
        <v>2014.8477981497583</v>
      </c>
      <c r="CR35" s="263">
        <f t="shared" ref="CR35:CS35" si="223">IF(CR18="","",CR18+(CR$19*(CR27/CR$28)))</f>
        <v>1675.7412137005783</v>
      </c>
      <c r="CS35" s="263">
        <f t="shared" si="223"/>
        <v>1780.713964430018</v>
      </c>
      <c r="CT35" s="263">
        <f t="shared" ref="CT35" si="224">IF(CT18="","",CT18+(CT$19*(CT27/CT$28)))</f>
        <v>1932.7084372351917</v>
      </c>
    </row>
    <row r="36" spans="1:98" x14ac:dyDescent="0.25">
      <c r="A36" s="28" t="s">
        <v>30</v>
      </c>
      <c r="B36" s="26"/>
      <c r="C36" s="26"/>
      <c r="D36" s="39">
        <f>SUM(D31:D35)</f>
        <v>0.71203150918887492</v>
      </c>
      <c r="E36" s="39">
        <f t="shared" ref="E36:AW36" si="225">SUM(E31:E35)</f>
        <v>4695.4207688607357</v>
      </c>
      <c r="F36" s="39">
        <f t="shared" si="225"/>
        <v>39935.570121927383</v>
      </c>
      <c r="G36" s="39">
        <f t="shared" si="225"/>
        <v>291676.37356246018</v>
      </c>
      <c r="H36" s="39">
        <f t="shared" si="225"/>
        <v>544866.33457860793</v>
      </c>
      <c r="I36" s="39">
        <f t="shared" si="225"/>
        <v>663040.9475663905</v>
      </c>
      <c r="J36" s="39">
        <f t="shared" si="225"/>
        <v>547744.67638274853</v>
      </c>
      <c r="K36" s="39">
        <f t="shared" si="225"/>
        <v>270067.89072131988</v>
      </c>
      <c r="L36" s="39">
        <f t="shared" si="225"/>
        <v>449448.83291898982</v>
      </c>
      <c r="M36" s="39">
        <f t="shared" si="225"/>
        <v>672384.11562352569</v>
      </c>
      <c r="N36" s="39">
        <f t="shared" si="225"/>
        <v>860299.05315340101</v>
      </c>
      <c r="O36" s="39">
        <f t="shared" si="225"/>
        <v>921069.68539476907</v>
      </c>
      <c r="P36" s="39">
        <f t="shared" si="225"/>
        <v>727242.36549864151</v>
      </c>
      <c r="Q36" s="39">
        <f t="shared" si="225"/>
        <v>330495.27100759087</v>
      </c>
      <c r="R36" s="39">
        <f t="shared" si="225"/>
        <v>448514.38010054693</v>
      </c>
      <c r="S36" s="39">
        <f t="shared" si="225"/>
        <v>1166466.8526526124</v>
      </c>
      <c r="T36" s="39">
        <f t="shared" si="225"/>
        <v>1596902.1714481553</v>
      </c>
      <c r="U36" s="39">
        <f t="shared" si="225"/>
        <v>1748272.4117888494</v>
      </c>
      <c r="V36" s="39">
        <f t="shared" si="225"/>
        <v>1519471.0162375702</v>
      </c>
      <c r="W36" s="39">
        <f t="shared" si="225"/>
        <v>764880.45368540613</v>
      </c>
      <c r="X36" s="39">
        <f t="shared" si="225"/>
        <v>908807.65228987054</v>
      </c>
      <c r="Y36" s="39">
        <f t="shared" si="225"/>
        <v>1120062.8565557792</v>
      </c>
      <c r="Z36" s="39">
        <f t="shared" si="225"/>
        <v>1377220.6643166305</v>
      </c>
      <c r="AA36" s="39">
        <f t="shared" si="225"/>
        <v>1195166.5723548159</v>
      </c>
      <c r="AB36" s="39">
        <f t="shared" si="225"/>
        <v>1300632.3993987506</v>
      </c>
      <c r="AC36" s="39">
        <f t="shared" si="225"/>
        <v>1205822.8207733985</v>
      </c>
      <c r="AD36" s="39">
        <f t="shared" si="225"/>
        <v>1472551.2785682736</v>
      </c>
      <c r="AE36" s="39">
        <f t="shared" si="225"/>
        <v>3602609.9103061222</v>
      </c>
      <c r="AF36" s="39">
        <f t="shared" si="225"/>
        <v>4524979.9029475963</v>
      </c>
      <c r="AG36" s="39">
        <f t="shared" si="225"/>
        <v>4557691.9623519126</v>
      </c>
      <c r="AH36" s="39">
        <f t="shared" si="225"/>
        <v>3395133.6257571937</v>
      </c>
      <c r="AI36" s="39">
        <f t="shared" si="225"/>
        <v>1618999.5517252118</v>
      </c>
      <c r="AJ36" s="39">
        <f t="shared" si="225"/>
        <v>1693340.1593012405</v>
      </c>
      <c r="AK36" s="39">
        <f t="shared" si="225"/>
        <v>2043834.5150522972</v>
      </c>
      <c r="AL36" s="39">
        <f t="shared" si="225"/>
        <v>2546894.0685010902</v>
      </c>
      <c r="AM36" s="39">
        <f t="shared" si="225"/>
        <v>2089616.4766016018</v>
      </c>
      <c r="AN36" s="39">
        <f t="shared" si="225"/>
        <v>912247.85076541686</v>
      </c>
      <c r="AO36" s="39">
        <f t="shared" si="225"/>
        <v>846334.21711913741</v>
      </c>
      <c r="AP36" s="39">
        <f t="shared" si="225"/>
        <v>1066637.6782053632</v>
      </c>
      <c r="AQ36" s="39">
        <f t="shared" si="225"/>
        <v>2863352.6421243404</v>
      </c>
      <c r="AR36" s="39">
        <f t="shared" si="225"/>
        <v>3675557.5237109675</v>
      </c>
      <c r="AS36" s="39">
        <f t="shared" si="225"/>
        <v>3342039.9312423696</v>
      </c>
      <c r="AT36" s="39">
        <f t="shared" si="225"/>
        <v>2373846.5851787962</v>
      </c>
      <c r="AU36" s="39">
        <f t="shared" si="225"/>
        <v>1051178.3111241481</v>
      </c>
      <c r="AV36" s="39">
        <f t="shared" ref="AV36" si="226">SUM(AV31:AV35)</f>
        <v>1105092.1759465139</v>
      </c>
      <c r="AW36" s="39">
        <f t="shared" si="225"/>
        <v>1381965.5186848878</v>
      </c>
      <c r="AX36" s="39">
        <f t="shared" ref="AX36:AY36" si="227">SUM(AX31:AX35)</f>
        <v>1700717.7639811411</v>
      </c>
      <c r="AY36" s="39">
        <f t="shared" si="227"/>
        <v>1356926.8590753332</v>
      </c>
      <c r="AZ36" s="39">
        <f t="shared" ref="AZ36:BA36" si="228">SUM(AZ31:AZ35)</f>
        <v>1353802.1905861669</v>
      </c>
      <c r="BA36" s="39">
        <f t="shared" si="228"/>
        <v>1239676.1204544338</v>
      </c>
      <c r="BB36" s="39">
        <f t="shared" ref="BB36:BC36" si="229">SUM(BB31:BB35)</f>
        <v>1628086.4160208032</v>
      </c>
      <c r="BC36" s="39">
        <f t="shared" si="229"/>
        <v>4511630.5078466395</v>
      </c>
      <c r="BD36" s="39">
        <f t="shared" ref="BD36:BE36" si="230">SUM(BD31:BD35)</f>
        <v>1051039.3753533266</v>
      </c>
      <c r="BE36" s="39">
        <f t="shared" si="230"/>
        <v>1133487.8662933947</v>
      </c>
      <c r="BF36" s="39">
        <f t="shared" ref="BF36:BG36" si="231">SUM(BF31:BF35)</f>
        <v>808760.63763167651</v>
      </c>
      <c r="BG36" s="39">
        <f t="shared" si="231"/>
        <v>375458.03446689073</v>
      </c>
      <c r="BH36" s="39">
        <f t="shared" ref="BH36:BI36" si="232">SUM(BH31:BH35)</f>
        <v>426692.32957000914</v>
      </c>
      <c r="BI36" s="39">
        <f t="shared" si="232"/>
        <v>579421.78363716719</v>
      </c>
      <c r="BJ36" s="39">
        <f t="shared" ref="BJ36:BK36" si="233">SUM(BJ31:BJ35)</f>
        <v>801605.52584873373</v>
      </c>
      <c r="BK36" s="39">
        <f t="shared" si="233"/>
        <v>596790.15800777823</v>
      </c>
      <c r="BL36" s="39">
        <f t="shared" ref="BL36:BM36" si="234">SUM(BL31:BL35)</f>
        <v>601738.66705846821</v>
      </c>
      <c r="BM36" s="39">
        <f t="shared" si="234"/>
        <v>554067.14924048469</v>
      </c>
      <c r="BN36" s="39">
        <f t="shared" ref="BN36:BO36" si="235">SUM(BN31:BN35)</f>
        <v>754375.92963655689</v>
      </c>
      <c r="BO36" s="39">
        <f t="shared" si="235"/>
        <v>2025351.824875897</v>
      </c>
      <c r="BP36" s="39">
        <f t="shared" ref="BP36:BQ36" si="236">SUM(BP31:BP35)</f>
        <v>2625386.5745604569</v>
      </c>
      <c r="BQ36" s="39">
        <f t="shared" si="236"/>
        <v>2540999.4109809548</v>
      </c>
      <c r="BR36" s="39">
        <f t="shared" ref="BR36:BS36" si="237">SUM(BR31:BR35)</f>
        <v>1733783.3413791927</v>
      </c>
      <c r="BS36" s="39">
        <f t="shared" si="237"/>
        <v>755529.95697051473</v>
      </c>
      <c r="BT36" s="39">
        <f t="shared" ref="BT36:BU36" si="238">SUM(BT31:BT35)</f>
        <v>800386.78835009958</v>
      </c>
      <c r="BU36" s="39">
        <f t="shared" si="238"/>
        <v>1026238.8106922951</v>
      </c>
      <c r="BV36" s="39">
        <f t="shared" ref="BV36:BW36" si="239">SUM(BV31:BV35)</f>
        <v>1231550.2114614553</v>
      </c>
      <c r="BW36" s="39">
        <f t="shared" si="239"/>
        <v>965580.38748209178</v>
      </c>
      <c r="BX36" s="39">
        <f t="shared" ref="BX36:BY36" si="240">SUM(BX31:BX35)</f>
        <v>943950.69423399284</v>
      </c>
      <c r="BY36" s="39">
        <f t="shared" si="240"/>
        <v>832657.91061831987</v>
      </c>
      <c r="BZ36" s="39">
        <f t="shared" ref="BZ36:CA36" si="241">SUM(BZ31:BZ35)</f>
        <v>1073282.4949379705</v>
      </c>
      <c r="CA36" s="39">
        <f t="shared" si="241"/>
        <v>275621.41704727127</v>
      </c>
      <c r="CB36" s="39">
        <f t="shared" ref="CB36:CC36" si="242">SUM(CB31:CB35)</f>
        <v>346705.7694671881</v>
      </c>
      <c r="CC36" s="39">
        <f t="shared" si="242"/>
        <v>320216.89179785782</v>
      </c>
      <c r="CD36" s="39">
        <f t="shared" ref="CD36:CE36" si="243">SUM(CD31:CD35)</f>
        <v>203766.77594898478</v>
      </c>
      <c r="CE36" s="39">
        <f t="shared" si="243"/>
        <v>87613.12665097836</v>
      </c>
      <c r="CF36" s="39">
        <f t="shared" ref="CF36:CG36" si="244">SUM(CF31:CF35)</f>
        <v>87440.554442982277</v>
      </c>
      <c r="CG36" s="39">
        <f t="shared" si="244"/>
        <v>106803.58051463943</v>
      </c>
      <c r="CH36" s="39">
        <f t="shared" ref="CH36:CI36" si="245">SUM(CH31:CH35)</f>
        <v>109740.14329615336</v>
      </c>
      <c r="CI36" s="39">
        <f t="shared" si="245"/>
        <v>90251.712610174291</v>
      </c>
      <c r="CJ36" s="39">
        <f t="shared" ref="CJ36:CK36" si="246">SUM(CJ31:CJ35)</f>
        <v>90152.429165050824</v>
      </c>
      <c r="CK36" s="39">
        <f t="shared" si="246"/>
        <v>75888.074140667086</v>
      </c>
      <c r="CL36" s="39">
        <f t="shared" ref="CL36:CM36" si="247">SUM(CL31:CL35)</f>
        <v>102090.1322010204</v>
      </c>
      <c r="CM36" s="39">
        <f t="shared" si="247"/>
        <v>273600.27538346616</v>
      </c>
      <c r="CN36" s="39">
        <f t="shared" ref="CN36:CO36" si="248">SUM(CN31:CN35)</f>
        <v>346705.76946718508</v>
      </c>
      <c r="CO36" s="39">
        <f t="shared" si="248"/>
        <v>320216.89179787127</v>
      </c>
      <c r="CP36" s="39">
        <f t="shared" ref="CP36:CQ36" si="249">SUM(CP31:CP35)</f>
        <v>203766.77594898123</v>
      </c>
      <c r="CQ36" s="39">
        <f t="shared" si="249"/>
        <v>87613.126650972859</v>
      </c>
      <c r="CR36" s="39">
        <f t="shared" ref="CR36:CS36" si="250">SUM(CR31:CR35)</f>
        <v>87440.554442982277</v>
      </c>
      <c r="CS36" s="39">
        <f t="shared" si="250"/>
        <v>106803.58051463943</v>
      </c>
      <c r="CT36" s="39">
        <f t="shared" ref="CT36" si="251">SUM(CT31:CT35)</f>
        <v>109740.14329615334</v>
      </c>
    </row>
    <row r="37" spans="1:98" x14ac:dyDescent="0.25">
      <c r="A37" s="28"/>
      <c r="B37" s="26"/>
      <c r="C37" s="26"/>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row>
    <row r="38" spans="1:98" x14ac:dyDescent="0.25">
      <c r="A38" s="28"/>
      <c r="B38" s="26"/>
      <c r="C38" s="26"/>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30" t="s">
        <v>144</v>
      </c>
      <c r="CF38" s="71"/>
      <c r="CG38" s="71"/>
      <c r="CH38" s="30" t="s">
        <v>145</v>
      </c>
      <c r="CI38" s="71"/>
      <c r="CJ38" s="71"/>
      <c r="CK38" s="71"/>
      <c r="CL38" s="71"/>
      <c r="CM38" s="71"/>
      <c r="CN38" s="71"/>
      <c r="CO38" s="71"/>
      <c r="CP38" s="71"/>
      <c r="CQ38" s="71"/>
      <c r="CS38" s="30" t="s">
        <v>146</v>
      </c>
    </row>
    <row r="39" spans="1:98" x14ac:dyDescent="0.25">
      <c r="A39" s="28"/>
      <c r="B39" s="26"/>
      <c r="C39" s="26"/>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t="s">
        <v>32</v>
      </c>
      <c r="CE39" s="264">
        <f>SUM(D31:CE31)</f>
        <v>52922569.107681975</v>
      </c>
      <c r="CF39" s="71"/>
      <c r="CG39" t="s">
        <v>32</v>
      </c>
      <c r="CH39" s="265">
        <f>SUM(CF31:CH31)</f>
        <v>64773.198314992369</v>
      </c>
      <c r="CI39" s="71"/>
      <c r="CJ39" s="71"/>
      <c r="CK39" s="71"/>
      <c r="CL39" s="71"/>
      <c r="CM39" s="71"/>
      <c r="CN39" s="71"/>
      <c r="CO39" s="71"/>
      <c r="CP39" s="71"/>
      <c r="CQ39" s="71"/>
      <c r="CR39" t="s">
        <v>32</v>
      </c>
      <c r="CS39" s="266">
        <f>SUM(CI31:CT31)</f>
        <v>611620.27748818137</v>
      </c>
    </row>
    <row r="40" spans="1:98" x14ac:dyDescent="0.25">
      <c r="A40" s="28"/>
      <c r="B40" s="26"/>
      <c r="C40" s="26"/>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t="s">
        <v>33</v>
      </c>
      <c r="CE40" s="264">
        <f t="shared" ref="CE40:CE43" si="252">SUM(D32:CE32)</f>
        <v>13251563.927425593</v>
      </c>
      <c r="CF40" s="71"/>
      <c r="CG40" t="s">
        <v>33</v>
      </c>
      <c r="CH40" s="265">
        <f t="shared" ref="CH40:CH43" si="253">SUM(CF32:CH32)</f>
        <v>83085.970653999713</v>
      </c>
      <c r="CI40" s="71"/>
      <c r="CJ40" s="71"/>
      <c r="CK40" s="71"/>
      <c r="CL40" s="71"/>
      <c r="CM40" s="71"/>
      <c r="CN40" s="71"/>
      <c r="CO40" s="71"/>
      <c r="CP40" s="71"/>
      <c r="CQ40" s="71"/>
      <c r="CR40" t="s">
        <v>33</v>
      </c>
      <c r="CS40" s="266">
        <f t="shared" ref="CS40:CS42" si="254">SUM(CI32:CT32)</f>
        <v>393843.03753389179</v>
      </c>
    </row>
    <row r="41" spans="1:98" x14ac:dyDescent="0.25">
      <c r="A41" s="28"/>
      <c r="B41" s="26"/>
      <c r="C41" s="26"/>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t="s">
        <v>34</v>
      </c>
      <c r="CE41" s="264">
        <f t="shared" si="252"/>
        <v>27989379.303258013</v>
      </c>
      <c r="CF41" s="71"/>
      <c r="CG41" t="s">
        <v>34</v>
      </c>
      <c r="CH41" s="265">
        <f t="shared" si="253"/>
        <v>92732.239122658211</v>
      </c>
      <c r="CI41" s="71"/>
      <c r="CJ41" s="71"/>
      <c r="CK41" s="71"/>
      <c r="CL41" s="71"/>
      <c r="CM41" s="71"/>
      <c r="CN41" s="71"/>
      <c r="CO41" s="71"/>
      <c r="CP41" s="71"/>
      <c r="CQ41" s="71"/>
      <c r="CR41" t="s">
        <v>34</v>
      </c>
      <c r="CS41" s="266">
        <f t="shared" si="254"/>
        <v>519755.64276107604</v>
      </c>
    </row>
    <row r="42" spans="1:98" x14ac:dyDescent="0.25">
      <c r="A42" s="28"/>
      <c r="B42" s="26"/>
      <c r="C42" s="26"/>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t="s">
        <v>35</v>
      </c>
      <c r="CE42" s="264">
        <f t="shared" si="252"/>
        <v>8405940.8127673622</v>
      </c>
      <c r="CF42" s="71"/>
      <c r="CG42" t="s">
        <v>35</v>
      </c>
      <c r="CH42" s="265">
        <f t="shared" si="253"/>
        <v>57988.824191243737</v>
      </c>
      <c r="CI42" s="71"/>
      <c r="CJ42" s="71"/>
      <c r="CK42" s="71"/>
      <c r="CL42" s="71"/>
      <c r="CM42" s="71"/>
      <c r="CN42" s="71"/>
      <c r="CO42" s="71"/>
      <c r="CP42" s="71"/>
      <c r="CQ42" s="71"/>
      <c r="CR42" t="s">
        <v>35</v>
      </c>
      <c r="CS42" s="266">
        <f t="shared" si="254"/>
        <v>350139.18867422285</v>
      </c>
    </row>
    <row r="43" spans="1:98" x14ac:dyDescent="0.25">
      <c r="A43" s="28"/>
      <c r="B43" s="26"/>
      <c r="C43" s="26"/>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t="s">
        <v>36</v>
      </c>
      <c r="CE43" s="264">
        <f t="shared" si="252"/>
        <v>1532537.9371791796</v>
      </c>
      <c r="CF43" s="71"/>
      <c r="CG43" t="s">
        <v>36</v>
      </c>
      <c r="CH43" s="265">
        <f t="shared" si="253"/>
        <v>5404.045970881024</v>
      </c>
      <c r="CI43" s="71"/>
      <c r="CJ43" s="71"/>
      <c r="CK43" s="71"/>
      <c r="CL43" s="71"/>
      <c r="CM43" s="71"/>
      <c r="CN43" s="71"/>
      <c r="CO43" s="71"/>
      <c r="CP43" s="71"/>
      <c r="CQ43" s="71"/>
      <c r="CR43" t="s">
        <v>36</v>
      </c>
      <c r="CS43" s="266">
        <f>SUM(CI35:CT35)</f>
        <v>18911.319161791998</v>
      </c>
    </row>
    <row r="44" spans="1:98" x14ac:dyDescent="0.25">
      <c r="A44" s="28"/>
      <c r="B44" s="26"/>
      <c r="C44" s="26"/>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28" t="s">
        <v>30</v>
      </c>
      <c r="CE44" s="264">
        <f>SUM(D36:CE36)</f>
        <v>104101991.08831213</v>
      </c>
      <c r="CF44" s="71"/>
      <c r="CG44" s="28" t="s">
        <v>30</v>
      </c>
      <c r="CH44" s="265">
        <f>SUM(CF36:CH36)</f>
        <v>303984.27825377503</v>
      </c>
      <c r="CI44" s="71"/>
      <c r="CJ44" s="71"/>
      <c r="CK44" s="71"/>
      <c r="CL44" s="71"/>
      <c r="CM44" s="71"/>
      <c r="CN44" s="71"/>
      <c r="CO44" s="71"/>
      <c r="CP44" s="71"/>
      <c r="CQ44" s="71"/>
      <c r="CR44" s="28" t="s">
        <v>30</v>
      </c>
      <c r="CS44" s="266">
        <f>SUM(CI36:CT36)</f>
        <v>1894269.4656191641</v>
      </c>
    </row>
    <row r="45" spans="1:98" x14ac:dyDescent="0.25">
      <c r="A45" s="28"/>
      <c r="B45" s="26"/>
      <c r="C45" s="26"/>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row>
    <row r="46" spans="1:98" s="73" customFormat="1" ht="15.75" thickBot="1" x14ac:dyDescent="0.3"/>
    <row r="47" spans="1:98" ht="15.75" x14ac:dyDescent="0.25">
      <c r="A47" s="70" t="s">
        <v>52</v>
      </c>
    </row>
    <row r="49" spans="1:98" x14ac:dyDescent="0.25">
      <c r="B49" s="10">
        <v>42370</v>
      </c>
      <c r="C49" s="10">
        <v>43497</v>
      </c>
      <c r="D49" s="10">
        <v>43525</v>
      </c>
      <c r="E49" s="10">
        <v>43556</v>
      </c>
      <c r="F49" s="10">
        <v>43586</v>
      </c>
      <c r="G49" s="10">
        <v>43617</v>
      </c>
      <c r="H49" s="10">
        <v>43647</v>
      </c>
      <c r="I49" s="10">
        <v>43678</v>
      </c>
      <c r="J49" s="10">
        <v>43709</v>
      </c>
      <c r="K49" s="10">
        <v>43739</v>
      </c>
      <c r="L49" s="10">
        <v>43770</v>
      </c>
      <c r="M49" s="10">
        <v>43800</v>
      </c>
      <c r="N49" s="10">
        <v>43831</v>
      </c>
      <c r="O49" s="10">
        <v>43862</v>
      </c>
      <c r="P49" s="10">
        <v>43891</v>
      </c>
      <c r="Q49" s="10">
        <v>43922</v>
      </c>
      <c r="R49" s="10">
        <v>43952</v>
      </c>
      <c r="S49" s="10">
        <v>43983</v>
      </c>
      <c r="T49" s="10">
        <v>44013</v>
      </c>
      <c r="U49" s="10">
        <v>44044</v>
      </c>
      <c r="V49" s="10">
        <v>44075</v>
      </c>
      <c r="W49" s="10">
        <v>44105</v>
      </c>
      <c r="X49" s="10">
        <v>44136</v>
      </c>
      <c r="Y49" s="10">
        <v>44166</v>
      </c>
      <c r="Z49" s="10">
        <v>44197</v>
      </c>
      <c r="AA49" s="10">
        <v>44228</v>
      </c>
      <c r="AB49" s="10">
        <v>44256</v>
      </c>
      <c r="AC49" s="10">
        <v>44287</v>
      </c>
      <c r="AD49" s="10">
        <v>44317</v>
      </c>
      <c r="AE49" s="10">
        <v>44348</v>
      </c>
      <c r="AF49" s="10">
        <v>44378</v>
      </c>
      <c r="AG49" s="10">
        <v>44409</v>
      </c>
      <c r="AH49" s="10">
        <v>44440</v>
      </c>
      <c r="AI49" s="10">
        <v>44470</v>
      </c>
      <c r="AJ49" s="10">
        <v>44501</v>
      </c>
      <c r="AK49" s="10">
        <v>44531</v>
      </c>
      <c r="AL49" s="10">
        <v>44562</v>
      </c>
      <c r="AM49" s="10">
        <v>44593</v>
      </c>
      <c r="AN49" s="10">
        <v>44621</v>
      </c>
      <c r="AO49" s="10">
        <v>44652</v>
      </c>
      <c r="AP49" s="10">
        <v>44682</v>
      </c>
      <c r="AQ49" s="10">
        <v>44713</v>
      </c>
      <c r="AR49" s="10">
        <v>44743</v>
      </c>
      <c r="AS49" s="10">
        <v>44774</v>
      </c>
      <c r="AT49" s="10">
        <v>44805</v>
      </c>
      <c r="AU49" s="10">
        <v>44835</v>
      </c>
      <c r="AV49" s="10">
        <v>44866</v>
      </c>
      <c r="AW49" s="10">
        <v>44896</v>
      </c>
      <c r="AX49" s="10">
        <v>44927</v>
      </c>
      <c r="AY49" s="10">
        <v>44958</v>
      </c>
      <c r="AZ49" s="10">
        <v>44986</v>
      </c>
      <c r="BA49" s="10">
        <v>45017</v>
      </c>
      <c r="BB49" s="10">
        <v>45047</v>
      </c>
      <c r="BC49" s="10">
        <v>45078</v>
      </c>
      <c r="BD49" s="10">
        <v>45108</v>
      </c>
      <c r="BE49" s="10">
        <v>45139</v>
      </c>
      <c r="BF49" s="10">
        <v>45170</v>
      </c>
      <c r="BG49" s="10">
        <v>45200</v>
      </c>
      <c r="BH49" s="10">
        <v>45231</v>
      </c>
      <c r="BI49" s="10">
        <v>45261</v>
      </c>
      <c r="BJ49" s="10">
        <v>45292</v>
      </c>
      <c r="BK49" s="10">
        <v>45323</v>
      </c>
      <c r="BL49" s="10">
        <v>45352</v>
      </c>
      <c r="BM49" s="10">
        <v>45383</v>
      </c>
      <c r="BN49" s="10">
        <v>45413</v>
      </c>
      <c r="BO49" s="10">
        <v>45444</v>
      </c>
      <c r="BP49" s="10">
        <v>45474</v>
      </c>
      <c r="BQ49" s="10">
        <v>45505</v>
      </c>
      <c r="BR49" s="10">
        <v>45536</v>
      </c>
      <c r="BS49" s="10">
        <v>45566</v>
      </c>
      <c r="BT49" s="10">
        <v>45597</v>
      </c>
      <c r="BU49" s="10">
        <v>45627</v>
      </c>
      <c r="BV49" s="10">
        <v>45658</v>
      </c>
      <c r="BW49" s="10">
        <v>45689</v>
      </c>
      <c r="BX49" s="10">
        <v>45717</v>
      </c>
      <c r="BY49" s="10">
        <v>45748</v>
      </c>
      <c r="BZ49" s="10">
        <v>45778</v>
      </c>
      <c r="CA49" s="10">
        <v>45809</v>
      </c>
      <c r="CB49" s="10">
        <v>45839</v>
      </c>
      <c r="CC49" s="10">
        <v>45870</v>
      </c>
      <c r="CD49" s="10">
        <v>45901</v>
      </c>
      <c r="CE49" s="10">
        <v>45931</v>
      </c>
      <c r="CF49" s="10">
        <v>45962</v>
      </c>
      <c r="CG49" s="10">
        <v>45992</v>
      </c>
      <c r="CH49" s="10">
        <v>46023</v>
      </c>
      <c r="CI49" s="10">
        <v>46054</v>
      </c>
      <c r="CJ49" s="10">
        <v>46082</v>
      </c>
      <c r="CK49" s="10">
        <v>46113</v>
      </c>
      <c r="CL49" s="10">
        <v>46143</v>
      </c>
      <c r="CM49" s="10">
        <v>46174</v>
      </c>
      <c r="CN49" s="10">
        <v>46204</v>
      </c>
      <c r="CO49" s="10">
        <v>46235</v>
      </c>
      <c r="CP49" s="10">
        <v>46266</v>
      </c>
      <c r="CQ49" s="10">
        <v>46296</v>
      </c>
      <c r="CR49" s="10">
        <v>46327</v>
      </c>
      <c r="CS49" s="10">
        <v>46357</v>
      </c>
      <c r="CT49" s="10">
        <v>46388</v>
      </c>
    </row>
    <row r="50" spans="1:98" x14ac:dyDescent="0.25">
      <c r="A50" s="31" t="s">
        <v>53</v>
      </c>
      <c r="B50" s="27"/>
      <c r="C50" s="27"/>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67" t="s">
        <v>147</v>
      </c>
      <c r="CG50" s="268"/>
      <c r="CH50" s="25"/>
      <c r="CI50" s="25"/>
      <c r="CJ50" s="25"/>
      <c r="CK50" s="25"/>
      <c r="CL50" s="25"/>
      <c r="CM50" s="25"/>
      <c r="CN50" s="25"/>
      <c r="CO50" s="25"/>
      <c r="CP50" s="25"/>
      <c r="CQ50" s="25"/>
      <c r="CR50" s="25"/>
      <c r="CS50" s="25"/>
      <c r="CT50" s="25"/>
    </row>
    <row r="51" spans="1:98" x14ac:dyDescent="0.25">
      <c r="A51" t="s">
        <v>32</v>
      </c>
      <c r="B51" s="32"/>
      <c r="C51" s="32"/>
      <c r="D51" s="36">
        <v>0</v>
      </c>
      <c r="E51" s="36">
        <v>0</v>
      </c>
      <c r="F51" s="36">
        <v>28084.31</v>
      </c>
      <c r="G51" s="36">
        <v>338961.47</v>
      </c>
      <c r="H51" s="36">
        <v>431295.26</v>
      </c>
      <c r="I51" s="36">
        <v>454282.99</v>
      </c>
      <c r="J51" s="36">
        <v>419095.06</v>
      </c>
      <c r="K51" s="36">
        <v>344369.99</v>
      </c>
      <c r="L51" s="36">
        <v>308922.03999999998</v>
      </c>
      <c r="M51" s="36">
        <v>415727.27</v>
      </c>
      <c r="N51" s="36">
        <v>459121.81</v>
      </c>
      <c r="O51" s="36">
        <v>465524.23</v>
      </c>
      <c r="P51" s="36">
        <v>420640.46</v>
      </c>
      <c r="Q51" s="36">
        <v>333131.02</v>
      </c>
      <c r="R51" s="36">
        <v>297680.28000000003</v>
      </c>
      <c r="S51" s="36">
        <v>393958.55</v>
      </c>
      <c r="T51" s="36">
        <v>529326.34</v>
      </c>
      <c r="U51" s="36">
        <v>496875.44</v>
      </c>
      <c r="V51" s="36">
        <v>447785.36</v>
      </c>
      <c r="W51" s="36">
        <v>302563.73</v>
      </c>
      <c r="X51" s="36">
        <v>322763.34999999998</v>
      </c>
      <c r="Y51" s="36">
        <v>427989.89</v>
      </c>
      <c r="Z51" s="36">
        <v>556980.75</v>
      </c>
      <c r="AA51" s="36">
        <v>1353651.15</v>
      </c>
      <c r="AB51" s="36">
        <v>1757169.11</v>
      </c>
      <c r="AC51" s="36">
        <v>1185680.5900000001</v>
      </c>
      <c r="AD51" s="36">
        <v>1113985.45</v>
      </c>
      <c r="AE51" s="36">
        <v>1461163.75</v>
      </c>
      <c r="AF51" s="36">
        <v>1930056.97</v>
      </c>
      <c r="AG51" s="36">
        <v>1969181.34</v>
      </c>
      <c r="AH51" s="36">
        <v>1934282.8</v>
      </c>
      <c r="AI51" s="37">
        <v>1339485.02</v>
      </c>
      <c r="AJ51" s="37">
        <v>1255189.19</v>
      </c>
      <c r="AK51" s="37">
        <v>1570523</v>
      </c>
      <c r="AL51" s="37">
        <v>2029998.28</v>
      </c>
      <c r="AM51" s="37">
        <v>1633369.11</v>
      </c>
      <c r="AN51" s="37">
        <v>714783.1</v>
      </c>
      <c r="AO51" s="37">
        <v>547759.59</v>
      </c>
      <c r="AP51" s="37">
        <v>512195.47</v>
      </c>
      <c r="AQ51" s="37">
        <v>651024.82999999996</v>
      </c>
      <c r="AR51" s="37">
        <v>895488.58</v>
      </c>
      <c r="AS51" s="37">
        <v>853007.9</v>
      </c>
      <c r="AT51" s="37">
        <v>710408.72</v>
      </c>
      <c r="AU51" s="37">
        <v>511382.36</v>
      </c>
      <c r="AV51" s="37">
        <v>484043.54</v>
      </c>
      <c r="AW51" s="37">
        <v>740070.25</v>
      </c>
      <c r="AX51" s="37">
        <v>888488.17</v>
      </c>
      <c r="AY51" s="37">
        <v>877032.36</v>
      </c>
      <c r="AZ51" s="37">
        <v>866898.88</v>
      </c>
      <c r="BA51" s="37">
        <v>747574.22</v>
      </c>
      <c r="BB51" s="37">
        <v>639066.06000000006</v>
      </c>
      <c r="BC51" s="37">
        <v>826550.17</v>
      </c>
      <c r="BD51" s="37">
        <v>1081582.31</v>
      </c>
      <c r="BE51" s="37">
        <v>1114808.79</v>
      </c>
      <c r="BF51" s="37">
        <v>1031141.02</v>
      </c>
      <c r="BG51" s="37">
        <v>747638.7</v>
      </c>
      <c r="BH51" s="37">
        <v>653625.79</v>
      </c>
      <c r="BI51" s="37">
        <v>910434.22</v>
      </c>
      <c r="BJ51" s="37">
        <v>1191729.8600000001</v>
      </c>
      <c r="BK51" s="37">
        <v>902975.13</v>
      </c>
      <c r="BL51" s="37">
        <v>301871.32</v>
      </c>
      <c r="BM51" s="37">
        <v>270897.64</v>
      </c>
      <c r="BN51" s="37">
        <v>245579.13</v>
      </c>
      <c r="BO51" s="37">
        <v>335264.71999999997</v>
      </c>
      <c r="BP51" s="37">
        <v>448247.77</v>
      </c>
      <c r="BQ51" s="37">
        <v>408404.26</v>
      </c>
      <c r="BR51" s="37">
        <v>387762.57</v>
      </c>
      <c r="BS51" s="37">
        <v>283021.02</v>
      </c>
      <c r="BT51" s="37">
        <v>233126.3</v>
      </c>
      <c r="BU51" s="37">
        <v>362315.94</v>
      </c>
      <c r="BV51" s="37">
        <v>486897.28</v>
      </c>
      <c r="BW51" s="37">
        <v>284946.36</v>
      </c>
      <c r="BX51" s="37">
        <v>-2992.13</v>
      </c>
      <c r="BY51" s="37">
        <v>-4303.6000000000004</v>
      </c>
      <c r="BZ51" s="37">
        <v>-4026.58</v>
      </c>
      <c r="CA51" s="37">
        <v>-5558.69</v>
      </c>
      <c r="CB51" s="37">
        <v>-9608.99</v>
      </c>
      <c r="CC51" s="37">
        <v>-9906.74</v>
      </c>
      <c r="CD51" s="37">
        <v>-7797.56</v>
      </c>
      <c r="CE51" s="37">
        <v>-6082.29</v>
      </c>
      <c r="CF51" s="269">
        <f>'[1]TDR (M3)'!CF22</f>
        <v>-6275.9244427403291</v>
      </c>
      <c r="CG51" s="269">
        <f>'[1]TDR (M3)'!CG22</f>
        <v>-7869.3444278954912</v>
      </c>
      <c r="CH51" s="269">
        <f>'[1]TDR (M3)'!CH22</f>
        <v>-10080.250130918594</v>
      </c>
      <c r="CI51" s="256"/>
      <c r="CJ51" s="256"/>
      <c r="CK51" s="256"/>
      <c r="CL51" s="256"/>
      <c r="CM51" s="256"/>
      <c r="CN51" s="256"/>
      <c r="CO51" s="256"/>
      <c r="CP51" s="256"/>
      <c r="CQ51" s="256"/>
      <c r="CR51" s="256"/>
      <c r="CS51" s="256"/>
      <c r="CT51" s="256"/>
    </row>
    <row r="52" spans="1:98" x14ac:dyDescent="0.25">
      <c r="A52" t="s">
        <v>33</v>
      </c>
      <c r="B52" s="32"/>
      <c r="C52" s="32"/>
      <c r="D52" s="36">
        <v>0</v>
      </c>
      <c r="E52" s="36">
        <v>0</v>
      </c>
      <c r="F52" s="36">
        <v>4774.55</v>
      </c>
      <c r="G52" s="36">
        <v>61751.54</v>
      </c>
      <c r="H52" s="36">
        <v>70665.5</v>
      </c>
      <c r="I52" s="36">
        <v>72630.98</v>
      </c>
      <c r="J52" s="36">
        <v>70137.22</v>
      </c>
      <c r="K52" s="36">
        <v>63135.64</v>
      </c>
      <c r="L52" s="36">
        <v>56628.27</v>
      </c>
      <c r="M52" s="36">
        <v>66553.34</v>
      </c>
      <c r="N52" s="36">
        <v>70974.64</v>
      </c>
      <c r="O52" s="36">
        <v>74514.039999999994</v>
      </c>
      <c r="P52" s="36">
        <v>73821.710000000006</v>
      </c>
      <c r="Q52" s="36">
        <v>56719.11</v>
      </c>
      <c r="R52" s="36">
        <v>51424.73</v>
      </c>
      <c r="S52" s="36">
        <v>64574.18</v>
      </c>
      <c r="T52" s="36">
        <v>80406.710000000006</v>
      </c>
      <c r="U52" s="36">
        <v>78372.460000000006</v>
      </c>
      <c r="V52" s="36">
        <v>75020.86</v>
      </c>
      <c r="W52" s="36">
        <v>60809.53</v>
      </c>
      <c r="X52" s="36">
        <v>60774.8</v>
      </c>
      <c r="Y52" s="36">
        <v>70212.570000000007</v>
      </c>
      <c r="Z52" s="36">
        <v>83755.55</v>
      </c>
      <c r="AA52" s="36">
        <v>247981.23</v>
      </c>
      <c r="AB52" s="36">
        <v>383476.26</v>
      </c>
      <c r="AC52" s="36">
        <v>305019.12</v>
      </c>
      <c r="AD52" s="36">
        <v>298211.62</v>
      </c>
      <c r="AE52" s="36">
        <v>355738.71</v>
      </c>
      <c r="AF52" s="36">
        <v>421100.95</v>
      </c>
      <c r="AG52" s="36">
        <v>421260.25</v>
      </c>
      <c r="AH52" s="36">
        <v>425647.35</v>
      </c>
      <c r="AI52" s="37">
        <v>355043.17</v>
      </c>
      <c r="AJ52" s="37">
        <v>317440.44</v>
      </c>
      <c r="AK52" s="37">
        <v>361675.89</v>
      </c>
      <c r="AL52" s="37">
        <v>427108.58</v>
      </c>
      <c r="AM52" s="37">
        <v>352548.03</v>
      </c>
      <c r="AN52" s="37">
        <v>202576.3</v>
      </c>
      <c r="AO52" s="37">
        <v>179190.8</v>
      </c>
      <c r="AP52" s="37">
        <v>173555.15</v>
      </c>
      <c r="AQ52" s="37">
        <v>201857.14</v>
      </c>
      <c r="AR52" s="37">
        <v>241561.15</v>
      </c>
      <c r="AS52" s="37">
        <v>236616.94</v>
      </c>
      <c r="AT52" s="37">
        <v>216950.84</v>
      </c>
      <c r="AU52" s="37">
        <v>178443.25</v>
      </c>
      <c r="AV52" s="37">
        <v>170114.82</v>
      </c>
      <c r="AW52" s="37">
        <v>212488.19</v>
      </c>
      <c r="AX52" s="37">
        <v>243116.99</v>
      </c>
      <c r="AY52" s="37">
        <v>187551.07</v>
      </c>
      <c r="AZ52" s="37">
        <v>136792.68</v>
      </c>
      <c r="BA52" s="37">
        <v>125661.64</v>
      </c>
      <c r="BB52" s="37">
        <v>115949.34</v>
      </c>
      <c r="BC52" s="37">
        <v>139369.25</v>
      </c>
      <c r="BD52" s="37">
        <v>161718.04</v>
      </c>
      <c r="BE52" s="37">
        <v>165200.46</v>
      </c>
      <c r="BF52" s="37">
        <v>159904.26</v>
      </c>
      <c r="BG52" s="37">
        <v>135422.35</v>
      </c>
      <c r="BH52" s="37">
        <v>124505.35</v>
      </c>
      <c r="BI52" s="37">
        <v>143114.57999999999</v>
      </c>
      <c r="BJ52" s="37">
        <v>172661.94</v>
      </c>
      <c r="BK52" s="37">
        <v>182184.47</v>
      </c>
      <c r="BL52" s="37">
        <v>166367.26999999999</v>
      </c>
      <c r="BM52" s="37">
        <v>161733.9</v>
      </c>
      <c r="BN52" s="37">
        <v>154028.51</v>
      </c>
      <c r="BO52" s="37">
        <v>188258.77</v>
      </c>
      <c r="BP52" s="37">
        <v>225103.9</v>
      </c>
      <c r="BQ52" s="37">
        <v>211259.27</v>
      </c>
      <c r="BR52" s="37">
        <v>205684.72</v>
      </c>
      <c r="BS52" s="37">
        <v>173502.18</v>
      </c>
      <c r="BT52" s="37">
        <v>155398.64000000001</v>
      </c>
      <c r="BU52" s="37">
        <v>190237.95</v>
      </c>
      <c r="BV52" s="37">
        <v>230514.07</v>
      </c>
      <c r="BW52" s="37">
        <v>166298.1</v>
      </c>
      <c r="BX52" s="37">
        <v>78777.42</v>
      </c>
      <c r="BY52" s="37">
        <v>61516.25</v>
      </c>
      <c r="BZ52" s="37">
        <v>60587.86</v>
      </c>
      <c r="CA52" s="37">
        <v>69867.460000000006</v>
      </c>
      <c r="CB52" s="37">
        <v>91978.09</v>
      </c>
      <c r="CC52" s="37">
        <v>88740.28</v>
      </c>
      <c r="CD52" s="37">
        <v>82112.33</v>
      </c>
      <c r="CE52" s="37">
        <v>72867.53</v>
      </c>
      <c r="CF52" s="269">
        <f>'[1]TDR (M3)'!CF23</f>
        <v>62543.639300253861</v>
      </c>
      <c r="CG52" s="269">
        <f>'[1]TDR (M3)'!CG23</f>
        <v>77296.090813167248</v>
      </c>
      <c r="CH52" s="269">
        <f>'[1]TDR (M3)'!CH23</f>
        <v>86486.887565472192</v>
      </c>
      <c r="CI52" s="256"/>
      <c r="CJ52" s="256"/>
      <c r="CK52" s="256"/>
      <c r="CL52" s="256"/>
      <c r="CM52" s="256"/>
      <c r="CN52" s="256"/>
      <c r="CO52" s="256"/>
      <c r="CP52" s="256"/>
      <c r="CQ52" s="256"/>
      <c r="CR52" s="256"/>
      <c r="CS52" s="256"/>
      <c r="CT52" s="256"/>
    </row>
    <row r="53" spans="1:98" x14ac:dyDescent="0.25">
      <c r="A53" t="s">
        <v>34</v>
      </c>
      <c r="B53" s="32"/>
      <c r="C53" s="32"/>
      <c r="D53" s="36">
        <v>0</v>
      </c>
      <c r="E53" s="36">
        <v>0</v>
      </c>
      <c r="F53" s="36">
        <v>7030.01</v>
      </c>
      <c r="G53" s="36">
        <v>109921.60000000001</v>
      </c>
      <c r="H53" s="36">
        <v>118808.51</v>
      </c>
      <c r="I53" s="36">
        <v>121642.28</v>
      </c>
      <c r="J53" s="36">
        <v>122769.41</v>
      </c>
      <c r="K53" s="36">
        <v>112787.98</v>
      </c>
      <c r="L53" s="36">
        <v>99578.23</v>
      </c>
      <c r="M53" s="36">
        <v>107954.61</v>
      </c>
      <c r="N53" s="36">
        <v>111669.28</v>
      </c>
      <c r="O53" s="36">
        <v>108510.2</v>
      </c>
      <c r="P53" s="36">
        <v>102469.35</v>
      </c>
      <c r="Q53" s="36">
        <v>87569.04</v>
      </c>
      <c r="R53" s="36">
        <v>81676.990000000005</v>
      </c>
      <c r="S53" s="36">
        <v>96788.800000000003</v>
      </c>
      <c r="T53" s="36">
        <v>113009.35</v>
      </c>
      <c r="U53" s="36">
        <v>112596.34</v>
      </c>
      <c r="V53" s="36">
        <v>112065.74</v>
      </c>
      <c r="W53" s="36">
        <v>95621.75</v>
      </c>
      <c r="X53" s="36">
        <v>93151.01</v>
      </c>
      <c r="Y53" s="36">
        <v>100114.88</v>
      </c>
      <c r="Z53" s="36">
        <v>107296.64</v>
      </c>
      <c r="AA53" s="36">
        <v>327311.55</v>
      </c>
      <c r="AB53" s="36">
        <v>570755.55000000005</v>
      </c>
      <c r="AC53" s="36">
        <v>508276</v>
      </c>
      <c r="AD53" s="36">
        <v>517711.44</v>
      </c>
      <c r="AE53" s="36">
        <v>575315.39</v>
      </c>
      <c r="AF53" s="36">
        <v>673826.02</v>
      </c>
      <c r="AG53" s="36">
        <v>667802.68999999994</v>
      </c>
      <c r="AH53" s="36">
        <v>680633.38</v>
      </c>
      <c r="AI53" s="37">
        <v>598281.09</v>
      </c>
      <c r="AJ53" s="37">
        <v>531580.77</v>
      </c>
      <c r="AK53" s="37">
        <v>580996.63</v>
      </c>
      <c r="AL53" s="37">
        <v>621109.79</v>
      </c>
      <c r="AM53" s="37">
        <v>504253.87</v>
      </c>
      <c r="AN53" s="37">
        <v>301892.69</v>
      </c>
      <c r="AO53" s="37">
        <v>280545.46999999997</v>
      </c>
      <c r="AP53" s="37">
        <v>290164.87</v>
      </c>
      <c r="AQ53" s="37">
        <v>325613.77</v>
      </c>
      <c r="AR53" s="37">
        <v>365143.97</v>
      </c>
      <c r="AS53" s="37">
        <v>362549.21</v>
      </c>
      <c r="AT53" s="37">
        <v>346741.86</v>
      </c>
      <c r="AU53" s="37">
        <v>297961.13</v>
      </c>
      <c r="AV53" s="37">
        <v>289745.45</v>
      </c>
      <c r="AW53" s="37">
        <v>322981.7</v>
      </c>
      <c r="AX53" s="37">
        <v>335255.09999999998</v>
      </c>
      <c r="AY53" s="37">
        <v>503655.97</v>
      </c>
      <c r="AZ53" s="37">
        <v>786219.87</v>
      </c>
      <c r="BA53" s="37">
        <v>753502.02</v>
      </c>
      <c r="BB53" s="37">
        <v>749883.21</v>
      </c>
      <c r="BC53" s="37">
        <v>846049.12</v>
      </c>
      <c r="BD53" s="37">
        <v>910940.94</v>
      </c>
      <c r="BE53" s="37">
        <v>943469.07</v>
      </c>
      <c r="BF53" s="37">
        <v>944687.32</v>
      </c>
      <c r="BG53" s="37">
        <v>830714.65</v>
      </c>
      <c r="BH53" s="37">
        <v>765733.92</v>
      </c>
      <c r="BI53" s="37">
        <v>816557.84</v>
      </c>
      <c r="BJ53" s="37">
        <v>899820.37</v>
      </c>
      <c r="BK53" s="37">
        <v>678121.62</v>
      </c>
      <c r="BL53" s="37">
        <v>394853.96</v>
      </c>
      <c r="BM53" s="37">
        <v>390347.84</v>
      </c>
      <c r="BN53" s="37">
        <v>392311.86</v>
      </c>
      <c r="BO53" s="37">
        <v>444401.89</v>
      </c>
      <c r="BP53" s="37">
        <v>501845.24</v>
      </c>
      <c r="BQ53" s="37">
        <v>470958.47</v>
      </c>
      <c r="BR53" s="37">
        <v>471187.07</v>
      </c>
      <c r="BS53" s="37">
        <v>420272.21</v>
      </c>
      <c r="BT53" s="37">
        <v>384054.89</v>
      </c>
      <c r="BU53" s="37">
        <v>420308.5</v>
      </c>
      <c r="BV53" s="37">
        <v>461466.22</v>
      </c>
      <c r="BW53" s="37">
        <v>272202.73</v>
      </c>
      <c r="BX53" s="37">
        <v>16278.59</v>
      </c>
      <c r="BY53" s="37">
        <v>6042.21</v>
      </c>
      <c r="BZ53" s="37">
        <v>13517.52</v>
      </c>
      <c r="CA53" s="37">
        <v>10002.959999999999</v>
      </c>
      <c r="CB53" s="37">
        <v>13375.95</v>
      </c>
      <c r="CC53" s="37">
        <v>14816.58</v>
      </c>
      <c r="CD53" s="37">
        <v>11188.53</v>
      </c>
      <c r="CE53" s="37">
        <v>10502.1</v>
      </c>
      <c r="CF53" s="269">
        <f>'[1]TDR (M3)'!CF24</f>
        <v>9782.1356912015654</v>
      </c>
      <c r="CG53" s="269">
        <f>'[1]TDR (M3)'!CG24</f>
        <v>10549.678412374169</v>
      </c>
      <c r="CH53" s="269">
        <f>'[1]TDR (M3)'!CH24</f>
        <v>10819.930110165269</v>
      </c>
      <c r="CI53" s="256"/>
      <c r="CJ53" s="256"/>
      <c r="CK53" s="256"/>
      <c r="CL53" s="256"/>
      <c r="CM53" s="256"/>
      <c r="CN53" s="256"/>
      <c r="CO53" s="256"/>
      <c r="CP53" s="256"/>
      <c r="CQ53" s="256"/>
      <c r="CR53" s="256"/>
      <c r="CS53" s="256"/>
      <c r="CT53" s="256"/>
    </row>
    <row r="54" spans="1:98" x14ac:dyDescent="0.25">
      <c r="A54" t="s">
        <v>35</v>
      </c>
      <c r="B54" s="32"/>
      <c r="C54" s="32"/>
      <c r="D54" s="36">
        <v>0</v>
      </c>
      <c r="E54" s="36">
        <v>0</v>
      </c>
      <c r="F54" s="36">
        <v>2496.56</v>
      </c>
      <c r="G54" s="36">
        <v>42291.09</v>
      </c>
      <c r="H54" s="36">
        <v>47913.74</v>
      </c>
      <c r="I54" s="36">
        <v>50299.83</v>
      </c>
      <c r="J54" s="36">
        <v>49993.73</v>
      </c>
      <c r="K54" s="36">
        <v>46326.65</v>
      </c>
      <c r="L54" s="36">
        <v>42840.77</v>
      </c>
      <c r="M54" s="36">
        <v>43135.040000000001</v>
      </c>
      <c r="N54" s="36">
        <v>44374.04</v>
      </c>
      <c r="O54" s="36">
        <v>45259.54</v>
      </c>
      <c r="P54" s="36">
        <v>39182.19</v>
      </c>
      <c r="Q54" s="36">
        <v>38273.29</v>
      </c>
      <c r="R54" s="36">
        <v>36030.870000000003</v>
      </c>
      <c r="S54" s="36">
        <v>41962.67</v>
      </c>
      <c r="T54" s="36">
        <v>44167.05</v>
      </c>
      <c r="U54" s="36">
        <v>46294.41</v>
      </c>
      <c r="V54" s="36">
        <v>46306.19</v>
      </c>
      <c r="W54" s="36">
        <v>41160.14</v>
      </c>
      <c r="X54" s="36">
        <v>40868.620000000003</v>
      </c>
      <c r="Y54" s="36">
        <v>42762.14</v>
      </c>
      <c r="Z54" s="36">
        <v>41986.66</v>
      </c>
      <c r="AA54" s="36">
        <v>113037.43</v>
      </c>
      <c r="AB54" s="36">
        <v>187949.41</v>
      </c>
      <c r="AC54" s="36">
        <v>188602.4</v>
      </c>
      <c r="AD54" s="36">
        <v>195382.67</v>
      </c>
      <c r="AE54" s="36">
        <v>188207.84</v>
      </c>
      <c r="AF54" s="36">
        <v>251615.09</v>
      </c>
      <c r="AG54" s="36">
        <v>231015.31</v>
      </c>
      <c r="AH54" s="36">
        <v>233947.55</v>
      </c>
      <c r="AI54" s="37">
        <v>202010.25</v>
      </c>
      <c r="AJ54" s="37">
        <v>176212.48000000001</v>
      </c>
      <c r="AK54" s="37">
        <v>231619.08</v>
      </c>
      <c r="AL54" s="37">
        <v>223678.57</v>
      </c>
      <c r="AM54" s="37">
        <v>167453.84</v>
      </c>
      <c r="AN54" s="37">
        <v>87280.08</v>
      </c>
      <c r="AO54" s="37">
        <v>74518.28</v>
      </c>
      <c r="AP54" s="37">
        <v>87009.31</v>
      </c>
      <c r="AQ54" s="37">
        <v>99059.55</v>
      </c>
      <c r="AR54" s="37">
        <v>102989.08</v>
      </c>
      <c r="AS54" s="37">
        <v>102162.93</v>
      </c>
      <c r="AT54" s="37">
        <v>99521.61</v>
      </c>
      <c r="AU54" s="37">
        <v>88233.75</v>
      </c>
      <c r="AV54" s="37">
        <v>89104.03</v>
      </c>
      <c r="AW54" s="37">
        <v>92492.2</v>
      </c>
      <c r="AX54" s="37">
        <v>88054.05</v>
      </c>
      <c r="AY54" s="37">
        <v>120533.48</v>
      </c>
      <c r="AZ54" s="37">
        <v>193175.07</v>
      </c>
      <c r="BA54" s="37">
        <v>200125.64</v>
      </c>
      <c r="BB54" s="37">
        <v>199975.26</v>
      </c>
      <c r="BC54" s="37">
        <v>209103.63</v>
      </c>
      <c r="BD54" s="37">
        <v>214447.91</v>
      </c>
      <c r="BE54" s="37">
        <v>242601.69</v>
      </c>
      <c r="BF54" s="37">
        <v>231833.74</v>
      </c>
      <c r="BG54" s="37">
        <v>201281.09</v>
      </c>
      <c r="BH54" s="37">
        <v>202710.95</v>
      </c>
      <c r="BI54" s="37">
        <v>199303.11</v>
      </c>
      <c r="BJ54" s="37">
        <v>210550.35</v>
      </c>
      <c r="BK54" s="37">
        <v>168623.56</v>
      </c>
      <c r="BL54" s="37">
        <v>84037.78</v>
      </c>
      <c r="BM54" s="37">
        <v>76596.08</v>
      </c>
      <c r="BN54" s="37">
        <v>80331.31</v>
      </c>
      <c r="BO54" s="37">
        <v>87580.99</v>
      </c>
      <c r="BP54" s="37">
        <v>94051.1</v>
      </c>
      <c r="BQ54" s="37">
        <v>88881.49</v>
      </c>
      <c r="BR54" s="37">
        <v>87211.46</v>
      </c>
      <c r="BS54" s="37">
        <v>85590.09</v>
      </c>
      <c r="BT54" s="37">
        <v>75721.740000000005</v>
      </c>
      <c r="BU54" s="37">
        <v>79950.48</v>
      </c>
      <c r="BV54" s="37">
        <v>82986.16</v>
      </c>
      <c r="BW54" s="37">
        <v>64363.3</v>
      </c>
      <c r="BX54" s="37">
        <v>18236.240000000002</v>
      </c>
      <c r="BY54" s="37">
        <v>16235.29</v>
      </c>
      <c r="BZ54" s="37">
        <v>16893.650000000001</v>
      </c>
      <c r="CA54" s="37">
        <v>16916.34</v>
      </c>
      <c r="CB54" s="37">
        <v>20637.79</v>
      </c>
      <c r="CC54" s="37">
        <v>18413.400000000001</v>
      </c>
      <c r="CD54" s="37">
        <v>18346.669999999998</v>
      </c>
      <c r="CE54" s="37">
        <v>18443.5</v>
      </c>
      <c r="CF54" s="269">
        <f>'[1]TDR (M3)'!CF25</f>
        <v>16511.211713162218</v>
      </c>
      <c r="CG54" s="269">
        <f>'[1]TDR (M3)'!CG25</f>
        <v>16738.633733472947</v>
      </c>
      <c r="CH54" s="269">
        <f>'[1]TDR (M3)'!CH25</f>
        <v>17736.726430661125</v>
      </c>
      <c r="CI54" s="256"/>
      <c r="CJ54" s="256"/>
      <c r="CK54" s="256"/>
      <c r="CL54" s="256"/>
      <c r="CM54" s="256"/>
      <c r="CN54" s="256"/>
      <c r="CO54" s="256"/>
      <c r="CP54" s="256"/>
      <c r="CQ54" s="256"/>
      <c r="CR54" s="256"/>
      <c r="CS54" s="256"/>
      <c r="CT54" s="256"/>
    </row>
    <row r="55" spans="1:98" x14ac:dyDescent="0.25">
      <c r="A55" t="s">
        <v>36</v>
      </c>
      <c r="B55" s="32"/>
      <c r="C55" s="32"/>
      <c r="D55" s="36">
        <v>0</v>
      </c>
      <c r="E55" s="36">
        <v>0</v>
      </c>
      <c r="F55" s="36">
        <v>0</v>
      </c>
      <c r="G55" s="36">
        <v>4678.1400000000003</v>
      </c>
      <c r="H55" s="36">
        <v>7353.04</v>
      </c>
      <c r="I55" s="36">
        <v>8142.09</v>
      </c>
      <c r="J55" s="36">
        <v>8251.43</v>
      </c>
      <c r="K55" s="36">
        <v>7783.91</v>
      </c>
      <c r="L55" s="36">
        <v>6912.68</v>
      </c>
      <c r="M55" s="36">
        <v>6504.34</v>
      </c>
      <c r="N55" s="36">
        <v>6883.48</v>
      </c>
      <c r="O55" s="36">
        <v>11571.12</v>
      </c>
      <c r="P55" s="36">
        <v>19931.79</v>
      </c>
      <c r="Q55" s="36">
        <v>21827.09</v>
      </c>
      <c r="R55" s="36">
        <v>22161.01</v>
      </c>
      <c r="S55" s="36">
        <v>17306.599999999999</v>
      </c>
      <c r="T55" s="36">
        <v>24911.24</v>
      </c>
      <c r="U55" s="36">
        <v>25659.02</v>
      </c>
      <c r="V55" s="36">
        <v>26024.15</v>
      </c>
      <c r="W55" s="36">
        <v>22923.1</v>
      </c>
      <c r="X55" s="36">
        <v>22483.33</v>
      </c>
      <c r="Y55" s="36">
        <v>22959.24</v>
      </c>
      <c r="Z55" s="36">
        <v>20997.32</v>
      </c>
      <c r="AA55" s="36">
        <v>34921.4</v>
      </c>
      <c r="AB55" s="36">
        <v>24946.880000000001</v>
      </c>
      <c r="AC55" s="36">
        <v>42288.49</v>
      </c>
      <c r="AD55" s="36">
        <v>42963.199999999997</v>
      </c>
      <c r="AE55" s="36">
        <v>41464.47</v>
      </c>
      <c r="AF55" s="36">
        <v>52916.49</v>
      </c>
      <c r="AG55" s="36">
        <v>50374.33</v>
      </c>
      <c r="AH55" s="36">
        <v>54469.919999999998</v>
      </c>
      <c r="AI55" s="37">
        <v>49925.55</v>
      </c>
      <c r="AJ55" s="37">
        <v>33144.800000000003</v>
      </c>
      <c r="AK55" s="37">
        <v>46471.67</v>
      </c>
      <c r="AL55" s="37">
        <v>43301.11</v>
      </c>
      <c r="AM55" s="37">
        <v>35959.279999999999</v>
      </c>
      <c r="AN55" s="37">
        <v>6497.26</v>
      </c>
      <c r="AO55" s="37">
        <v>-22925.25</v>
      </c>
      <c r="AP55" s="37">
        <v>5065.87</v>
      </c>
      <c r="AQ55" s="37">
        <v>6175.37</v>
      </c>
      <c r="AR55" s="37">
        <v>7084.63</v>
      </c>
      <c r="AS55" s="37">
        <v>7005.11</v>
      </c>
      <c r="AT55" s="37">
        <v>7302.95</v>
      </c>
      <c r="AU55" s="37">
        <v>6273.92</v>
      </c>
      <c r="AV55" s="37">
        <v>6266.68</v>
      </c>
      <c r="AW55" s="37">
        <v>6152.05</v>
      </c>
      <c r="AX55" s="37">
        <v>5193.43</v>
      </c>
      <c r="AY55" s="37">
        <v>7679.01</v>
      </c>
      <c r="AZ55" s="37">
        <v>21723.21</v>
      </c>
      <c r="BA55" s="37">
        <v>21854.95</v>
      </c>
      <c r="BB55" s="37">
        <v>22860.41</v>
      </c>
      <c r="BC55" s="37">
        <v>27496.560000000001</v>
      </c>
      <c r="BD55" s="37">
        <v>25753.58</v>
      </c>
      <c r="BE55" s="37">
        <v>29526.94</v>
      </c>
      <c r="BF55" s="37">
        <v>32202.720000000001</v>
      </c>
      <c r="BG55" s="37">
        <v>32474.48</v>
      </c>
      <c r="BH55" s="37">
        <v>28952.26</v>
      </c>
      <c r="BI55" s="37">
        <v>32597.200000000001</v>
      </c>
      <c r="BJ55" s="37">
        <v>28562.54</v>
      </c>
      <c r="BK55" s="37">
        <v>20444.849999999999</v>
      </c>
      <c r="BL55" s="37">
        <v>14661.1</v>
      </c>
      <c r="BM55" s="37">
        <v>14188.33</v>
      </c>
      <c r="BN55" s="37">
        <v>17263.419999999998</v>
      </c>
      <c r="BO55" s="37">
        <v>17504.25</v>
      </c>
      <c r="BP55" s="37">
        <v>20201.560000000001</v>
      </c>
      <c r="BQ55" s="37">
        <v>19905.560000000001</v>
      </c>
      <c r="BR55" s="37">
        <v>17391.68</v>
      </c>
      <c r="BS55" s="37">
        <v>17371.310000000001</v>
      </c>
      <c r="BT55" s="37">
        <v>16689.669999999998</v>
      </c>
      <c r="BU55" s="37">
        <v>13860.53</v>
      </c>
      <c r="BV55" s="37">
        <v>17198.009999999998</v>
      </c>
      <c r="BW55" s="37">
        <v>14843</v>
      </c>
      <c r="BX55" s="37">
        <v>12807.58</v>
      </c>
      <c r="BY55" s="37">
        <v>14520.76</v>
      </c>
      <c r="BZ55" s="37">
        <v>13926.1</v>
      </c>
      <c r="CA55" s="37">
        <v>17317.05</v>
      </c>
      <c r="CB55" s="37">
        <v>20494.689999999999</v>
      </c>
      <c r="CC55" s="37">
        <v>19756.54</v>
      </c>
      <c r="CD55" s="37">
        <v>18444.400000000001</v>
      </c>
      <c r="CE55" s="37">
        <v>18115.59</v>
      </c>
      <c r="CF55" s="269">
        <f>'[1]TDR (M3)'!CF26</f>
        <v>14708.745060143248</v>
      </c>
      <c r="CG55" s="269">
        <f>'[1]TDR (M3)'!CG26</f>
        <v>14250.279873156478</v>
      </c>
      <c r="CH55" s="269">
        <f>'[1]TDR (M3)'!CH26</f>
        <v>13840.44240103612</v>
      </c>
      <c r="CI55" s="256"/>
      <c r="CJ55" s="256"/>
      <c r="CK55" s="256"/>
      <c r="CL55" s="256"/>
      <c r="CM55" s="256"/>
      <c r="CN55" s="256"/>
      <c r="CO55" s="256"/>
      <c r="CP55" s="256"/>
      <c r="CQ55" s="256"/>
      <c r="CR55" s="256"/>
      <c r="CS55" s="256"/>
      <c r="CT55" s="256"/>
    </row>
    <row r="56" spans="1:98" x14ac:dyDescent="0.25">
      <c r="A56" s="28" t="s">
        <v>30</v>
      </c>
      <c r="B56" s="26"/>
      <c r="C56" s="26"/>
      <c r="D56" s="39">
        <f>SUM(D51:D55)</f>
        <v>0</v>
      </c>
      <c r="E56" s="39">
        <f t="shared" ref="E56:AW56" si="255">SUM(E51:E55)</f>
        <v>0</v>
      </c>
      <c r="F56" s="39">
        <f t="shared" si="255"/>
        <v>42385.43</v>
      </c>
      <c r="G56" s="39">
        <f t="shared" si="255"/>
        <v>557603.83999999997</v>
      </c>
      <c r="H56" s="39">
        <f t="shared" si="255"/>
        <v>676036.05</v>
      </c>
      <c r="I56" s="39">
        <f t="shared" si="255"/>
        <v>706998.16999999993</v>
      </c>
      <c r="J56" s="39">
        <f t="shared" si="255"/>
        <v>670246.85000000009</v>
      </c>
      <c r="K56" s="39">
        <f t="shared" si="255"/>
        <v>574404.17000000004</v>
      </c>
      <c r="L56" s="39">
        <f t="shared" si="255"/>
        <v>514881.99</v>
      </c>
      <c r="M56" s="39">
        <f t="shared" si="255"/>
        <v>639874.6</v>
      </c>
      <c r="N56" s="39">
        <f t="shared" si="255"/>
        <v>693023.25</v>
      </c>
      <c r="O56" s="39">
        <f t="shared" si="255"/>
        <v>705379.13</v>
      </c>
      <c r="P56" s="39">
        <f t="shared" si="255"/>
        <v>656045.5</v>
      </c>
      <c r="Q56" s="39">
        <f t="shared" si="255"/>
        <v>537519.54999999993</v>
      </c>
      <c r="R56" s="39">
        <f t="shared" si="255"/>
        <v>488973.88</v>
      </c>
      <c r="S56" s="39">
        <f t="shared" si="255"/>
        <v>614590.80000000005</v>
      </c>
      <c r="T56" s="39">
        <f t="shared" si="255"/>
        <v>791820.69</v>
      </c>
      <c r="U56" s="39">
        <f t="shared" si="255"/>
        <v>759797.67</v>
      </c>
      <c r="V56" s="39">
        <f t="shared" si="255"/>
        <v>707202.29999999993</v>
      </c>
      <c r="W56" s="39">
        <f t="shared" si="255"/>
        <v>523078.25</v>
      </c>
      <c r="X56" s="39">
        <f t="shared" si="255"/>
        <v>540041.11</v>
      </c>
      <c r="Y56" s="39">
        <f t="shared" si="255"/>
        <v>664038.72000000009</v>
      </c>
      <c r="Z56" s="39">
        <f t="shared" si="255"/>
        <v>811016.92</v>
      </c>
      <c r="AA56" s="39">
        <f t="shared" si="255"/>
        <v>2076902.7599999998</v>
      </c>
      <c r="AB56" s="39">
        <f t="shared" si="255"/>
        <v>2924297.21</v>
      </c>
      <c r="AC56" s="39">
        <f t="shared" si="255"/>
        <v>2229866.6</v>
      </c>
      <c r="AD56" s="39">
        <f t="shared" si="255"/>
        <v>2168254.38</v>
      </c>
      <c r="AE56" s="39">
        <f t="shared" si="255"/>
        <v>2621890.16</v>
      </c>
      <c r="AF56" s="39">
        <f t="shared" si="255"/>
        <v>3329515.52</v>
      </c>
      <c r="AG56" s="39">
        <f t="shared" si="255"/>
        <v>3339633.92</v>
      </c>
      <c r="AH56" s="39">
        <f t="shared" si="255"/>
        <v>3328980.9999999995</v>
      </c>
      <c r="AI56" s="39">
        <f t="shared" si="255"/>
        <v>2544745.0799999996</v>
      </c>
      <c r="AJ56" s="39">
        <f t="shared" si="255"/>
        <v>2313567.6799999997</v>
      </c>
      <c r="AK56" s="39">
        <f t="shared" si="255"/>
        <v>2791286.27</v>
      </c>
      <c r="AL56" s="39">
        <f t="shared" si="255"/>
        <v>3345196.3299999996</v>
      </c>
      <c r="AM56" s="39">
        <f t="shared" si="255"/>
        <v>2693584.13</v>
      </c>
      <c r="AN56" s="39">
        <f t="shared" si="255"/>
        <v>1313029.43</v>
      </c>
      <c r="AO56" s="39">
        <f t="shared" si="255"/>
        <v>1059088.8899999999</v>
      </c>
      <c r="AP56" s="39">
        <f t="shared" si="255"/>
        <v>1067990.6700000002</v>
      </c>
      <c r="AQ56" s="39">
        <f t="shared" si="255"/>
        <v>1283730.6600000001</v>
      </c>
      <c r="AR56" s="39">
        <f t="shared" si="255"/>
        <v>1612267.41</v>
      </c>
      <c r="AS56" s="39">
        <f t="shared" si="255"/>
        <v>1561342.09</v>
      </c>
      <c r="AT56" s="39">
        <f t="shared" si="255"/>
        <v>1380925.98</v>
      </c>
      <c r="AU56" s="39">
        <f t="shared" si="255"/>
        <v>1082294.4099999999</v>
      </c>
      <c r="AV56" s="39">
        <f t="shared" ref="AV56" si="256">SUM(AV51:AV55)</f>
        <v>1039274.5200000001</v>
      </c>
      <c r="AW56" s="39">
        <f t="shared" si="255"/>
        <v>1374184.39</v>
      </c>
      <c r="AX56" s="39">
        <f t="shared" ref="AX56:AY56" si="257">SUM(AX51:AX55)</f>
        <v>1560107.7400000002</v>
      </c>
      <c r="AY56" s="39">
        <f t="shared" si="257"/>
        <v>1696451.89</v>
      </c>
      <c r="AZ56" s="39">
        <f t="shared" ref="AZ56:BA56" si="258">SUM(AZ51:AZ55)</f>
        <v>2004809.7100000002</v>
      </c>
      <c r="BA56" s="39">
        <f t="shared" si="258"/>
        <v>1848718.47</v>
      </c>
      <c r="BB56" s="39">
        <f t="shared" ref="BB56:BC56" si="259">SUM(BB51:BB55)</f>
        <v>1727734.2799999998</v>
      </c>
      <c r="BC56" s="39">
        <f t="shared" si="259"/>
        <v>2048568.73</v>
      </c>
      <c r="BD56" s="39">
        <f t="shared" ref="BD56:BE56" si="260">SUM(BD51:BD55)</f>
        <v>2394442.7800000003</v>
      </c>
      <c r="BE56" s="39">
        <f t="shared" si="260"/>
        <v>2495606.9499999997</v>
      </c>
      <c r="BF56" s="39">
        <f t="shared" ref="BF56:BG56" si="261">SUM(BF51:BF55)</f>
        <v>2399769.06</v>
      </c>
      <c r="BG56" s="39">
        <f t="shared" si="261"/>
        <v>1947531.27</v>
      </c>
      <c r="BH56" s="39">
        <f t="shared" ref="BH56:BI56" si="262">SUM(BH51:BH55)</f>
        <v>1775528.27</v>
      </c>
      <c r="BI56" s="39">
        <f t="shared" si="262"/>
        <v>2102006.9500000002</v>
      </c>
      <c r="BJ56" s="39">
        <f t="shared" ref="BJ56:BK56" si="263">SUM(BJ51:BJ55)</f>
        <v>2503325.06</v>
      </c>
      <c r="BK56" s="39">
        <f t="shared" si="263"/>
        <v>1952349.6300000004</v>
      </c>
      <c r="BL56" s="39">
        <f t="shared" ref="BL56:BM56" si="264">SUM(BL51:BL55)</f>
        <v>961791.43</v>
      </c>
      <c r="BM56" s="39">
        <f t="shared" si="264"/>
        <v>913763.79</v>
      </c>
      <c r="BN56" s="39">
        <f t="shared" ref="BN56:BO56" si="265">SUM(BN51:BN55)</f>
        <v>889514.2300000001</v>
      </c>
      <c r="BO56" s="39">
        <f t="shared" si="265"/>
        <v>1073010.6200000001</v>
      </c>
      <c r="BP56" s="39">
        <f t="shared" ref="BP56:BQ56" si="266">SUM(BP51:BP55)</f>
        <v>1289449.5700000003</v>
      </c>
      <c r="BQ56" s="39">
        <f t="shared" si="266"/>
        <v>1199409.05</v>
      </c>
      <c r="BR56" s="39">
        <f t="shared" ref="BR56:BS56" si="267">SUM(BR51:BR55)</f>
        <v>1169237.5</v>
      </c>
      <c r="BS56" s="39">
        <f t="shared" si="267"/>
        <v>979756.81</v>
      </c>
      <c r="BT56" s="39">
        <f t="shared" ref="BT56:BU56" si="268">SUM(BT51:BT55)</f>
        <v>864991.24000000011</v>
      </c>
      <c r="BU56" s="39">
        <f t="shared" si="268"/>
        <v>1066673.4000000001</v>
      </c>
      <c r="BV56" s="39">
        <f t="shared" ref="BV56:BW56" si="269">SUM(BV51:BV55)</f>
        <v>1279061.74</v>
      </c>
      <c r="BW56" s="39">
        <f t="shared" si="269"/>
        <v>802653.49</v>
      </c>
      <c r="BX56" s="39">
        <f t="shared" ref="BX56:BY56" si="270">SUM(BX51:BX55)</f>
        <v>123107.7</v>
      </c>
      <c r="BY56" s="39">
        <f t="shared" si="270"/>
        <v>94010.909999999989</v>
      </c>
      <c r="BZ56" s="39">
        <f t="shared" ref="BZ56:CA56" si="271">SUM(BZ51:BZ55)</f>
        <v>100898.55000000002</v>
      </c>
      <c r="CA56" s="39">
        <f t="shared" si="271"/>
        <v>108545.12000000001</v>
      </c>
      <c r="CB56" s="39">
        <f t="shared" ref="CB56:CC56" si="272">SUM(CB51:CB55)</f>
        <v>136877.53</v>
      </c>
      <c r="CC56" s="39">
        <f t="shared" si="272"/>
        <v>131820.06</v>
      </c>
      <c r="CD56" s="39">
        <f t="shared" ref="CD56:CE56" si="273">SUM(CD51:CD55)</f>
        <v>122294.37</v>
      </c>
      <c r="CE56" s="39">
        <f t="shared" si="273"/>
        <v>113846.43000000001</v>
      </c>
      <c r="CF56" s="39">
        <f t="shared" ref="CF56:CG56" si="274">SUM(CF51:CF55)</f>
        <v>97269.80732202057</v>
      </c>
      <c r="CG56" s="39">
        <f t="shared" si="274"/>
        <v>110965.33840427536</v>
      </c>
      <c r="CH56" s="39">
        <f t="shared" ref="CH56:CI56" si="275">SUM(CH51:CH55)</f>
        <v>118803.73637641611</v>
      </c>
      <c r="CI56" s="39">
        <f t="shared" si="275"/>
        <v>0</v>
      </c>
      <c r="CJ56" s="39">
        <f t="shared" ref="CJ56:CK56" si="276">SUM(CJ51:CJ55)</f>
        <v>0</v>
      </c>
      <c r="CK56" s="39">
        <f t="shared" si="276"/>
        <v>0</v>
      </c>
      <c r="CL56" s="39">
        <f t="shared" ref="CL56:CM56" si="277">SUM(CL51:CL55)</f>
        <v>0</v>
      </c>
      <c r="CM56" s="39">
        <f t="shared" si="277"/>
        <v>0</v>
      </c>
      <c r="CN56" s="39">
        <f t="shared" ref="CN56:CO56" si="278">SUM(CN51:CN55)</f>
        <v>0</v>
      </c>
      <c r="CO56" s="39">
        <f t="shared" si="278"/>
        <v>0</v>
      </c>
      <c r="CP56" s="39">
        <f t="shared" ref="CP56:CQ56" si="279">SUM(CP51:CP55)</f>
        <v>0</v>
      </c>
      <c r="CQ56" s="39">
        <f t="shared" si="279"/>
        <v>0</v>
      </c>
      <c r="CR56" s="39">
        <f t="shared" ref="CR56:CS56" si="280">SUM(CR51:CR55)</f>
        <v>0</v>
      </c>
      <c r="CS56" s="39">
        <f t="shared" si="280"/>
        <v>0</v>
      </c>
      <c r="CT56" s="39">
        <f t="shared" ref="CT56" si="281">SUM(CT51:CT55)</f>
        <v>0</v>
      </c>
    </row>
    <row r="57" spans="1:98" x14ac:dyDescent="0.25">
      <c r="A57" s="28"/>
      <c r="B57" s="26"/>
      <c r="C57" s="26"/>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267" t="s">
        <v>148</v>
      </c>
      <c r="CG57" s="270"/>
      <c r="CH57" s="71"/>
      <c r="CI57" s="71"/>
      <c r="CJ57" s="71"/>
      <c r="CK57" s="71"/>
      <c r="CL57" s="71"/>
      <c r="CM57" s="71"/>
      <c r="CN57" s="71"/>
      <c r="CO57" s="71"/>
      <c r="CP57" s="71"/>
      <c r="CQ57" s="71"/>
      <c r="CR57" s="71"/>
      <c r="CS57" s="71"/>
      <c r="CT57" s="71"/>
    </row>
    <row r="58" spans="1:98" x14ac:dyDescent="0.25">
      <c r="A58" s="31" t="s">
        <v>54</v>
      </c>
      <c r="B58" s="32"/>
      <c r="C58" s="32"/>
      <c r="D58" s="36">
        <v>0</v>
      </c>
      <c r="E58" s="36">
        <v>0</v>
      </c>
      <c r="F58" s="36">
        <v>-923.75</v>
      </c>
      <c r="G58" s="36">
        <v>-10157.06</v>
      </c>
      <c r="H58" s="36">
        <v>-12455.509999999998</v>
      </c>
      <c r="I58" s="36">
        <v>-13265.509999999998</v>
      </c>
      <c r="J58" s="36">
        <v>-12079.850000000002</v>
      </c>
      <c r="K58" s="95">
        <v>-10230.949999999997</v>
      </c>
      <c r="L58" s="36">
        <v>-11242.28</v>
      </c>
      <c r="M58" s="36">
        <v>-15494.33</v>
      </c>
      <c r="N58" s="36">
        <v>-17112.689999999999</v>
      </c>
      <c r="O58" s="36">
        <v>-17916.879999999997</v>
      </c>
      <c r="P58" s="36">
        <v>-16196.53</v>
      </c>
      <c r="Q58" s="36">
        <v>-11729.169999999998</v>
      </c>
      <c r="R58" s="36">
        <v>-9666.880000000001</v>
      </c>
      <c r="S58" s="36">
        <v>-10964.7</v>
      </c>
      <c r="T58" s="36">
        <v>-14109.349999999999</v>
      </c>
      <c r="U58" s="36">
        <v>-13038.06</v>
      </c>
      <c r="V58" s="36">
        <v>-11941.109999999999</v>
      </c>
      <c r="W58" s="36">
        <v>-8935.6699999999983</v>
      </c>
      <c r="X58" s="36">
        <v>-10579.18</v>
      </c>
      <c r="Y58" s="36">
        <v>-14636.740000000002</v>
      </c>
      <c r="Z58" s="36">
        <v>-19698.789999999997</v>
      </c>
      <c r="AA58" s="36">
        <v>-48385.84</v>
      </c>
      <c r="AB58" s="36">
        <v>-64618.5</v>
      </c>
      <c r="AC58" s="36">
        <v>-42103.360000000001</v>
      </c>
      <c r="AD58" s="36">
        <v>-36788.399999999994</v>
      </c>
      <c r="AE58" s="36">
        <v>-41724.590000000004</v>
      </c>
      <c r="AF58" s="36">
        <v>-54881.069999999992</v>
      </c>
      <c r="AG58" s="36">
        <v>-55914.9</v>
      </c>
      <c r="AH58" s="36">
        <v>-55481.14</v>
      </c>
      <c r="AI58" s="37">
        <v>-39206.850000000013</v>
      </c>
      <c r="AJ58" s="37">
        <v>-42360.3</v>
      </c>
      <c r="AK58" s="37">
        <v>-54472.2</v>
      </c>
      <c r="AL58" s="37">
        <v>-66993.759999999995</v>
      </c>
      <c r="AM58" s="37">
        <v>-58621.54</v>
      </c>
      <c r="AN58" s="37">
        <v>-25799.879999999997</v>
      </c>
      <c r="AO58" s="37">
        <v>-19928.739999999994</v>
      </c>
      <c r="AP58" s="37">
        <v>-16836.810000000001</v>
      </c>
      <c r="AQ58" s="37">
        <v>-19254.710000000003</v>
      </c>
      <c r="AR58" s="37">
        <v>-26122.889999999996</v>
      </c>
      <c r="AS58" s="37">
        <v>-25874.140000000003</v>
      </c>
      <c r="AT58" s="37">
        <v>-22617.429999999997</v>
      </c>
      <c r="AU58" s="37">
        <v>-17799.38</v>
      </c>
      <c r="AV58" s="37">
        <v>-18696.190000000002</v>
      </c>
      <c r="AW58" s="37">
        <v>-30479.339999999997</v>
      </c>
      <c r="AX58" s="37">
        <v>-37208.44</v>
      </c>
      <c r="AY58" s="37">
        <v>-37987.630000000005</v>
      </c>
      <c r="AZ58" s="37">
        <v>-38676.790000000008</v>
      </c>
      <c r="BA58" s="37">
        <v>-32952.089999999997</v>
      </c>
      <c r="BB58" s="37">
        <v>-25745.840000000007</v>
      </c>
      <c r="BC58" s="37">
        <v>-30452.22</v>
      </c>
      <c r="BD58" s="37">
        <v>-39254.820000000007</v>
      </c>
      <c r="BE58" s="37">
        <v>-41568.620000000003</v>
      </c>
      <c r="BF58" s="37">
        <v>-38859.039999999994</v>
      </c>
      <c r="BG58" s="37">
        <v>-30493.630000000008</v>
      </c>
      <c r="BH58" s="37">
        <v>-28828.210000000003</v>
      </c>
      <c r="BI58" s="37">
        <v>-42384.13</v>
      </c>
      <c r="BJ58" s="37">
        <v>-55287.310000000005</v>
      </c>
      <c r="BK58" s="37">
        <v>-45208.590000000004</v>
      </c>
      <c r="BL58" s="37">
        <v>-15001.789999999997</v>
      </c>
      <c r="BM58" s="37">
        <v>-12897.53</v>
      </c>
      <c r="BN58" s="37">
        <v>-10642.49</v>
      </c>
      <c r="BO58" s="37">
        <v>-13111.119999999997</v>
      </c>
      <c r="BP58" s="37">
        <v>-17456.84</v>
      </c>
      <c r="BQ58" s="37">
        <v>-15939.500000000004</v>
      </c>
      <c r="BR58" s="37">
        <v>-14994.950000000003</v>
      </c>
      <c r="BS58" s="37">
        <v>-11357.540000000003</v>
      </c>
      <c r="BT58" s="37">
        <v>-9910.090000000002</v>
      </c>
      <c r="BU58" s="37">
        <v>-16083.429999999998</v>
      </c>
      <c r="BV58" s="37">
        <v>-22005.350000000013</v>
      </c>
      <c r="BW58" s="37">
        <v>-14401.88</v>
      </c>
      <c r="BX58" s="37">
        <v>-52.060000000000009</v>
      </c>
      <c r="BY58" s="37">
        <v>213.56999999999996</v>
      </c>
      <c r="BZ58" s="37">
        <v>183.32</v>
      </c>
      <c r="CA58" s="37">
        <v>218.66999999999996</v>
      </c>
      <c r="CB58" s="37">
        <v>359.76000000000005</v>
      </c>
      <c r="CC58" s="37">
        <v>379.18999999999988</v>
      </c>
      <c r="CD58" s="37">
        <v>300.09999999999997</v>
      </c>
      <c r="CE58" s="37">
        <v>239.11999999999998</v>
      </c>
      <c r="CF58" s="269">
        <f>'[1]TDR (M3)'!CF36</f>
        <v>266.91542491289681</v>
      </c>
      <c r="CG58" s="269">
        <f>'[1]TDR (M3)'!CG36</f>
        <v>334.68366786782383</v>
      </c>
      <c r="CH58" s="269">
        <f>'[1]TDR (M3)'!CH36</f>
        <v>428.71361366288272</v>
      </c>
      <c r="CI58" s="256"/>
      <c r="CJ58" s="256"/>
      <c r="CK58" s="256"/>
      <c r="CL58" s="256"/>
      <c r="CM58" s="256"/>
      <c r="CN58" s="256"/>
      <c r="CO58" s="256"/>
      <c r="CP58" s="256"/>
      <c r="CQ58" s="256"/>
      <c r="CR58" s="256"/>
      <c r="CS58" s="256"/>
      <c r="CT58" s="256"/>
    </row>
    <row r="59" spans="1:98" x14ac:dyDescent="0.25">
      <c r="B59" s="32"/>
      <c r="C59" s="32"/>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row>
    <row r="60" spans="1:98" x14ac:dyDescent="0.25">
      <c r="A60" s="24" t="s">
        <v>31</v>
      </c>
      <c r="B60" s="32"/>
      <c r="C60" s="32"/>
      <c r="S60" s="74"/>
    </row>
    <row r="61" spans="1:98" x14ac:dyDescent="0.25">
      <c r="A61" t="s">
        <v>32</v>
      </c>
      <c r="B61" s="32"/>
      <c r="C61" s="32"/>
      <c r="D61" s="72">
        <f t="shared" ref="D61:AU61" si="282">+D23</f>
        <v>1268128455</v>
      </c>
      <c r="E61" s="72">
        <f t="shared" si="282"/>
        <v>872933544</v>
      </c>
      <c r="F61" s="72">
        <f t="shared" si="282"/>
        <v>738196558</v>
      </c>
      <c r="G61" s="72">
        <f t="shared" si="282"/>
        <v>978975302</v>
      </c>
      <c r="H61" s="72">
        <f t="shared" si="282"/>
        <v>1243909773</v>
      </c>
      <c r="I61" s="72">
        <f t="shared" si="282"/>
        <v>1310015315</v>
      </c>
      <c r="J61" s="72">
        <f t="shared" si="282"/>
        <v>1208033233</v>
      </c>
      <c r="K61" s="72">
        <f t="shared" si="282"/>
        <v>993546162</v>
      </c>
      <c r="L61" s="72">
        <f t="shared" si="282"/>
        <v>897156231</v>
      </c>
      <c r="M61" s="72">
        <f t="shared" si="282"/>
        <v>1208147189</v>
      </c>
      <c r="N61" s="72">
        <f t="shared" si="282"/>
        <v>1334184680</v>
      </c>
      <c r="O61" s="72">
        <f t="shared" si="282"/>
        <v>1302694951</v>
      </c>
      <c r="P61" s="72">
        <f t="shared" si="282"/>
        <v>1123586700</v>
      </c>
      <c r="Q61" s="72">
        <f t="shared" si="282"/>
        <v>886578697</v>
      </c>
      <c r="R61" s="72">
        <f t="shared" si="282"/>
        <v>790098101</v>
      </c>
      <c r="S61" s="72">
        <f t="shared" si="282"/>
        <v>1041013964</v>
      </c>
      <c r="T61" s="72">
        <f t="shared" si="282"/>
        <v>1397050553</v>
      </c>
      <c r="U61" s="72">
        <f t="shared" si="282"/>
        <v>1310723723</v>
      </c>
      <c r="V61" s="72">
        <f t="shared" si="282"/>
        <v>1275164339</v>
      </c>
      <c r="W61" s="72">
        <f t="shared" si="282"/>
        <v>800796996</v>
      </c>
      <c r="X61" s="72">
        <f t="shared" si="282"/>
        <v>856955103</v>
      </c>
      <c r="Y61" s="72">
        <f t="shared" si="282"/>
        <v>1137867523</v>
      </c>
      <c r="Z61" s="72">
        <f t="shared" si="282"/>
        <v>1482496943</v>
      </c>
      <c r="AA61" s="72">
        <f t="shared" si="282"/>
        <v>1507047480</v>
      </c>
      <c r="AB61" s="72">
        <f t="shared" si="282"/>
        <v>1193201650</v>
      </c>
      <c r="AC61" s="72">
        <f t="shared" si="282"/>
        <v>803567941</v>
      </c>
      <c r="AD61" s="72">
        <f t="shared" si="282"/>
        <v>753161249</v>
      </c>
      <c r="AE61" s="72">
        <f t="shared" si="282"/>
        <v>1061485022</v>
      </c>
      <c r="AF61" s="72">
        <f t="shared" si="282"/>
        <v>1299384453</v>
      </c>
      <c r="AG61" s="72">
        <f t="shared" si="282"/>
        <v>1325635096</v>
      </c>
      <c r="AH61" s="72">
        <f t="shared" si="282"/>
        <v>1302322503</v>
      </c>
      <c r="AI61" s="72">
        <f t="shared" si="282"/>
        <v>902367562</v>
      </c>
      <c r="AJ61" s="72">
        <f t="shared" si="282"/>
        <v>849229853</v>
      </c>
      <c r="AK61" s="72">
        <f t="shared" si="282"/>
        <v>1063566547</v>
      </c>
      <c r="AL61" s="72">
        <f t="shared" si="282"/>
        <v>1372451320</v>
      </c>
      <c r="AM61" s="72">
        <f t="shared" si="282"/>
        <v>1445914846</v>
      </c>
      <c r="AN61" s="72">
        <f t="shared" si="282"/>
        <v>1156058653</v>
      </c>
      <c r="AO61" s="72">
        <f t="shared" si="282"/>
        <v>900363528</v>
      </c>
      <c r="AP61" s="72">
        <f t="shared" si="282"/>
        <v>837159184</v>
      </c>
      <c r="AQ61" s="72">
        <f t="shared" si="282"/>
        <v>1060197293</v>
      </c>
      <c r="AR61" s="72">
        <f t="shared" si="282"/>
        <v>1457350528</v>
      </c>
      <c r="AS61" s="72">
        <f t="shared" si="282"/>
        <v>1390553772</v>
      </c>
      <c r="AT61" s="72">
        <f t="shared" si="282"/>
        <v>1159635260</v>
      </c>
      <c r="AU61" s="72">
        <f t="shared" si="282"/>
        <v>837049627</v>
      </c>
      <c r="AV61" s="72">
        <f t="shared" ref="AV61" si="283">+AV23</f>
        <v>795371527</v>
      </c>
      <c r="AW61" s="72">
        <f>+AW23</f>
        <v>1056098740.4689</v>
      </c>
      <c r="AX61" s="72">
        <f t="shared" ref="AX61:AY61" si="284">+AX23</f>
        <v>1465026007</v>
      </c>
      <c r="AY61" s="72">
        <f t="shared" si="284"/>
        <v>1251994199</v>
      </c>
      <c r="AZ61" s="72">
        <f t="shared" ref="AZ61:BA61" si="285">+AZ23</f>
        <v>1034539781</v>
      </c>
      <c r="BA61" s="72">
        <f t="shared" si="285"/>
        <v>890081676</v>
      </c>
      <c r="BB61" s="72">
        <f t="shared" ref="BB61:BC61" si="286">+BB23</f>
        <v>758154085</v>
      </c>
      <c r="BC61" s="72">
        <f t="shared" si="286"/>
        <v>977251664</v>
      </c>
      <c r="BD61" s="72">
        <f t="shared" ref="BD61:BE61" si="287">+BD23</f>
        <v>1278057997</v>
      </c>
      <c r="BE61" s="72">
        <f t="shared" si="287"/>
        <v>1318572650</v>
      </c>
      <c r="BF61" s="72">
        <f t="shared" ref="BF61:BG61" si="288">+BF23</f>
        <v>1220075915</v>
      </c>
      <c r="BG61" s="72">
        <f t="shared" si="288"/>
        <v>887307993</v>
      </c>
      <c r="BH61" s="72">
        <f t="shared" ref="BH61:BI61" si="289">+BH23</f>
        <v>778350513.42400002</v>
      </c>
      <c r="BI61" s="72">
        <f t="shared" si="289"/>
        <v>1086671129</v>
      </c>
      <c r="BJ61" s="72">
        <f t="shared" ref="BJ61:BK61" si="290">+BJ23</f>
        <v>1422169141</v>
      </c>
      <c r="BK61" s="72">
        <f t="shared" si="290"/>
        <v>1336981468</v>
      </c>
      <c r="BL61" s="72">
        <f t="shared" ref="BL61:BM61" si="291">+BL23</f>
        <v>926412440</v>
      </c>
      <c r="BM61" s="72">
        <f t="shared" si="291"/>
        <v>848897331</v>
      </c>
      <c r="BN61" s="72">
        <f t="shared" ref="BN61:BO61" si="292">+BN23</f>
        <v>766903433</v>
      </c>
      <c r="BO61" s="72">
        <f t="shared" si="292"/>
        <v>1042127801</v>
      </c>
      <c r="BP61" s="72">
        <f t="shared" ref="BP61:BQ61" si="293">+BP23</f>
        <v>1392030781</v>
      </c>
      <c r="BQ61" s="72">
        <f t="shared" si="293"/>
        <v>1268811473</v>
      </c>
      <c r="BR61" s="72">
        <f t="shared" ref="BR61:BS61" si="294">+BR23</f>
        <v>1204491382</v>
      </c>
      <c r="BS61" s="72">
        <f t="shared" si="294"/>
        <v>881094739</v>
      </c>
      <c r="BT61" s="72">
        <f t="shared" ref="BT61:BU61" si="295">+BT23</f>
        <v>727839367</v>
      </c>
      <c r="BU61" s="72">
        <f t="shared" si="295"/>
        <v>1131172162</v>
      </c>
      <c r="BV61" s="72">
        <f t="shared" ref="BV61:BW61" si="296">+BV23</f>
        <v>1519085073</v>
      </c>
      <c r="BW61" s="72">
        <f t="shared" si="296"/>
        <v>1469680772</v>
      </c>
      <c r="BX61" s="72">
        <f t="shared" ref="BX61:BY61" si="297">+BX23</f>
        <v>1182786264</v>
      </c>
      <c r="BY61" s="72">
        <f t="shared" si="297"/>
        <v>792914133</v>
      </c>
      <c r="BZ61" s="72">
        <f t="shared" ref="BZ61:CA61" si="298">+BZ23</f>
        <v>741131906</v>
      </c>
      <c r="CA61" s="72">
        <f t="shared" si="298"/>
        <v>902805020</v>
      </c>
      <c r="CB61" s="72">
        <f t="shared" ref="CB61:CC61" si="299">+CB23</f>
        <v>1422740932</v>
      </c>
      <c r="CC61" s="72">
        <f t="shared" si="299"/>
        <v>1467241325</v>
      </c>
      <c r="CD61" s="72">
        <f t="shared" ref="CD61:CE61" si="300">+CD23</f>
        <v>1164098928</v>
      </c>
      <c r="CE61" s="72">
        <f t="shared" si="300"/>
        <v>953236301</v>
      </c>
      <c r="CF61" s="72">
        <f t="shared" ref="CF61:CG61" si="301">+CF23</f>
        <v>934691409.66474664</v>
      </c>
      <c r="CG61" s="72">
        <f t="shared" si="301"/>
        <v>1172004013.6804736</v>
      </c>
      <c r="CH61" s="72">
        <f t="shared" ref="CH61:CI61" si="302">+CH23</f>
        <v>1501280534.9402111</v>
      </c>
      <c r="CI61" s="72">
        <f t="shared" si="302"/>
        <v>1229492845.5535142</v>
      </c>
      <c r="CJ61" s="72">
        <f t="shared" ref="CJ61:CK61" si="303">+CJ23</f>
        <v>1055841056.4788648</v>
      </c>
      <c r="CK61" s="72">
        <f t="shared" si="303"/>
        <v>782160106.46270216</v>
      </c>
      <c r="CL61" s="72">
        <f t="shared" ref="CL61:CM61" si="304">+CL23</f>
        <v>808422808.60364091</v>
      </c>
      <c r="CM61" s="72">
        <f t="shared" si="304"/>
        <v>1138736144.245827</v>
      </c>
      <c r="CN61" s="72">
        <f t="shared" ref="CN61:CO61" si="305">+CN23</f>
        <v>1365029337.8153753</v>
      </c>
      <c r="CO61" s="72">
        <f t="shared" si="305"/>
        <v>1309003114.2814729</v>
      </c>
      <c r="CP61" s="72">
        <f t="shared" ref="CP61:CQ61" si="306">+CP23</f>
        <v>887344499.20834303</v>
      </c>
      <c r="CQ61" s="72">
        <f t="shared" si="306"/>
        <v>724028085.19755471</v>
      </c>
      <c r="CR61" s="72">
        <f t="shared" ref="CR61:CS61" si="307">+CR23</f>
        <v>965743639.04302931</v>
      </c>
      <c r="CS61" s="72">
        <f t="shared" si="307"/>
        <v>1382595622.7453718</v>
      </c>
      <c r="CT61" s="72">
        <f t="shared" ref="CT61" si="308">+CT23</f>
        <v>1415185124.8536115</v>
      </c>
    </row>
    <row r="62" spans="1:98" x14ac:dyDescent="0.25">
      <c r="A62" t="s">
        <v>33</v>
      </c>
      <c r="B62" s="32"/>
      <c r="C62" s="32"/>
      <c r="D62" s="72">
        <f t="shared" ref="D62:AU62" si="309">+D24</f>
        <v>290178959</v>
      </c>
      <c r="E62" s="72">
        <f t="shared" si="309"/>
        <v>235096003</v>
      </c>
      <c r="F62" s="72">
        <f t="shared" si="309"/>
        <v>221772499</v>
      </c>
      <c r="G62" s="72">
        <f t="shared" si="309"/>
        <v>258735845</v>
      </c>
      <c r="H62" s="72">
        <f t="shared" si="309"/>
        <v>295975497</v>
      </c>
      <c r="I62" s="72">
        <f t="shared" si="309"/>
        <v>304175879</v>
      </c>
      <c r="J62" s="72">
        <f t="shared" si="309"/>
        <v>293549572</v>
      </c>
      <c r="K62" s="72">
        <f t="shared" si="309"/>
        <v>264736629</v>
      </c>
      <c r="L62" s="72">
        <f t="shared" si="309"/>
        <v>237145043</v>
      </c>
      <c r="M62" s="72">
        <f t="shared" si="309"/>
        <v>278572550</v>
      </c>
      <c r="N62" s="72">
        <f t="shared" si="309"/>
        <v>297050898</v>
      </c>
      <c r="O62" s="72">
        <f t="shared" si="309"/>
        <v>290934660</v>
      </c>
      <c r="P62" s="72">
        <f t="shared" si="309"/>
        <v>265078600</v>
      </c>
      <c r="Q62" s="72">
        <f t="shared" si="309"/>
        <v>203506574</v>
      </c>
      <c r="R62" s="72">
        <f t="shared" si="309"/>
        <v>184563246</v>
      </c>
      <c r="S62" s="72">
        <f t="shared" si="309"/>
        <v>231230759</v>
      </c>
      <c r="T62" s="72">
        <f t="shared" si="309"/>
        <v>288425422</v>
      </c>
      <c r="U62" s="72">
        <f t="shared" si="309"/>
        <v>281389691</v>
      </c>
      <c r="V62" s="72">
        <f t="shared" si="309"/>
        <v>269111017</v>
      </c>
      <c r="W62" s="72">
        <f t="shared" si="309"/>
        <v>218212399</v>
      </c>
      <c r="X62" s="72">
        <f t="shared" si="309"/>
        <v>218068919</v>
      </c>
      <c r="Y62" s="72">
        <f t="shared" si="309"/>
        <v>251883126</v>
      </c>
      <c r="Z62" s="72">
        <f t="shared" si="309"/>
        <v>300425840</v>
      </c>
      <c r="AA62" s="72">
        <f t="shared" si="309"/>
        <v>303577891</v>
      </c>
      <c r="AB62" s="72">
        <f t="shared" si="309"/>
        <v>265359424</v>
      </c>
      <c r="AC62" s="72">
        <f t="shared" si="309"/>
        <v>211100441</v>
      </c>
      <c r="AD62" s="72">
        <f t="shared" si="309"/>
        <v>205986967</v>
      </c>
      <c r="AE62" s="72">
        <f t="shared" si="309"/>
        <v>264522271</v>
      </c>
      <c r="AF62" s="72">
        <f t="shared" si="309"/>
        <v>291815734</v>
      </c>
      <c r="AG62" s="72">
        <f t="shared" si="309"/>
        <v>291413887</v>
      </c>
      <c r="AH62" s="72">
        <f t="shared" si="309"/>
        <v>294374400</v>
      </c>
      <c r="AI62" s="72">
        <f t="shared" si="309"/>
        <v>245524134</v>
      </c>
      <c r="AJ62" s="72">
        <f t="shared" si="309"/>
        <v>219607166</v>
      </c>
      <c r="AK62" s="72">
        <f t="shared" si="309"/>
        <v>250466096</v>
      </c>
      <c r="AL62" s="72">
        <f t="shared" si="309"/>
        <v>295383726</v>
      </c>
      <c r="AM62" s="72">
        <f t="shared" si="309"/>
        <v>301077290</v>
      </c>
      <c r="AN62" s="72">
        <f t="shared" si="309"/>
        <v>261058604</v>
      </c>
      <c r="AO62" s="72">
        <f t="shared" si="309"/>
        <v>230949228</v>
      </c>
      <c r="AP62" s="72">
        <f t="shared" si="309"/>
        <v>223998788</v>
      </c>
      <c r="AQ62" s="72">
        <f t="shared" si="309"/>
        <v>260692423</v>
      </c>
      <c r="AR62" s="72">
        <f t="shared" si="309"/>
        <v>312328749</v>
      </c>
      <c r="AS62" s="72">
        <f t="shared" si="309"/>
        <v>305346654</v>
      </c>
      <c r="AT62" s="72">
        <f t="shared" si="309"/>
        <v>279929276</v>
      </c>
      <c r="AU62" s="72">
        <f t="shared" si="309"/>
        <v>230143220</v>
      </c>
      <c r="AV62" s="72">
        <f t="shared" ref="AV62" si="310">+AV24</f>
        <v>219390300</v>
      </c>
      <c r="AW62" s="72">
        <f>+AW24</f>
        <v>274277285</v>
      </c>
      <c r="AX62" s="72">
        <f t="shared" ref="AX62:AY62" si="311">+AX24</f>
        <v>313843493</v>
      </c>
      <c r="AY62" s="72">
        <f t="shared" si="311"/>
        <v>275065920</v>
      </c>
      <c r="AZ62" s="72">
        <f t="shared" ref="AZ62:BA62" si="312">+AZ24</f>
        <v>246366200</v>
      </c>
      <c r="BA62" s="72">
        <f t="shared" si="312"/>
        <v>226379912</v>
      </c>
      <c r="BB62" s="72">
        <f t="shared" ref="BB62:BC62" si="313">+BB24</f>
        <v>209000108</v>
      </c>
      <c r="BC62" s="72">
        <f t="shared" si="313"/>
        <v>251344146</v>
      </c>
      <c r="BD62" s="72">
        <f t="shared" ref="BD62:BE62" si="314">+BD24</f>
        <v>291402974</v>
      </c>
      <c r="BE62" s="72">
        <f t="shared" si="314"/>
        <v>297748759</v>
      </c>
      <c r="BF62" s="72">
        <f t="shared" ref="BF62:BG62" si="315">+BF24</f>
        <v>290701055</v>
      </c>
      <c r="BG62" s="72">
        <f t="shared" si="315"/>
        <v>244186013</v>
      </c>
      <c r="BH62" s="72">
        <f t="shared" ref="BH62:BI62" si="316">+BH24</f>
        <v>224485019</v>
      </c>
      <c r="BI62" s="72">
        <f t="shared" si="316"/>
        <v>258087459</v>
      </c>
      <c r="BJ62" s="72">
        <f t="shared" ref="BJ62:BK62" si="317">+BJ24</f>
        <v>311334710</v>
      </c>
      <c r="BK62" s="72">
        <f t="shared" si="317"/>
        <v>292542260</v>
      </c>
      <c r="BL62" s="72">
        <f t="shared" ref="BL62:BM62" si="318">+BL24</f>
        <v>235940797</v>
      </c>
      <c r="BM62" s="72">
        <f t="shared" si="318"/>
        <v>229085910</v>
      </c>
      <c r="BN62" s="72">
        <f t="shared" ref="BN62:BO62" si="319">+BN24</f>
        <v>218207531</v>
      </c>
      <c r="BO62" s="72">
        <f t="shared" si="319"/>
        <v>266604752</v>
      </c>
      <c r="BP62" s="72">
        <f t="shared" ref="BP62:BQ62" si="320">+BP24</f>
        <v>318705410</v>
      </c>
      <c r="BQ62" s="72">
        <f t="shared" si="320"/>
        <v>299140757</v>
      </c>
      <c r="BR62" s="72">
        <f t="shared" ref="BR62:BS62" si="321">+BR24</f>
        <v>291256399</v>
      </c>
      <c r="BS62" s="72">
        <f t="shared" si="321"/>
        <v>245729806</v>
      </c>
      <c r="BT62" s="72">
        <f t="shared" ref="BT62:BU62" si="322">+BT24</f>
        <v>220132712</v>
      </c>
      <c r="BU62" s="72">
        <f t="shared" si="322"/>
        <v>269383405</v>
      </c>
      <c r="BV62" s="72">
        <f t="shared" ref="BV62:BW62" si="323">+BV24</f>
        <v>326375475</v>
      </c>
      <c r="BW62" s="72">
        <f t="shared" si="323"/>
        <v>314016169</v>
      </c>
      <c r="BX62" s="72">
        <f t="shared" ref="BX62:BY62" si="324">+BX24</f>
        <v>275429142</v>
      </c>
      <c r="BY62" s="72">
        <f t="shared" si="324"/>
        <v>217486182</v>
      </c>
      <c r="BZ62" s="72">
        <f t="shared" ref="BZ62:CA62" si="325">+BZ24</f>
        <v>214202707</v>
      </c>
      <c r="CA62" s="72">
        <f t="shared" si="325"/>
        <v>247031646</v>
      </c>
      <c r="CB62" s="72">
        <f t="shared" ref="CB62:CC62" si="326">+CB24</f>
        <v>326672425</v>
      </c>
      <c r="CC62" s="72">
        <f t="shared" si="326"/>
        <v>319059845</v>
      </c>
      <c r="CD62" s="72">
        <f t="shared" ref="CD62:CE62" si="327">+CD24</f>
        <v>290372246</v>
      </c>
      <c r="CE62" s="72">
        <f t="shared" si="327"/>
        <v>257719313</v>
      </c>
      <c r="CF62" s="72">
        <f t="shared" ref="CF62:CG62" si="328">+CF24</f>
        <v>221002259.01149774</v>
      </c>
      <c r="CG62" s="72">
        <f t="shared" si="328"/>
        <v>273131062.94405389</v>
      </c>
      <c r="CH62" s="72">
        <f t="shared" ref="CH62:CI62" si="329">+CH24</f>
        <v>305607376.55643886</v>
      </c>
      <c r="CI62" s="72">
        <f t="shared" si="329"/>
        <v>267588488.0846718</v>
      </c>
      <c r="CJ62" s="72">
        <f t="shared" ref="CJ62:CK62" si="330">+CJ24</f>
        <v>249244473.51618513</v>
      </c>
      <c r="CK62" s="72">
        <f t="shared" si="330"/>
        <v>220407039.52407867</v>
      </c>
      <c r="CL62" s="72">
        <f t="shared" ref="CL62:CM62" si="331">+CL24</f>
        <v>235148961.40706077</v>
      </c>
      <c r="CM62" s="72">
        <f t="shared" si="331"/>
        <v>265150781.4668892</v>
      </c>
      <c r="CN62" s="72">
        <f t="shared" ref="CN62:CO62" si="332">+CN24</f>
        <v>301490667.39570183</v>
      </c>
      <c r="CO62" s="72">
        <f t="shared" si="332"/>
        <v>296938882.8489812</v>
      </c>
      <c r="CP62" s="72">
        <f t="shared" ref="CP62:CQ62" si="333">+CP24</f>
        <v>249340706.45416617</v>
      </c>
      <c r="CQ62" s="72">
        <f t="shared" si="333"/>
        <v>211125845.92878258</v>
      </c>
      <c r="CR62" s="72">
        <f t="shared" ref="CR62:CS62" si="334">+CR24</f>
        <v>222444969.71227011</v>
      </c>
      <c r="CS62" s="72">
        <f t="shared" si="334"/>
        <v>273508394.59864038</v>
      </c>
      <c r="CT62" s="72">
        <f t="shared" ref="CT62" si="335">+CT24</f>
        <v>303763193.76725805</v>
      </c>
    </row>
    <row r="63" spans="1:98" x14ac:dyDescent="0.25">
      <c r="A63" t="s">
        <v>34</v>
      </c>
      <c r="B63" s="32"/>
      <c r="C63" s="32"/>
      <c r="D63" s="72">
        <f t="shared" ref="D63:AU63" si="336">+D25</f>
        <v>599641261</v>
      </c>
      <c r="E63" s="72">
        <f t="shared" si="336"/>
        <v>546450417</v>
      </c>
      <c r="F63" s="72">
        <f t="shared" si="336"/>
        <v>548775486</v>
      </c>
      <c r="G63" s="72">
        <f t="shared" si="336"/>
        <v>609609142</v>
      </c>
      <c r="H63" s="72">
        <f t="shared" si="336"/>
        <v>656813642</v>
      </c>
      <c r="I63" s="72">
        <f t="shared" si="336"/>
        <v>671886437</v>
      </c>
      <c r="J63" s="72">
        <f t="shared" si="336"/>
        <v>678219627</v>
      </c>
      <c r="K63" s="72">
        <f t="shared" si="336"/>
        <v>622550219</v>
      </c>
      <c r="L63" s="72">
        <f t="shared" si="336"/>
        <v>549600433</v>
      </c>
      <c r="M63" s="72">
        <f t="shared" si="336"/>
        <v>596432225</v>
      </c>
      <c r="N63" s="72">
        <f t="shared" si="336"/>
        <v>616923082</v>
      </c>
      <c r="O63" s="72">
        <f t="shared" si="336"/>
        <v>599527620</v>
      </c>
      <c r="P63" s="72">
        <f t="shared" si="336"/>
        <v>566693954</v>
      </c>
      <c r="Q63" s="72">
        <f t="shared" si="336"/>
        <v>483801855</v>
      </c>
      <c r="R63" s="72">
        <f t="shared" si="336"/>
        <v>451939609</v>
      </c>
      <c r="S63" s="72">
        <f t="shared" si="336"/>
        <v>534583835</v>
      </c>
      <c r="T63" s="72">
        <f t="shared" si="336"/>
        <v>624356693</v>
      </c>
      <c r="U63" s="72">
        <f t="shared" si="336"/>
        <v>621885740</v>
      </c>
      <c r="V63" s="72">
        <f t="shared" si="336"/>
        <v>619148163</v>
      </c>
      <c r="W63" s="72">
        <f t="shared" si="336"/>
        <v>528448107.69999999</v>
      </c>
      <c r="X63" s="72">
        <f t="shared" si="336"/>
        <v>514648084</v>
      </c>
      <c r="Y63" s="72">
        <f t="shared" si="336"/>
        <v>553120787</v>
      </c>
      <c r="Z63" s="72">
        <f t="shared" si="336"/>
        <v>592823385</v>
      </c>
      <c r="AA63" s="72">
        <f t="shared" si="336"/>
        <v>585712392</v>
      </c>
      <c r="AB63" s="72">
        <f t="shared" si="336"/>
        <v>543642088</v>
      </c>
      <c r="AC63" s="72">
        <f t="shared" si="336"/>
        <v>483262229</v>
      </c>
      <c r="AD63" s="72">
        <f t="shared" si="336"/>
        <v>492375125.19999999</v>
      </c>
      <c r="AE63" s="72">
        <f t="shared" si="336"/>
        <v>586671915</v>
      </c>
      <c r="AF63" s="72">
        <f t="shared" si="336"/>
        <v>641235470</v>
      </c>
      <c r="AG63" s="72">
        <f t="shared" si="336"/>
        <v>634777638</v>
      </c>
      <c r="AH63" s="72">
        <f t="shared" si="336"/>
        <v>647017474</v>
      </c>
      <c r="AI63" s="72">
        <f t="shared" si="336"/>
        <v>568724491</v>
      </c>
      <c r="AJ63" s="72">
        <f t="shared" si="336"/>
        <v>505304455</v>
      </c>
      <c r="AK63" s="72">
        <f t="shared" si="336"/>
        <v>555282313.60000002</v>
      </c>
      <c r="AL63" s="72">
        <f t="shared" si="336"/>
        <v>590675076</v>
      </c>
      <c r="AM63" s="72">
        <f t="shared" si="336"/>
        <v>582248455</v>
      </c>
      <c r="AN63" s="72">
        <f t="shared" si="336"/>
        <v>534070902</v>
      </c>
      <c r="AO63" s="72">
        <f t="shared" si="336"/>
        <v>506459043</v>
      </c>
      <c r="AP63" s="72">
        <f t="shared" si="336"/>
        <v>516003997</v>
      </c>
      <c r="AQ63" s="72">
        <f t="shared" si="336"/>
        <v>579943536</v>
      </c>
      <c r="AR63" s="72">
        <f t="shared" si="336"/>
        <v>650768443</v>
      </c>
      <c r="AS63" s="72">
        <f t="shared" si="336"/>
        <v>645110540</v>
      </c>
      <c r="AT63" s="72">
        <f t="shared" si="336"/>
        <v>617464584</v>
      </c>
      <c r="AU63" s="72">
        <f t="shared" si="336"/>
        <v>530232061</v>
      </c>
      <c r="AV63" s="72">
        <f t="shared" ref="AV63" si="337">+AV25</f>
        <v>516180366</v>
      </c>
      <c r="AW63" s="72">
        <f>+AW25</f>
        <v>573339069</v>
      </c>
      <c r="AX63" s="72">
        <f t="shared" ref="AX63:AY63" si="338">+AX25</f>
        <v>603008465</v>
      </c>
      <c r="AY63" s="72">
        <f t="shared" si="338"/>
        <v>535848689</v>
      </c>
      <c r="AZ63" s="72">
        <f t="shared" ref="AZ63:BA63" si="339">+AZ25</f>
        <v>513226736</v>
      </c>
      <c r="BA63" s="72">
        <f t="shared" si="339"/>
        <v>490211820</v>
      </c>
      <c r="BB63" s="72">
        <f t="shared" ref="BB63:BC63" si="340">+BB25</f>
        <v>487205076</v>
      </c>
      <c r="BC63" s="72">
        <f t="shared" si="340"/>
        <v>550130655</v>
      </c>
      <c r="BD63" s="72">
        <f t="shared" ref="BD63:BE63" si="341">+BD25</f>
        <v>592309179</v>
      </c>
      <c r="BE63" s="72">
        <f t="shared" si="341"/>
        <v>613854730</v>
      </c>
      <c r="BF63" s="72">
        <f t="shared" ref="BF63:BG63" si="342">+BF25</f>
        <v>614247424</v>
      </c>
      <c r="BG63" s="72">
        <f t="shared" si="342"/>
        <v>540155873</v>
      </c>
      <c r="BH63" s="72">
        <f t="shared" ref="BH63:BI63" si="343">+BH25</f>
        <v>496155566</v>
      </c>
      <c r="BI63" s="72">
        <f t="shared" si="343"/>
        <v>533840032</v>
      </c>
      <c r="BJ63" s="72">
        <f t="shared" ref="BJ63:BK63" si="344">+BJ25</f>
        <v>585074116</v>
      </c>
      <c r="BK63" s="72">
        <f t="shared" si="344"/>
        <v>530212754</v>
      </c>
      <c r="BL63" s="72">
        <f t="shared" ref="BL63:BM63" si="345">+BL25</f>
        <v>493196594</v>
      </c>
      <c r="BM63" s="72">
        <f t="shared" si="345"/>
        <v>492216077</v>
      </c>
      <c r="BN63" s="72">
        <f t="shared" ref="BN63:BO63" si="346">+BN25</f>
        <v>494860364</v>
      </c>
      <c r="BO63" s="72">
        <f t="shared" si="346"/>
        <v>560458750</v>
      </c>
      <c r="BP63" s="72">
        <f t="shared" ref="BP63:BQ63" si="347">+BP25</f>
        <v>632894485</v>
      </c>
      <c r="BQ63" s="72">
        <f t="shared" si="347"/>
        <v>593928493</v>
      </c>
      <c r="BR63" s="72">
        <f t="shared" ref="BR63:BS63" si="348">+BR25</f>
        <v>594218359</v>
      </c>
      <c r="BS63" s="72">
        <f t="shared" si="348"/>
        <v>530006142</v>
      </c>
      <c r="BT63" s="72">
        <f t="shared" ref="BT63:BU63" si="349">+BT25</f>
        <v>484337466</v>
      </c>
      <c r="BU63" s="72">
        <f t="shared" si="349"/>
        <v>530040478</v>
      </c>
      <c r="BV63" s="72">
        <f t="shared" ref="BV63:BW63" si="350">+BV25</f>
        <v>581934696</v>
      </c>
      <c r="BW63" s="72">
        <f t="shared" si="350"/>
        <v>550353259</v>
      </c>
      <c r="BX63" s="72">
        <f t="shared" ref="BX63:BY63" si="351">+BX25</f>
        <v>533380318</v>
      </c>
      <c r="BY63" s="72">
        <f t="shared" si="351"/>
        <v>458966865</v>
      </c>
      <c r="BZ63" s="72">
        <f t="shared" ref="BZ63:CA63" si="352">+BZ25</f>
        <v>489395552</v>
      </c>
      <c r="CA63" s="72">
        <f t="shared" si="352"/>
        <v>531587343</v>
      </c>
      <c r="CB63" s="72">
        <f t="shared" ref="CB63:CC63" si="353">+CB25</f>
        <v>647796117</v>
      </c>
      <c r="CC63" s="72">
        <f t="shared" si="353"/>
        <v>637875394</v>
      </c>
      <c r="CD63" s="72">
        <f t="shared" ref="CD63:CE63" si="354">+CD25</f>
        <v>588890325</v>
      </c>
      <c r="CE63" s="72">
        <f t="shared" si="354"/>
        <v>552757461</v>
      </c>
      <c r="CF63" s="72">
        <f t="shared" ref="CF63:CG63" si="355">+CF25</f>
        <v>514849246.9053455</v>
      </c>
      <c r="CG63" s="72">
        <f t="shared" si="355"/>
        <v>555246232.23021936</v>
      </c>
      <c r="CH63" s="72">
        <f t="shared" ref="CH63:CI63" si="356">+CH25</f>
        <v>569470005.798172</v>
      </c>
      <c r="CI63" s="72">
        <f t="shared" si="356"/>
        <v>513339293.13988298</v>
      </c>
      <c r="CJ63" s="72">
        <f t="shared" ref="CJ63:CK63" si="357">+CJ25</f>
        <v>529773957.10116965</v>
      </c>
      <c r="CK63" s="72">
        <f t="shared" si="357"/>
        <v>498074378.57082307</v>
      </c>
      <c r="CL63" s="72">
        <f t="shared" ref="CL63:CM63" si="358">+CL25</f>
        <v>546830054.36345434</v>
      </c>
      <c r="CM63" s="72">
        <f t="shared" si="358"/>
        <v>587831042.81094801</v>
      </c>
      <c r="CN63" s="72">
        <f t="shared" ref="CN63:CO63" si="359">+CN25</f>
        <v>645414823.62084246</v>
      </c>
      <c r="CO63" s="72">
        <f t="shared" si="359"/>
        <v>645343124.9017036</v>
      </c>
      <c r="CP63" s="72">
        <f t="shared" ref="CP63:CQ63" si="360">+CP25</f>
        <v>568043556.04628742</v>
      </c>
      <c r="CQ63" s="72">
        <f t="shared" si="360"/>
        <v>522887907.84986055</v>
      </c>
      <c r="CR63" s="72">
        <f t="shared" ref="CR63:CS63" si="361">+CR25</f>
        <v>518531056.28073186</v>
      </c>
      <c r="CS63" s="72">
        <f t="shared" si="361"/>
        <v>552297998.54118049</v>
      </c>
      <c r="CT63" s="72">
        <f t="shared" ref="CT63" si="362">+CT25</f>
        <v>567177592.63575089</v>
      </c>
    </row>
    <row r="64" spans="1:98" x14ac:dyDescent="0.25">
      <c r="A64" t="s">
        <v>35</v>
      </c>
      <c r="B64" s="32"/>
      <c r="C64" s="32"/>
      <c r="D64" s="72">
        <f t="shared" ref="D64:AU64" si="363">+D26</f>
        <v>242499726</v>
      </c>
      <c r="E64" s="72">
        <f t="shared" si="363"/>
        <v>232539680</v>
      </c>
      <c r="F64" s="72">
        <f t="shared" si="363"/>
        <v>229224298</v>
      </c>
      <c r="G64" s="72">
        <f t="shared" si="363"/>
        <v>266349220</v>
      </c>
      <c r="H64" s="72">
        <f t="shared" si="363"/>
        <v>267674678</v>
      </c>
      <c r="I64" s="72">
        <f t="shared" si="363"/>
        <v>281003685</v>
      </c>
      <c r="J64" s="72">
        <f t="shared" si="363"/>
        <v>279302255</v>
      </c>
      <c r="K64" s="72">
        <f t="shared" si="363"/>
        <v>258807768</v>
      </c>
      <c r="L64" s="72">
        <f t="shared" si="363"/>
        <v>239334214</v>
      </c>
      <c r="M64" s="72">
        <f t="shared" si="363"/>
        <v>241025466</v>
      </c>
      <c r="N64" s="72">
        <f t="shared" si="363"/>
        <v>247898204</v>
      </c>
      <c r="O64" s="72">
        <f t="shared" si="363"/>
        <v>255420215</v>
      </c>
      <c r="P64" s="72">
        <f t="shared" si="363"/>
        <v>225135566</v>
      </c>
      <c r="Q64" s="72">
        <f t="shared" si="363"/>
        <v>219961316</v>
      </c>
      <c r="R64" s="72">
        <f t="shared" si="363"/>
        <v>207074154</v>
      </c>
      <c r="S64" s="72">
        <f t="shared" si="363"/>
        <v>241165089</v>
      </c>
      <c r="T64" s="72">
        <f t="shared" si="363"/>
        <v>253833450</v>
      </c>
      <c r="U64" s="72">
        <f t="shared" si="363"/>
        <v>266058831</v>
      </c>
      <c r="V64" s="72">
        <f t="shared" si="363"/>
        <v>266126792</v>
      </c>
      <c r="W64" s="72">
        <f t="shared" si="363"/>
        <v>236673642.40000001</v>
      </c>
      <c r="X64" s="72">
        <f t="shared" si="363"/>
        <v>234876378</v>
      </c>
      <c r="Y64" s="72">
        <f t="shared" si="363"/>
        <v>245759481</v>
      </c>
      <c r="Z64" s="72">
        <f t="shared" si="363"/>
        <v>241302585</v>
      </c>
      <c r="AA64" s="72">
        <f t="shared" si="363"/>
        <v>254211213</v>
      </c>
      <c r="AB64" s="72">
        <f t="shared" si="363"/>
        <v>216207694</v>
      </c>
      <c r="AC64" s="72">
        <f t="shared" si="363"/>
        <v>214809052</v>
      </c>
      <c r="AD64" s="72">
        <f t="shared" si="363"/>
        <v>221576502.5</v>
      </c>
      <c r="AE64" s="72">
        <f t="shared" si="363"/>
        <v>232417188</v>
      </c>
      <c r="AF64" s="72">
        <f t="shared" si="363"/>
        <v>286577542</v>
      </c>
      <c r="AG64" s="72">
        <f t="shared" si="363"/>
        <v>263115351</v>
      </c>
      <c r="AH64" s="72">
        <f t="shared" si="363"/>
        <v>266455046</v>
      </c>
      <c r="AI64" s="72">
        <f t="shared" si="363"/>
        <v>230080105</v>
      </c>
      <c r="AJ64" s="72">
        <f t="shared" si="363"/>
        <v>200697530</v>
      </c>
      <c r="AK64" s="72">
        <f t="shared" si="363"/>
        <v>269908616.5</v>
      </c>
      <c r="AL64" s="72">
        <f t="shared" si="363"/>
        <v>254759231</v>
      </c>
      <c r="AM64" s="72">
        <f t="shared" si="363"/>
        <v>236605471</v>
      </c>
      <c r="AN64" s="72">
        <f t="shared" si="363"/>
        <v>220600472</v>
      </c>
      <c r="AO64" s="72">
        <f t="shared" si="363"/>
        <v>227017145</v>
      </c>
      <c r="AP64" s="72">
        <f t="shared" si="363"/>
        <v>225997805</v>
      </c>
      <c r="AQ64" s="72">
        <f t="shared" si="363"/>
        <v>251076328</v>
      </c>
      <c r="AR64" s="72">
        <f t="shared" si="363"/>
        <v>267504084</v>
      </c>
      <c r="AS64" s="72">
        <f t="shared" si="363"/>
        <v>272015339</v>
      </c>
      <c r="AT64" s="72">
        <f t="shared" si="363"/>
        <v>258297228</v>
      </c>
      <c r="AU64" s="72">
        <f t="shared" si="363"/>
        <v>229178636</v>
      </c>
      <c r="AV64" s="72">
        <f t="shared" ref="AV64" si="364">+AV26</f>
        <v>231438770</v>
      </c>
      <c r="AW64" s="72">
        <f>+AW26</f>
        <v>241377872</v>
      </c>
      <c r="AX64" s="72">
        <f t="shared" ref="AX64:AY64" si="365">+AX26</f>
        <v>231408894</v>
      </c>
      <c r="AY64" s="72">
        <f t="shared" si="365"/>
        <v>221649717</v>
      </c>
      <c r="AZ64" s="72">
        <f t="shared" ref="AZ64:BA64" si="366">+AZ26</f>
        <v>205003755</v>
      </c>
      <c r="BA64" s="72">
        <f t="shared" si="366"/>
        <v>219436038</v>
      </c>
      <c r="BB64" s="72">
        <f t="shared" ref="BB64:BC64" si="367">+BB26</f>
        <v>219271209</v>
      </c>
      <c r="BC64" s="72">
        <f t="shared" si="367"/>
        <v>232550715</v>
      </c>
      <c r="BD64" s="72">
        <f t="shared" ref="BD64:BE64" si="368">+BD26</f>
        <v>235130742</v>
      </c>
      <c r="BE64" s="72">
        <f t="shared" si="368"/>
        <v>262292552</v>
      </c>
      <c r="BF64" s="72">
        <f t="shared" ref="BF64:BG64" si="369">+BF26</f>
        <v>254203699</v>
      </c>
      <c r="BG64" s="72">
        <f t="shared" si="369"/>
        <v>220702925</v>
      </c>
      <c r="BH64" s="72">
        <f t="shared" ref="BH64:BI64" si="370">+BH26</f>
        <v>219441539</v>
      </c>
      <c r="BI64" s="72">
        <f t="shared" si="370"/>
        <v>218534163</v>
      </c>
      <c r="BJ64" s="72">
        <f t="shared" ref="BJ64:BK64" si="371">+BJ26</f>
        <v>232541184</v>
      </c>
      <c r="BK64" s="72">
        <f t="shared" si="371"/>
        <v>222844092</v>
      </c>
      <c r="BL64" s="72">
        <f t="shared" ref="BL64:BM64" si="372">+BL26</f>
        <v>216520104</v>
      </c>
      <c r="BM64" s="72">
        <f t="shared" si="372"/>
        <v>207628128</v>
      </c>
      <c r="BN64" s="72">
        <f t="shared" ref="BN64:BO64" si="373">+BN26</f>
        <v>217699925</v>
      </c>
      <c r="BO64" s="72">
        <f t="shared" si="373"/>
        <v>237346838</v>
      </c>
      <c r="BP64" s="72">
        <f t="shared" ref="BP64:BQ64" si="374">+BP26</f>
        <v>254880958</v>
      </c>
      <c r="BQ64" s="72">
        <f t="shared" si="374"/>
        <v>240871472</v>
      </c>
      <c r="BR64" s="72">
        <f t="shared" ref="BR64:BS64" si="375">+BR26</f>
        <v>236345293</v>
      </c>
      <c r="BS64" s="72">
        <f t="shared" si="375"/>
        <v>231951126</v>
      </c>
      <c r="BT64" s="72">
        <f t="shared" ref="BT64:BU64" si="376">+BT26</f>
        <v>205207715</v>
      </c>
      <c r="BU64" s="72">
        <f t="shared" si="376"/>
        <v>216523463</v>
      </c>
      <c r="BV64" s="72">
        <f t="shared" ref="BV64:BW64" si="377">+BV26</f>
        <v>224894811</v>
      </c>
      <c r="BW64" s="72">
        <f t="shared" si="377"/>
        <v>222106948</v>
      </c>
      <c r="BX64" s="72">
        <f t="shared" ref="BX64:BY64" si="378">+BX26</f>
        <v>217652060</v>
      </c>
      <c r="BY64" s="72">
        <f t="shared" si="378"/>
        <v>210949305</v>
      </c>
      <c r="BZ64" s="72">
        <f t="shared" ref="BZ64:CA64" si="379">+BZ26</f>
        <v>219397939</v>
      </c>
      <c r="CA64" s="72">
        <f t="shared" si="379"/>
        <v>219693106</v>
      </c>
      <c r="CB64" s="72">
        <f t="shared" ref="CB64:CC64" si="380">+CB26</f>
        <v>268022650</v>
      </c>
      <c r="CC64" s="72">
        <f t="shared" si="380"/>
        <v>239135808</v>
      </c>
      <c r="CD64" s="72">
        <f t="shared" ref="CD64:CE64" si="381">+CD26</f>
        <v>238267860</v>
      </c>
      <c r="CE64" s="72">
        <f t="shared" si="381"/>
        <v>239527440</v>
      </c>
      <c r="CF64" s="72">
        <f t="shared" ref="CF64:CG64" si="382">+CF26</f>
        <v>214431320.95015869</v>
      </c>
      <c r="CG64" s="72">
        <f t="shared" si="382"/>
        <v>217384853.68146685</v>
      </c>
      <c r="CH64" s="72">
        <f t="shared" ref="CH64:CI64" si="383">+CH26</f>
        <v>230347096.50209251</v>
      </c>
      <c r="CI64" s="72">
        <f t="shared" si="383"/>
        <v>214489729.15033561</v>
      </c>
      <c r="CJ64" s="72">
        <f t="shared" ref="CJ64:CK64" si="384">+CJ26</f>
        <v>221162258.07722431</v>
      </c>
      <c r="CK64" s="72">
        <f t="shared" si="384"/>
        <v>215629113.92205966</v>
      </c>
      <c r="CL64" s="72">
        <f t="shared" ref="CL64:CM64" si="385">+CL26</f>
        <v>229274563.69153032</v>
      </c>
      <c r="CM64" s="72">
        <f t="shared" si="385"/>
        <v>244218506.25143638</v>
      </c>
      <c r="CN64" s="72">
        <f t="shared" ref="CN64:CO64" si="386">+CN26</f>
        <v>260988724.27065736</v>
      </c>
      <c r="CO64" s="72">
        <f t="shared" si="386"/>
        <v>261012483.04431123</v>
      </c>
      <c r="CP64" s="72">
        <f t="shared" ref="CP64:CQ64" si="387">+CP26</f>
        <v>240184037.87684086</v>
      </c>
      <c r="CQ64" s="72">
        <f t="shared" si="387"/>
        <v>233225536.00191772</v>
      </c>
      <c r="CR64" s="72">
        <f t="shared" ref="CR64:CS64" si="388">+CR26</f>
        <v>221473129.69808137</v>
      </c>
      <c r="CS64" s="72">
        <f t="shared" si="388"/>
        <v>226260309.79809558</v>
      </c>
      <c r="CT64" s="72">
        <f t="shared" ref="CT64" si="389">+CT26</f>
        <v>232705197.22525746</v>
      </c>
    </row>
    <row r="65" spans="1:98" x14ac:dyDescent="0.25">
      <c r="A65" t="s">
        <v>36</v>
      </c>
      <c r="B65" s="32"/>
      <c r="C65" s="32"/>
      <c r="D65" s="72">
        <f t="shared" ref="D65:AU65" si="390">+D27</f>
        <v>99309923</v>
      </c>
      <c r="E65" s="72">
        <f t="shared" si="390"/>
        <v>98876748</v>
      </c>
      <c r="F65" s="72">
        <f t="shared" si="390"/>
        <v>96480454</v>
      </c>
      <c r="G65" s="72">
        <f t="shared" si="390"/>
        <v>121526151</v>
      </c>
      <c r="H65" s="72">
        <f t="shared" si="390"/>
        <v>113123855</v>
      </c>
      <c r="I65" s="72">
        <f t="shared" si="390"/>
        <v>125262874</v>
      </c>
      <c r="J65" s="72">
        <f t="shared" si="390"/>
        <v>126945040</v>
      </c>
      <c r="K65" s="72">
        <f t="shared" si="390"/>
        <v>119752379</v>
      </c>
      <c r="L65" s="72">
        <f t="shared" si="390"/>
        <v>106348532</v>
      </c>
      <c r="M65" s="72">
        <f t="shared" si="390"/>
        <v>100067076</v>
      </c>
      <c r="N65" s="72">
        <f t="shared" si="390"/>
        <v>105899561</v>
      </c>
      <c r="O65" s="72">
        <f t="shared" si="390"/>
        <v>111203176</v>
      </c>
      <c r="P65" s="72">
        <f t="shared" si="390"/>
        <v>86704807</v>
      </c>
      <c r="Q65" s="72">
        <f t="shared" si="390"/>
        <v>92097434</v>
      </c>
      <c r="R65" s="72">
        <f t="shared" si="390"/>
        <v>93506334</v>
      </c>
      <c r="S65" s="72">
        <f t="shared" si="390"/>
        <v>92139707</v>
      </c>
      <c r="T65" s="72">
        <f t="shared" si="390"/>
        <v>105110654</v>
      </c>
      <c r="U65" s="72">
        <f t="shared" si="390"/>
        <v>108265948</v>
      </c>
      <c r="V65" s="72">
        <f t="shared" si="390"/>
        <v>109806573</v>
      </c>
      <c r="W65" s="72">
        <f t="shared" si="390"/>
        <v>96724322.099999994</v>
      </c>
      <c r="X65" s="72">
        <f t="shared" si="390"/>
        <v>94866307</v>
      </c>
      <c r="Y65" s="72">
        <f t="shared" si="390"/>
        <v>96874394</v>
      </c>
      <c r="Z65" s="72">
        <f t="shared" si="390"/>
        <v>84244327</v>
      </c>
      <c r="AA65" s="72">
        <f t="shared" si="390"/>
        <v>112346620</v>
      </c>
      <c r="AB65" s="72">
        <f t="shared" si="390"/>
        <v>50801494</v>
      </c>
      <c r="AC65" s="72">
        <f t="shared" si="390"/>
        <v>85186767</v>
      </c>
      <c r="AD65" s="72">
        <f t="shared" si="390"/>
        <v>94290468.700000003</v>
      </c>
      <c r="AE65" s="72">
        <f t="shared" si="390"/>
        <v>96665030</v>
      </c>
      <c r="AF65" s="72">
        <f t="shared" si="390"/>
        <v>111403127</v>
      </c>
      <c r="AG65" s="72">
        <f t="shared" si="390"/>
        <v>106051211</v>
      </c>
      <c r="AH65" s="72">
        <f t="shared" si="390"/>
        <v>114673513</v>
      </c>
      <c r="AI65" s="72">
        <f t="shared" si="390"/>
        <v>105106440</v>
      </c>
      <c r="AJ65" s="72">
        <f t="shared" si="390"/>
        <v>69778498</v>
      </c>
      <c r="AK65" s="72">
        <f t="shared" si="390"/>
        <v>120928612.40000001</v>
      </c>
      <c r="AL65" s="72">
        <f t="shared" si="390"/>
        <v>91160220</v>
      </c>
      <c r="AM65" s="72">
        <f t="shared" si="390"/>
        <v>84926008</v>
      </c>
      <c r="AN65" s="72">
        <f t="shared" si="390"/>
        <v>81012090</v>
      </c>
      <c r="AO65" s="72">
        <f t="shared" si="390"/>
        <v>85726323</v>
      </c>
      <c r="AP65" s="72">
        <f t="shared" si="390"/>
        <v>71350428</v>
      </c>
      <c r="AQ65" s="72">
        <f t="shared" si="390"/>
        <v>86976917</v>
      </c>
      <c r="AR65" s="72">
        <f t="shared" si="390"/>
        <v>99783323</v>
      </c>
      <c r="AS65" s="72">
        <f t="shared" si="390"/>
        <v>98663196</v>
      </c>
      <c r="AT65" s="72">
        <f t="shared" si="390"/>
        <v>102858299</v>
      </c>
      <c r="AU65" s="72">
        <f t="shared" si="390"/>
        <v>88364839</v>
      </c>
      <c r="AV65" s="72">
        <f t="shared" ref="AV65" si="391">+AV27</f>
        <v>88263402</v>
      </c>
      <c r="AW65" s="72">
        <f>+AW27</f>
        <v>86648705</v>
      </c>
      <c r="AX65" s="72">
        <f t="shared" ref="AX65:AY65" si="392">+AX27</f>
        <v>77135409</v>
      </c>
      <c r="AY65" s="72">
        <f t="shared" si="392"/>
        <v>74737407</v>
      </c>
      <c r="AZ65" s="72">
        <f t="shared" ref="AZ65:BA65" si="393">+AZ27</f>
        <v>64517924</v>
      </c>
      <c r="BA65" s="72">
        <f t="shared" si="393"/>
        <v>64659611</v>
      </c>
      <c r="BB65" s="72">
        <f t="shared" ref="BB65:BC65" si="394">+BB27</f>
        <v>67634326</v>
      </c>
      <c r="BC65" s="72">
        <f t="shared" si="394"/>
        <v>81350810</v>
      </c>
      <c r="BD65" s="72">
        <f t="shared" ref="BD65:BE65" si="395">+BD27</f>
        <v>76194105</v>
      </c>
      <c r="BE65" s="72">
        <f t="shared" si="395"/>
        <v>87357832</v>
      </c>
      <c r="BF65" s="72">
        <f t="shared" ref="BF65:BG65" si="396">+BF27</f>
        <v>95274398</v>
      </c>
      <c r="BG65" s="72">
        <f t="shared" si="396"/>
        <v>96078281</v>
      </c>
      <c r="BH65" s="72">
        <f t="shared" ref="BH65:BI65" si="397">+BH27</f>
        <v>85657578</v>
      </c>
      <c r="BI65" s="72">
        <f t="shared" si="397"/>
        <v>96441503</v>
      </c>
      <c r="BJ65" s="72">
        <f t="shared" ref="BJ65:BK65" si="398">+BJ27</f>
        <v>86731223</v>
      </c>
      <c r="BK65" s="72">
        <f t="shared" si="398"/>
        <v>77476531</v>
      </c>
      <c r="BL65" s="72">
        <f t="shared" ref="BL65:BM65" si="399">+BL27</f>
        <v>59042973</v>
      </c>
      <c r="BM65" s="72">
        <f t="shared" si="399"/>
        <v>57210973</v>
      </c>
      <c r="BN65" s="72">
        <f t="shared" ref="BN65:BO65" si="400">+BN27</f>
        <v>69610474</v>
      </c>
      <c r="BO65" s="72">
        <f t="shared" si="400"/>
        <v>70581627</v>
      </c>
      <c r="BP65" s="72">
        <f t="shared" ref="BP65:BQ65" si="401">+BP27</f>
        <v>81457799</v>
      </c>
      <c r="BQ65" s="72">
        <f t="shared" si="401"/>
        <v>80264416</v>
      </c>
      <c r="BR65" s="72">
        <f t="shared" ref="BR65:BS65" si="402">+BR27</f>
        <v>70127730</v>
      </c>
      <c r="BS65" s="72">
        <f t="shared" si="402"/>
        <v>70045643</v>
      </c>
      <c r="BT65" s="72">
        <f t="shared" ref="BT65:BU65" si="403">+BT27</f>
        <v>67297126</v>
      </c>
      <c r="BU65" s="72">
        <f t="shared" si="403"/>
        <v>55889311</v>
      </c>
      <c r="BV65" s="72">
        <f t="shared" ref="BV65:BW65" si="404">+BV27</f>
        <v>69346877</v>
      </c>
      <c r="BW65" s="72">
        <f t="shared" si="404"/>
        <v>61270424</v>
      </c>
      <c r="BX65" s="72">
        <f t="shared" ref="BX65:BY65" si="405">+BX27</f>
        <v>59814245</v>
      </c>
      <c r="BY65" s="72">
        <f t="shared" si="405"/>
        <v>67854054</v>
      </c>
      <c r="BZ65" s="72">
        <f t="shared" ref="BZ65:CA65" si="406">+BZ27</f>
        <v>65075199</v>
      </c>
      <c r="CA65" s="72">
        <f t="shared" si="406"/>
        <v>80920772</v>
      </c>
      <c r="CB65" s="72">
        <f t="shared" ref="CB65:CC65" si="407">+CB27</f>
        <v>95769594</v>
      </c>
      <c r="CC65" s="72">
        <f t="shared" si="407"/>
        <v>92334707</v>
      </c>
      <c r="CD65" s="72">
        <f t="shared" ref="CD65:CE65" si="408">+CD27</f>
        <v>86188788</v>
      </c>
      <c r="CE65" s="72">
        <f t="shared" si="408"/>
        <v>84652258</v>
      </c>
      <c r="CF65" s="72">
        <f t="shared" ref="CF65:CG65" si="409">+CF27</f>
        <v>68732453.552071258</v>
      </c>
      <c r="CG65" s="72">
        <f t="shared" si="409"/>
        <v>66590092.865217187</v>
      </c>
      <c r="CH65" s="72">
        <f t="shared" ref="CH65:CI65" si="410">+CH27</f>
        <v>64674964.490822993</v>
      </c>
      <c r="CI65" s="72">
        <f t="shared" si="410"/>
        <v>58573848.850580357</v>
      </c>
      <c r="CJ65" s="72">
        <f t="shared" ref="CJ65:CK65" si="411">+CJ27</f>
        <v>65494560.92136158</v>
      </c>
      <c r="CK65" s="72">
        <f t="shared" si="411"/>
        <v>66861478.801501341</v>
      </c>
      <c r="CL65" s="72">
        <f t="shared" ref="CL65:CM65" si="412">+CL27</f>
        <v>74288764.887821615</v>
      </c>
      <c r="CM65" s="72">
        <f t="shared" si="412"/>
        <v>74563120.373582616</v>
      </c>
      <c r="CN65" s="72">
        <f t="shared" ref="CN65:CO65" si="413">+CN27</f>
        <v>80252631.814296842</v>
      </c>
      <c r="CO65" s="72">
        <f t="shared" si="413"/>
        <v>81110234.966044441</v>
      </c>
      <c r="CP65" s="72">
        <f t="shared" ref="CP65:CQ65" si="414">+CP27</f>
        <v>72851088.581060141</v>
      </c>
      <c r="CQ65" s="72">
        <f t="shared" si="414"/>
        <v>74551445.964260712</v>
      </c>
      <c r="CR65" s="72">
        <f t="shared" ref="CR65:CS65" si="415">+CR27</f>
        <v>68203809.021018788</v>
      </c>
      <c r="CS65" s="72">
        <f t="shared" si="415"/>
        <v>66435422.697305597</v>
      </c>
      <c r="CT65" s="72">
        <f t="shared" ref="CT65" si="416">+CT27</f>
        <v>68450508.413569331</v>
      </c>
    </row>
    <row r="66" spans="1:98" x14ac:dyDescent="0.25">
      <c r="A66" s="28" t="s">
        <v>30</v>
      </c>
      <c r="B66" s="26"/>
      <c r="C66" s="26"/>
      <c r="D66" s="29">
        <f>SUM(D61:D65)</f>
        <v>2499758324</v>
      </c>
      <c r="E66" s="29">
        <f t="shared" ref="E66:AW66" si="417">SUM(E61:E65)</f>
        <v>1985896392</v>
      </c>
      <c r="F66" s="29">
        <f t="shared" si="417"/>
        <v>1834449295</v>
      </c>
      <c r="G66" s="29">
        <f t="shared" si="417"/>
        <v>2235195660</v>
      </c>
      <c r="H66" s="29">
        <f t="shared" si="417"/>
        <v>2577497445</v>
      </c>
      <c r="I66" s="29">
        <f t="shared" si="417"/>
        <v>2692344190</v>
      </c>
      <c r="J66" s="29">
        <f t="shared" si="417"/>
        <v>2586049727</v>
      </c>
      <c r="K66" s="29">
        <f t="shared" si="417"/>
        <v>2259393157</v>
      </c>
      <c r="L66" s="29">
        <f t="shared" si="417"/>
        <v>2029584453</v>
      </c>
      <c r="M66" s="29">
        <f t="shared" si="417"/>
        <v>2424244506</v>
      </c>
      <c r="N66" s="29">
        <f t="shared" si="417"/>
        <v>2601956425</v>
      </c>
      <c r="O66" s="29">
        <f t="shared" si="417"/>
        <v>2559780622</v>
      </c>
      <c r="P66" s="29">
        <f t="shared" si="417"/>
        <v>2267199627</v>
      </c>
      <c r="Q66" s="29">
        <f t="shared" si="417"/>
        <v>1885945876</v>
      </c>
      <c r="R66" s="29">
        <f t="shared" si="417"/>
        <v>1727181444</v>
      </c>
      <c r="S66" s="29">
        <f t="shared" si="417"/>
        <v>2140133354</v>
      </c>
      <c r="T66" s="29">
        <f t="shared" si="417"/>
        <v>2668776772</v>
      </c>
      <c r="U66" s="29">
        <f t="shared" si="417"/>
        <v>2588323933</v>
      </c>
      <c r="V66" s="29">
        <f t="shared" si="417"/>
        <v>2539356884</v>
      </c>
      <c r="W66" s="29">
        <f t="shared" si="417"/>
        <v>1880855467.2</v>
      </c>
      <c r="X66" s="29">
        <f t="shared" si="417"/>
        <v>1919414791</v>
      </c>
      <c r="Y66" s="29">
        <f t="shared" si="417"/>
        <v>2285505311</v>
      </c>
      <c r="Z66" s="29">
        <f t="shared" si="417"/>
        <v>2701293080</v>
      </c>
      <c r="AA66" s="29">
        <f t="shared" si="417"/>
        <v>2762895596</v>
      </c>
      <c r="AB66" s="29">
        <f t="shared" si="417"/>
        <v>2269212350</v>
      </c>
      <c r="AC66" s="29">
        <f t="shared" si="417"/>
        <v>1797926430</v>
      </c>
      <c r="AD66" s="29">
        <f t="shared" si="417"/>
        <v>1767390312.4000001</v>
      </c>
      <c r="AE66" s="29">
        <f t="shared" si="417"/>
        <v>2241761426</v>
      </c>
      <c r="AF66" s="29">
        <f t="shared" si="417"/>
        <v>2630416326</v>
      </c>
      <c r="AG66" s="29">
        <f t="shared" si="417"/>
        <v>2620993183</v>
      </c>
      <c r="AH66" s="29">
        <f t="shared" si="417"/>
        <v>2624842936</v>
      </c>
      <c r="AI66" s="29">
        <f t="shared" si="417"/>
        <v>2051802732</v>
      </c>
      <c r="AJ66" s="29">
        <f t="shared" si="417"/>
        <v>1844617502</v>
      </c>
      <c r="AK66" s="29">
        <f t="shared" si="417"/>
        <v>2260152185.5</v>
      </c>
      <c r="AL66" s="29">
        <f t="shared" si="417"/>
        <v>2604429573</v>
      </c>
      <c r="AM66" s="29">
        <f t="shared" si="417"/>
        <v>2650772070</v>
      </c>
      <c r="AN66" s="29">
        <f t="shared" si="417"/>
        <v>2252800721</v>
      </c>
      <c r="AO66" s="29">
        <f t="shared" si="417"/>
        <v>1950515267</v>
      </c>
      <c r="AP66" s="29">
        <f t="shared" si="417"/>
        <v>1874510202</v>
      </c>
      <c r="AQ66" s="29">
        <f t="shared" si="417"/>
        <v>2238886497</v>
      </c>
      <c r="AR66" s="29">
        <f t="shared" si="417"/>
        <v>2787735127</v>
      </c>
      <c r="AS66" s="29">
        <f t="shared" si="417"/>
        <v>2711689501</v>
      </c>
      <c r="AT66" s="29">
        <f t="shared" si="417"/>
        <v>2418184647</v>
      </c>
      <c r="AU66" s="29">
        <f t="shared" si="417"/>
        <v>1914968383</v>
      </c>
      <c r="AV66" s="29">
        <f t="shared" ref="AV66" si="418">SUM(AV61:AV65)</f>
        <v>1850644365</v>
      </c>
      <c r="AW66" s="29">
        <f t="shared" si="417"/>
        <v>2231741671.4688997</v>
      </c>
      <c r="AX66" s="29">
        <f t="shared" ref="AX66:AY66" si="419">SUM(AX61:AX65)</f>
        <v>2690422268</v>
      </c>
      <c r="AY66" s="29">
        <f t="shared" si="419"/>
        <v>2359295932</v>
      </c>
      <c r="AZ66" s="29">
        <f t="shared" ref="AZ66:BA66" si="420">SUM(AZ61:AZ65)</f>
        <v>2063654396</v>
      </c>
      <c r="BA66" s="29">
        <f t="shared" si="420"/>
        <v>1890769057</v>
      </c>
      <c r="BB66" s="29">
        <f t="shared" ref="BB66:BC66" si="421">SUM(BB61:BB65)</f>
        <v>1741264804</v>
      </c>
      <c r="BC66" s="29">
        <f t="shared" si="421"/>
        <v>2092627990</v>
      </c>
      <c r="BD66" s="29">
        <f t="shared" ref="BD66:BE66" si="422">SUM(BD61:BD65)</f>
        <v>2473094997</v>
      </c>
      <c r="BE66" s="29">
        <f t="shared" si="422"/>
        <v>2579826523</v>
      </c>
      <c r="BF66" s="29">
        <f t="shared" ref="BF66:BG66" si="423">SUM(BF61:BF65)</f>
        <v>2474502491</v>
      </c>
      <c r="BG66" s="29">
        <f t="shared" si="423"/>
        <v>1988431085</v>
      </c>
      <c r="BH66" s="29">
        <f t="shared" ref="BH66:BI66" si="424">SUM(BH61:BH65)</f>
        <v>1804090215.424</v>
      </c>
      <c r="BI66" s="29">
        <f t="shared" si="424"/>
        <v>2193574286</v>
      </c>
      <c r="BJ66" s="29">
        <f t="shared" ref="BJ66:BK66" si="425">SUM(BJ61:BJ65)</f>
        <v>2637850374</v>
      </c>
      <c r="BK66" s="29">
        <f t="shared" si="425"/>
        <v>2460057105</v>
      </c>
      <c r="BL66" s="29">
        <f t="shared" ref="BL66:BM66" si="426">SUM(BL61:BL65)</f>
        <v>1931112908</v>
      </c>
      <c r="BM66" s="29">
        <f t="shared" si="426"/>
        <v>1835038419</v>
      </c>
      <c r="BN66" s="29">
        <f t="shared" ref="BN66:BO66" si="427">SUM(BN61:BN65)</f>
        <v>1767281727</v>
      </c>
      <c r="BO66" s="29">
        <f t="shared" si="427"/>
        <v>2177119768</v>
      </c>
      <c r="BP66" s="29">
        <f t="shared" ref="BP66:BQ66" si="428">SUM(BP61:BP65)</f>
        <v>2679969433</v>
      </c>
      <c r="BQ66" s="29">
        <f t="shared" si="428"/>
        <v>2483016611</v>
      </c>
      <c r="BR66" s="29">
        <f t="shared" ref="BR66:BS66" si="429">SUM(BR61:BR65)</f>
        <v>2396439163</v>
      </c>
      <c r="BS66" s="29">
        <f t="shared" si="429"/>
        <v>1958827456</v>
      </c>
      <c r="BT66" s="29">
        <f t="shared" ref="BT66:BU66" si="430">SUM(BT61:BT65)</f>
        <v>1704814386</v>
      </c>
      <c r="BU66" s="29">
        <f t="shared" si="430"/>
        <v>2203008819</v>
      </c>
      <c r="BV66" s="29">
        <f t="shared" ref="BV66:BW66" si="431">SUM(BV61:BV65)</f>
        <v>2721636932</v>
      </c>
      <c r="BW66" s="29">
        <f t="shared" si="431"/>
        <v>2617427572</v>
      </c>
      <c r="BX66" s="29">
        <f t="shared" ref="BX66:BY66" si="432">SUM(BX61:BX65)</f>
        <v>2269062029</v>
      </c>
      <c r="BY66" s="29">
        <f t="shared" si="432"/>
        <v>1748170539</v>
      </c>
      <c r="BZ66" s="29">
        <f t="shared" ref="BZ66:CA66" si="433">SUM(BZ61:BZ65)</f>
        <v>1729203303</v>
      </c>
      <c r="CA66" s="29">
        <f t="shared" si="433"/>
        <v>1982037887</v>
      </c>
      <c r="CB66" s="29">
        <f t="shared" ref="CB66:CC66" si="434">SUM(CB61:CB65)</f>
        <v>2761001718</v>
      </c>
      <c r="CC66" s="29">
        <f t="shared" si="434"/>
        <v>2755647079</v>
      </c>
      <c r="CD66" s="29">
        <f t="shared" ref="CD66:CE66" si="435">SUM(CD61:CD65)</f>
        <v>2367818147</v>
      </c>
      <c r="CE66" s="29">
        <f t="shared" si="435"/>
        <v>2087892773</v>
      </c>
      <c r="CF66" s="29">
        <f t="shared" ref="CF66:CG66" si="436">SUM(CF61:CF65)</f>
        <v>1953706690.0838196</v>
      </c>
      <c r="CG66" s="29">
        <f t="shared" si="436"/>
        <v>2284356255.4014311</v>
      </c>
      <c r="CH66" s="29">
        <f t="shared" ref="CH66:CI66" si="437">SUM(CH61:CH65)</f>
        <v>2671379978.2877369</v>
      </c>
      <c r="CI66" s="29">
        <f t="shared" si="437"/>
        <v>2283484204.778985</v>
      </c>
      <c r="CJ66" s="29">
        <f t="shared" ref="CJ66:CK66" si="438">SUM(CJ61:CJ65)</f>
        <v>2121516306.0948055</v>
      </c>
      <c r="CK66" s="29">
        <f t="shared" si="438"/>
        <v>1783132117.2811646</v>
      </c>
      <c r="CL66" s="29">
        <f t="shared" ref="CL66:CM66" si="439">SUM(CL61:CL65)</f>
        <v>1893965152.9535079</v>
      </c>
      <c r="CM66" s="29">
        <f t="shared" si="439"/>
        <v>2310499595.1486831</v>
      </c>
      <c r="CN66" s="29">
        <f t="shared" ref="CN66:CO66" si="440">SUM(CN61:CN65)</f>
        <v>2653176184.9168739</v>
      </c>
      <c r="CO66" s="29">
        <f t="shared" si="440"/>
        <v>2593407840.0425134</v>
      </c>
      <c r="CP66" s="29">
        <f t="shared" ref="CP66:CQ66" si="441">SUM(CP61:CP65)</f>
        <v>2017763888.1666975</v>
      </c>
      <c r="CQ66" s="29">
        <f t="shared" si="441"/>
        <v>1765818820.9423764</v>
      </c>
      <c r="CR66" s="29">
        <f t="shared" ref="CR66:CS66" si="442">SUM(CR61:CR65)</f>
        <v>1996396603.7551315</v>
      </c>
      <c r="CS66" s="29">
        <f t="shared" si="442"/>
        <v>2501097748.3805943</v>
      </c>
      <c r="CT66" s="29">
        <f t="shared" ref="CT66" si="443">SUM(CT61:CT65)</f>
        <v>2587281616.8954473</v>
      </c>
    </row>
    <row r="67" spans="1:98" x14ac:dyDescent="0.25">
      <c r="B67" s="32"/>
      <c r="C67" s="32"/>
      <c r="O67" s="49"/>
    </row>
    <row r="68" spans="1:98" x14ac:dyDescent="0.25">
      <c r="A68" s="24" t="s">
        <v>55</v>
      </c>
      <c r="B68" s="32"/>
      <c r="C68" s="32"/>
      <c r="D68" s="49"/>
    </row>
    <row r="69" spans="1:98" x14ac:dyDescent="0.25">
      <c r="A69" t="s">
        <v>32</v>
      </c>
      <c r="B69" s="32"/>
      <c r="C69" s="32"/>
      <c r="D69" s="40">
        <f>IF(D51="","",+(D51-D58)+(D58*D61/D66))</f>
        <v>0</v>
      </c>
      <c r="E69" s="40">
        <f t="shared" ref="E69:AW69" si="444">IF(E51="","",+(E51-E58)+(E58*E61/E66))</f>
        <v>0</v>
      </c>
      <c r="F69" s="40">
        <f t="shared" si="444"/>
        <v>28636.335868779192</v>
      </c>
      <c r="G69" s="40">
        <f t="shared" si="444"/>
        <v>344669.92129031231</v>
      </c>
      <c r="H69" s="40">
        <f t="shared" si="444"/>
        <v>437739.69493695599</v>
      </c>
      <c r="I69" s="40">
        <f t="shared" si="444"/>
        <v>461093.89388914994</v>
      </c>
      <c r="J69" s="40">
        <f t="shared" si="444"/>
        <v>425531.99443758972</v>
      </c>
      <c r="K69" s="40">
        <f t="shared" si="444"/>
        <v>350101.97926152864</v>
      </c>
      <c r="L69" s="40">
        <f t="shared" si="444"/>
        <v>315194.78964232601</v>
      </c>
      <c r="M69" s="40">
        <f t="shared" si="444"/>
        <v>423499.84124645527</v>
      </c>
      <c r="N69" s="40">
        <f t="shared" si="444"/>
        <v>467459.76087976695</v>
      </c>
      <c r="O69" s="40">
        <f t="shared" si="444"/>
        <v>474323.05163473397</v>
      </c>
      <c r="P69" s="40">
        <f t="shared" si="444"/>
        <v>428810.25716296653</v>
      </c>
      <c r="Q69" s="40">
        <f t="shared" si="444"/>
        <v>339346.33491655142</v>
      </c>
      <c r="R69" s="40">
        <f t="shared" si="444"/>
        <v>302925.05162387801</v>
      </c>
      <c r="S69" s="40">
        <f t="shared" si="444"/>
        <v>399589.74786578171</v>
      </c>
      <c r="T69" s="40">
        <f t="shared" si="444"/>
        <v>536049.73122413771</v>
      </c>
      <c r="U69" s="40">
        <f t="shared" si="444"/>
        <v>503311.04413038632</v>
      </c>
      <c r="V69" s="40">
        <f t="shared" si="444"/>
        <v>453730.11803544633</v>
      </c>
      <c r="W69" s="40">
        <f t="shared" si="444"/>
        <v>307694.93026905361</v>
      </c>
      <c r="X69" s="40">
        <f t="shared" si="444"/>
        <v>328619.27667869348</v>
      </c>
      <c r="Y69" s="40">
        <f t="shared" si="444"/>
        <v>435339.54516653361</v>
      </c>
      <c r="Z69" s="40">
        <f t="shared" si="444"/>
        <v>565868.64496161381</v>
      </c>
      <c r="AA69" s="40">
        <f t="shared" si="444"/>
        <v>1375644.4768897495</v>
      </c>
      <c r="AB69" s="40">
        <f t="shared" si="444"/>
        <v>1787809.7846895901</v>
      </c>
      <c r="AC69" s="40">
        <f t="shared" si="444"/>
        <v>1208966.210998087</v>
      </c>
      <c r="AD69" s="40">
        <f t="shared" si="444"/>
        <v>1135096.7258818494</v>
      </c>
      <c r="AE69" s="40">
        <f t="shared" si="444"/>
        <v>1483131.5421443433</v>
      </c>
      <c r="AF69" s="40">
        <f t="shared" si="444"/>
        <v>1957827.6512690852</v>
      </c>
      <c r="AG69" s="40">
        <f t="shared" si="444"/>
        <v>1996815.833049651</v>
      </c>
      <c r="AH69" s="40">
        <f t="shared" si="444"/>
        <v>1962236.8311878431</v>
      </c>
      <c r="AI69" s="40">
        <f t="shared" si="444"/>
        <v>1361448.9893388003</v>
      </c>
      <c r="AJ69" s="40">
        <f t="shared" si="444"/>
        <v>1278047.5437683114</v>
      </c>
      <c r="AK69" s="40">
        <f t="shared" si="444"/>
        <v>1599362.0545714868</v>
      </c>
      <c r="AL69" s="40">
        <f t="shared" si="444"/>
        <v>2061688.4651608262</v>
      </c>
      <c r="AM69" s="40">
        <f t="shared" si="444"/>
        <v>1660014.398272939</v>
      </c>
      <c r="AN69" s="40">
        <f t="shared" si="444"/>
        <v>727343.38262135477</v>
      </c>
      <c r="AO69" s="40">
        <f t="shared" si="444"/>
        <v>558489.16557480057</v>
      </c>
      <c r="AP69" s="40">
        <f t="shared" si="444"/>
        <v>521512.93435668247</v>
      </c>
      <c r="AQ69" s="40">
        <f t="shared" si="444"/>
        <v>661161.70778882992</v>
      </c>
      <c r="AR69" s="40">
        <f t="shared" si="444"/>
        <v>907955.1483625297</v>
      </c>
      <c r="AS69" s="40">
        <f t="shared" si="444"/>
        <v>865613.78677226591</v>
      </c>
      <c r="AT69" s="40">
        <f t="shared" si="444"/>
        <v>722180.00996221579</v>
      </c>
      <c r="AU69" s="40">
        <f t="shared" si="444"/>
        <v>521401.47348380275</v>
      </c>
      <c r="AV69" s="40">
        <f t="shared" ref="AV69" si="445">IF(AV51="","",+(AV51-AV58)+(AV58*AV61/AV66))</f>
        <v>494704.46538048884</v>
      </c>
      <c r="AW69" s="40">
        <f t="shared" si="444"/>
        <v>756126.23939637165</v>
      </c>
      <c r="AX69" s="40">
        <f t="shared" ref="AX69:AY69" si="446">IF(AX51="","",+(AX51-AX58)+(AX58*AX61/AX66))</f>
        <v>905435.35475830093</v>
      </c>
      <c r="AY69" s="40">
        <f t="shared" si="446"/>
        <v>894861.30971378379</v>
      </c>
      <c r="AZ69" s="40">
        <f t="shared" ref="AZ69:BA69" si="447">IF(AZ51="","",+(AZ51-AZ58)+(AZ58*AZ61/AZ66))</f>
        <v>886186.43605950114</v>
      </c>
      <c r="BA69" s="40">
        <f t="shared" si="447"/>
        <v>765014.07629471621</v>
      </c>
      <c r="BB69" s="40">
        <f t="shared" ref="BB69:BC69" si="448">IF(BB51="","",+(BB51-BB58)+(BB58*BB61/BB66))</f>
        <v>653602.05200737016</v>
      </c>
      <c r="BC69" s="40">
        <f t="shared" si="448"/>
        <v>842781.28485866333</v>
      </c>
      <c r="BD69" s="40">
        <f t="shared" ref="BD69:BE69" si="449">IF(BD51="","",+(BD51-BD58)+(BD58*BD61/BD66))</f>
        <v>1100550.8342116643</v>
      </c>
      <c r="BE69" s="40">
        <f t="shared" si="449"/>
        <v>1135131.3126591197</v>
      </c>
      <c r="BF69" s="40">
        <f t="shared" ref="BF69:BG69" si="450">IF(BF51="","",+(BF51-BF58)+(BF58*BF61/BF66))</f>
        <v>1050840.2575926636</v>
      </c>
      <c r="BG69" s="40">
        <f t="shared" si="450"/>
        <v>764524.99814993259</v>
      </c>
      <c r="BH69" s="40">
        <f t="shared" ref="BH69:BI69" si="451">IF(BH51="","",+(BH51-BH58)+(BH58*BH61/BH66))</f>
        <v>670016.45565617608</v>
      </c>
      <c r="BI69" s="40">
        <f t="shared" si="451"/>
        <v>931821.74610436941</v>
      </c>
      <c r="BJ69" s="40">
        <f t="shared" ref="BJ69:BK69" si="452">IF(BJ51="","",+(BJ51-BJ58)+(BJ58*BJ61/BJ66))</f>
        <v>1217209.6013274563</v>
      </c>
      <c r="BK69" s="40">
        <f t="shared" si="452"/>
        <v>923613.94602948474</v>
      </c>
      <c r="BL69" s="40">
        <f t="shared" ref="BL69:BM69" si="453">IF(BL51="","",+(BL51-BL58)+(BL58*BL61/BL66))</f>
        <v>309676.30404386291</v>
      </c>
      <c r="BM69" s="40">
        <f t="shared" si="453"/>
        <v>277828.71246966731</v>
      </c>
      <c r="BN69" s="40">
        <f t="shared" ref="BN69:BO69" si="454">IF(BN51="","",+(BN51-BN58)+(BN58*BN61/BN66))</f>
        <v>251603.3624850972</v>
      </c>
      <c r="BO69" s="40">
        <f t="shared" si="454"/>
        <v>342099.90476893133</v>
      </c>
      <c r="BP69" s="40">
        <f t="shared" ref="BP69:BQ69" si="455">IF(BP51="","",+(BP51-BP58)+(BP58*BP61/BP66))</f>
        <v>456637.17127485393</v>
      </c>
      <c r="BQ69" s="40">
        <f t="shared" si="455"/>
        <v>416198.73979180312</v>
      </c>
      <c r="BR69" s="40">
        <f t="shared" ref="BR69:BS69" si="456">IF(BR51="","",+(BR51-BR58)+(BR58*BR61/BR66))</f>
        <v>395220.80121849308</v>
      </c>
      <c r="BS69" s="40">
        <f t="shared" si="456"/>
        <v>289269.85646854306</v>
      </c>
      <c r="BT69" s="40">
        <f t="shared" ref="BT69:BU69" si="457">IF(BT51="","",+(BT51-BT58)+(BT58*BT61/BT66))</f>
        <v>238805.45806292456</v>
      </c>
      <c r="BU69" s="40">
        <f t="shared" si="457"/>
        <v>370141.0606693392</v>
      </c>
      <c r="BV69" s="40">
        <f t="shared" ref="BV69:BW69" si="458">IF(BV51="","",+(BV51-BV58)+(BV58*BV61/BV66))</f>
        <v>496620.31625046697</v>
      </c>
      <c r="BW69" s="40">
        <f t="shared" si="458"/>
        <v>291261.61084430647</v>
      </c>
      <c r="BX69" s="40">
        <f t="shared" ref="BX69:BY69" si="459">IF(BX51="","",+(BX51-BX58)+(BX58*BX61/BX66))</f>
        <v>-2967.2071395390972</v>
      </c>
      <c r="BY69" s="40">
        <f t="shared" si="459"/>
        <v>-4420.3014922618031</v>
      </c>
      <c r="BZ69" s="40">
        <f t="shared" ref="BZ69:CA69" si="460">IF(BZ51="","",+(BZ51-BZ58)+(BZ58*BZ61/BZ66))</f>
        <v>-4131.329538810035</v>
      </c>
      <c r="CA69" s="40">
        <f t="shared" si="460"/>
        <v>-5677.7572754414859</v>
      </c>
      <c r="CB69" s="40">
        <f t="shared" ref="CB69:CC69" si="461">IF(CB51="","",+(CB51-CB58)+(CB58*CB61/CB66))</f>
        <v>-9783.3660959048266</v>
      </c>
      <c r="CC69" s="40">
        <f t="shared" si="461"/>
        <v>-10084.030692114518</v>
      </c>
      <c r="CD69" s="40">
        <f t="shared" ref="CD69:CE69" si="462">IF(CD51="","",+(CD51-CD58)+(CD58*CD61/CD66))</f>
        <v>-7950.1207606646585</v>
      </c>
      <c r="CE69" s="40">
        <f t="shared" si="462"/>
        <v>-6212.2387498080625</v>
      </c>
      <c r="CF69" s="40">
        <f t="shared" ref="CF69:CG69" si="463">IF(CF51="","",+(CF51-CF58)+(CF58*CF61/CF66))</f>
        <v>-6415.14231917301</v>
      </c>
      <c r="CG69" s="40">
        <f t="shared" si="463"/>
        <v>-8032.3164368979769</v>
      </c>
      <c r="CH69" s="40">
        <f t="shared" ref="CH69:CI69" si="464">IF(CH51="","",+(CH51-CH58)+(CH58*CH61/CH66))</f>
        <v>-10268.032312704645</v>
      </c>
      <c r="CI69" s="40" t="str">
        <f t="shared" si="464"/>
        <v/>
      </c>
      <c r="CJ69" s="40" t="str">
        <f t="shared" ref="CJ69:CK69" si="465">IF(CJ51="","",+(CJ51-CJ58)+(CJ58*CJ61/CJ66))</f>
        <v/>
      </c>
      <c r="CK69" s="40" t="str">
        <f t="shared" si="465"/>
        <v/>
      </c>
      <c r="CL69" s="40" t="str">
        <f t="shared" ref="CL69:CM69" si="466">IF(CL51="","",+(CL51-CL58)+(CL58*CL61/CL66))</f>
        <v/>
      </c>
      <c r="CM69" s="40" t="str">
        <f t="shared" si="466"/>
        <v/>
      </c>
      <c r="CN69" s="40" t="str">
        <f t="shared" ref="CN69:CO69" si="467">IF(CN51="","",+(CN51-CN58)+(CN58*CN61/CN66))</f>
        <v/>
      </c>
      <c r="CO69" s="40" t="str">
        <f t="shared" si="467"/>
        <v/>
      </c>
      <c r="CP69" s="40" t="str">
        <f t="shared" ref="CP69:CQ69" si="468">IF(CP51="","",+(CP51-CP58)+(CP58*CP61/CP66))</f>
        <v/>
      </c>
      <c r="CQ69" s="40" t="str">
        <f t="shared" si="468"/>
        <v/>
      </c>
      <c r="CR69" s="40" t="str">
        <f t="shared" ref="CR69:CS69" si="469">IF(CR51="","",+(CR51-CR58)+(CR58*CR61/CR66))</f>
        <v/>
      </c>
      <c r="CS69" s="40" t="str">
        <f t="shared" si="469"/>
        <v/>
      </c>
      <c r="CT69" s="40" t="str">
        <f t="shared" ref="CT69" si="470">IF(CT51="","",+(CT51-CT58)+(CT58*CT61/CT66))</f>
        <v/>
      </c>
    </row>
    <row r="70" spans="1:98" x14ac:dyDescent="0.25">
      <c r="A70" t="s">
        <v>33</v>
      </c>
      <c r="B70" s="32"/>
      <c r="C70" s="32"/>
      <c r="D70" s="40">
        <f>IF(D52="","",+D52+(D58*D62/D66))</f>
        <v>0</v>
      </c>
      <c r="E70" s="40">
        <f t="shared" ref="E70:AW70" si="471">IF(E52="","",+E52+(E58*E62/E66))</f>
        <v>0</v>
      </c>
      <c r="F70" s="40">
        <f t="shared" si="471"/>
        <v>4662.874879564878</v>
      </c>
      <c r="G70" s="40">
        <f>IF(G52="","",+G52+(G58*G62/G66))</f>
        <v>60575.806014450071</v>
      </c>
      <c r="H70" s="40">
        <f t="shared" si="471"/>
        <v>69235.226705339766</v>
      </c>
      <c r="I70" s="40">
        <f t="shared" si="471"/>
        <v>71132.268141530934</v>
      </c>
      <c r="J70" s="40">
        <f t="shared" si="471"/>
        <v>68766.003213137257</v>
      </c>
      <c r="K70" s="40">
        <f t="shared" si="471"/>
        <v>61936.863591354115</v>
      </c>
      <c r="L70" s="40">
        <f t="shared" si="471"/>
        <v>55314.675500358826</v>
      </c>
      <c r="M70" s="40">
        <f t="shared" si="471"/>
        <v>64772.869833744619</v>
      </c>
      <c r="N70" s="40">
        <f t="shared" si="471"/>
        <v>69020.979330338465</v>
      </c>
      <c r="O70" s="40">
        <f t="shared" si="471"/>
        <v>72477.677451482814</v>
      </c>
      <c r="P70" s="40">
        <f t="shared" si="471"/>
        <v>71928.028717536567</v>
      </c>
      <c r="Q70" s="40">
        <f t="shared" si="471"/>
        <v>55453.451619799707</v>
      </c>
      <c r="R70" s="40">
        <f t="shared" si="471"/>
        <v>50391.746026202469</v>
      </c>
      <c r="S70" s="40">
        <f t="shared" si="471"/>
        <v>63389.498728401399</v>
      </c>
      <c r="T70" s="40">
        <f t="shared" si="471"/>
        <v>78881.855890584935</v>
      </c>
      <c r="U70" s="40">
        <f t="shared" si="471"/>
        <v>76955.02703194521</v>
      </c>
      <c r="V70" s="40">
        <f t="shared" si="471"/>
        <v>73755.388306573834</v>
      </c>
      <c r="W70" s="40">
        <f t="shared" si="471"/>
        <v>59772.834718849517</v>
      </c>
      <c r="X70" s="40">
        <f t="shared" si="471"/>
        <v>59572.876185864705</v>
      </c>
      <c r="Y70" s="40">
        <f t="shared" si="471"/>
        <v>68599.470346323797</v>
      </c>
      <c r="Z70" s="40">
        <f t="shared" si="471"/>
        <v>81564.73791205966</v>
      </c>
      <c r="AA70" s="40">
        <f t="shared" si="471"/>
        <v>242664.75286538465</v>
      </c>
      <c r="AB70" s="40">
        <f t="shared" si="471"/>
        <v>375919.83719992841</v>
      </c>
      <c r="AC70" s="40">
        <f t="shared" si="471"/>
        <v>300075.62636462261</v>
      </c>
      <c r="AD70" s="40">
        <f t="shared" si="471"/>
        <v>293923.98139317043</v>
      </c>
      <c r="AE70" s="40">
        <f t="shared" si="471"/>
        <v>350815.31218641665</v>
      </c>
      <c r="AF70" s="40">
        <f t="shared" si="471"/>
        <v>415012.49945076351</v>
      </c>
      <c r="AG70" s="40">
        <f t="shared" si="471"/>
        <v>415043.37829811877</v>
      </c>
      <c r="AH70" s="40">
        <f t="shared" si="471"/>
        <v>419425.17682734353</v>
      </c>
      <c r="AI70" s="40">
        <f t="shared" si="471"/>
        <v>350351.57477839955</v>
      </c>
      <c r="AJ70" s="40">
        <f t="shared" si="471"/>
        <v>312397.32107489841</v>
      </c>
      <c r="AK70" s="40">
        <f t="shared" si="471"/>
        <v>355639.37645809754</v>
      </c>
      <c r="AL70" s="40">
        <f t="shared" si="471"/>
        <v>419510.42236398638</v>
      </c>
      <c r="AM70" s="40">
        <f t="shared" si="471"/>
        <v>345889.73802590865</v>
      </c>
      <c r="AN70" s="40">
        <f t="shared" si="471"/>
        <v>199586.56344967708</v>
      </c>
      <c r="AO70" s="40">
        <f t="shared" si="471"/>
        <v>176831.15319493209</v>
      </c>
      <c r="AP70" s="40">
        <f t="shared" si="471"/>
        <v>171543.19774187819</v>
      </c>
      <c r="AQ70" s="40">
        <f t="shared" si="471"/>
        <v>199615.15184616181</v>
      </c>
      <c r="AR70" s="40">
        <f t="shared" si="471"/>
        <v>238634.42662698543</v>
      </c>
      <c r="AS70" s="40">
        <f t="shared" si="471"/>
        <v>233703.41244781748</v>
      </c>
      <c r="AT70" s="40">
        <f t="shared" si="471"/>
        <v>214332.64423371092</v>
      </c>
      <c r="AU70" s="40">
        <f t="shared" si="471"/>
        <v>176304.098950004</v>
      </c>
      <c r="AV70" s="40">
        <f t="shared" ref="AV70" si="472">IF(AV52="","",+AV52+(AV58*AV62/AV66))</f>
        <v>167898.42293823551</v>
      </c>
      <c r="AW70" s="40">
        <f t="shared" si="471"/>
        <v>208742.33055279544</v>
      </c>
      <c r="AX70" s="40">
        <f t="shared" ref="AX70:AY70" si="473">IF(AX52="","",+AX52+(AX58*AX62/AX66))</f>
        <v>238776.54615310833</v>
      </c>
      <c r="AY70" s="40">
        <f t="shared" si="473"/>
        <v>183122.16294648265</v>
      </c>
      <c r="AZ70" s="40">
        <f t="shared" ref="AZ70:BA70" si="474">IF(AZ52="","",+AZ52+(AZ58*AZ62/AZ66))</f>
        <v>132175.3110263155</v>
      </c>
      <c r="BA70" s="40">
        <f t="shared" si="474"/>
        <v>121716.31880553745</v>
      </c>
      <c r="BB70" s="40">
        <f t="shared" ref="BB70:BC70" si="475">IF(BB52="","",+BB52+(BB58*BB62/BB66))</f>
        <v>112859.12458406219</v>
      </c>
      <c r="BC70" s="40">
        <f t="shared" si="475"/>
        <v>135711.65425614105</v>
      </c>
      <c r="BD70" s="40">
        <f t="shared" ref="BD70:BE70" si="476">IF(BD52="","",+BD52+(BD58*BD62/BD66))</f>
        <v>157092.67328108675</v>
      </c>
      <c r="BE70" s="40">
        <f t="shared" si="476"/>
        <v>160402.84864590407</v>
      </c>
      <c r="BF70" s="40">
        <f t="shared" ref="BF70:BG70" si="477">IF(BF52="","",+BF52+(BF58*BF62/BF66))</f>
        <v>155339.15490700732</v>
      </c>
      <c r="BG70" s="40">
        <f t="shared" si="477"/>
        <v>131677.62985970045</v>
      </c>
      <c r="BH70" s="40">
        <f t="shared" ref="BH70:BI70" si="478">IF(BH52="","",+BH52+(BH58*BH62/BH66))</f>
        <v>120918.22269657685</v>
      </c>
      <c r="BI70" s="40">
        <f t="shared" si="478"/>
        <v>138127.82733634952</v>
      </c>
      <c r="BJ70" s="40">
        <f t="shared" ref="BJ70:BK70" si="479">IF(BJ52="","",+BJ52+(BJ58*BJ62/BJ66))</f>
        <v>166136.60452411827</v>
      </c>
      <c r="BK70" s="40">
        <f t="shared" si="479"/>
        <v>176808.40654881706</v>
      </c>
      <c r="BL70" s="40">
        <f t="shared" ref="BL70:BM70" si="480">IF(BL52="","",+BL52+(BL58*BL62/BL66))</f>
        <v>164534.37132568457</v>
      </c>
      <c r="BM70" s="40">
        <f t="shared" si="480"/>
        <v>160123.77436654735</v>
      </c>
      <c r="BN70" s="40">
        <f t="shared" ref="BN70:BO70" si="481">IF(BN52="","",+BN52+(BN58*BN62/BN66))</f>
        <v>152714.47419511774</v>
      </c>
      <c r="BO70" s="40">
        <f t="shared" si="481"/>
        <v>186653.21437213788</v>
      </c>
      <c r="BP70" s="40">
        <f t="shared" ref="BP70:BQ70" si="482">IF(BP52="","",+BP52+(BP58*BP62/BP66))</f>
        <v>223027.91014690811</v>
      </c>
      <c r="BQ70" s="40">
        <f t="shared" si="482"/>
        <v>209338.96303343435</v>
      </c>
      <c r="BR70" s="40">
        <f t="shared" ref="BR70:BS70" si="483">IF(BR52="","",+BR52+(BR58*BR62/BR66))</f>
        <v>203862.2764313856</v>
      </c>
      <c r="BS70" s="40">
        <f t="shared" si="483"/>
        <v>172077.40616793602</v>
      </c>
      <c r="BT70" s="40">
        <f t="shared" ref="BT70:BU70" si="484">IF(BT52="","",+BT52+(BT58*BT62/BT66))</f>
        <v>154119.00803198112</v>
      </c>
      <c r="BU70" s="40">
        <f t="shared" si="484"/>
        <v>188271.271927669</v>
      </c>
      <c r="BV70" s="40">
        <f t="shared" ref="BV70:BW70" si="485">IF(BV52="","",+BV52+(BV58*BV62/BV66))</f>
        <v>227875.21451036879</v>
      </c>
      <c r="BW70" s="40">
        <f t="shared" si="485"/>
        <v>164570.28784107859</v>
      </c>
      <c r="BX70" s="40">
        <f t="shared" ref="BX70:BY70" si="486">IF(BX52="","",+BX52+(BX58*BX62/BX66))</f>
        <v>78771.10071875107</v>
      </c>
      <c r="BY70" s="40">
        <f t="shared" si="486"/>
        <v>61542.81978987663</v>
      </c>
      <c r="BZ70" s="40">
        <f t="shared" ref="BZ70:CA70" si="487">IF(BZ52="","",+BZ52+(BZ58*BZ62/BZ66))</f>
        <v>60610.568515637875</v>
      </c>
      <c r="CA70" s="40">
        <f t="shared" si="487"/>
        <v>69894.71397450025</v>
      </c>
      <c r="CB70" s="40">
        <f t="shared" ref="CB70:CC70" si="488">IF(CB52="","",+CB52+(CB58*CB62/CB66))</f>
        <v>92020.655591629955</v>
      </c>
      <c r="CC70" s="40">
        <f t="shared" si="488"/>
        <v>88784.184135456075</v>
      </c>
      <c r="CD70" s="40">
        <f t="shared" ref="CD70:CE70" si="489">IF(CD52="","",+CD52+(CD58*CD62/CD66))</f>
        <v>82149.132113006446</v>
      </c>
      <c r="CE70" s="40">
        <f t="shared" si="489"/>
        <v>72897.045807957897</v>
      </c>
      <c r="CF70" s="40">
        <f t="shared" ref="CF70:CG70" si="490">IF(CF52="","",+CF52+(CF58*CF62/CF66))</f>
        <v>62573.832630793273</v>
      </c>
      <c r="CG70" s="40">
        <f t="shared" si="490"/>
        <v>77336.107560002856</v>
      </c>
      <c r="CH70" s="40">
        <f t="shared" ref="CH70:CI70" si="491">IF(CH52="","",+CH52+(CH58*CH62/CH66))</f>
        <v>86535.932644731016</v>
      </c>
      <c r="CI70" s="40" t="str">
        <f t="shared" si="491"/>
        <v/>
      </c>
      <c r="CJ70" s="40" t="str">
        <f t="shared" ref="CJ70:CK70" si="492">IF(CJ52="","",+CJ52+(CJ58*CJ62/CJ66))</f>
        <v/>
      </c>
      <c r="CK70" s="40" t="str">
        <f t="shared" si="492"/>
        <v/>
      </c>
      <c r="CL70" s="40" t="str">
        <f t="shared" ref="CL70:CM70" si="493">IF(CL52="","",+CL52+(CL58*CL62/CL66))</f>
        <v/>
      </c>
      <c r="CM70" s="40" t="str">
        <f t="shared" si="493"/>
        <v/>
      </c>
      <c r="CN70" s="40" t="str">
        <f t="shared" ref="CN70:CO70" si="494">IF(CN52="","",+CN52+(CN58*CN62/CN66))</f>
        <v/>
      </c>
      <c r="CO70" s="40" t="str">
        <f t="shared" si="494"/>
        <v/>
      </c>
      <c r="CP70" s="40" t="str">
        <f t="shared" ref="CP70:CQ70" si="495">IF(CP52="","",+CP52+(CP58*CP62/CP66))</f>
        <v/>
      </c>
      <c r="CQ70" s="40" t="str">
        <f t="shared" si="495"/>
        <v/>
      </c>
      <c r="CR70" s="40" t="str">
        <f t="shared" ref="CR70:CS70" si="496">IF(CR52="","",+CR52+(CR58*CR62/CR66))</f>
        <v/>
      </c>
      <c r="CS70" s="40" t="str">
        <f t="shared" si="496"/>
        <v/>
      </c>
      <c r="CT70" s="40" t="str">
        <f t="shared" ref="CT70" si="497">IF(CT52="","",+CT52+(CT58*CT62/CT66))</f>
        <v/>
      </c>
    </row>
    <row r="71" spans="1:98" x14ac:dyDescent="0.25">
      <c r="A71" t="s">
        <v>34</v>
      </c>
      <c r="B71" s="32"/>
      <c r="C71" s="32"/>
      <c r="D71" s="40">
        <f>IF(D53="","",+D53+(D58*D63/D66))</f>
        <v>0</v>
      </c>
      <c r="E71" s="40">
        <f t="shared" ref="E71:AW71" si="498">IF(E53="","",+E53+(E58*E63/E66))</f>
        <v>0</v>
      </c>
      <c r="F71" s="40">
        <f t="shared" si="498"/>
        <v>6753.6701978728988</v>
      </c>
      <c r="G71" s="40">
        <f>IF(G53="","",+G53+(G58*G63/G66))</f>
        <v>107151.44580605239</v>
      </c>
      <c r="H71" s="40">
        <f t="shared" si="498"/>
        <v>115634.5208649429</v>
      </c>
      <c r="I71" s="40">
        <f t="shared" si="498"/>
        <v>118331.81312804784</v>
      </c>
      <c r="J71" s="40">
        <f t="shared" si="498"/>
        <v>119601.33814288217</v>
      </c>
      <c r="K71" s="40">
        <f t="shared" si="498"/>
        <v>109968.9574924099</v>
      </c>
      <c r="L71" s="40">
        <f t="shared" si="498"/>
        <v>96533.881711475129</v>
      </c>
      <c r="M71" s="40">
        <f t="shared" si="498"/>
        <v>104142.56971532079</v>
      </c>
      <c r="N71" s="40">
        <f t="shared" si="498"/>
        <v>107611.86637282498</v>
      </c>
      <c r="O71" s="40">
        <f t="shared" si="498"/>
        <v>104313.87773241718</v>
      </c>
      <c r="P71" s="40">
        <f t="shared" si="498"/>
        <v>98420.974410363575</v>
      </c>
      <c r="Q71" s="40">
        <f t="shared" si="498"/>
        <v>84560.155028366615</v>
      </c>
      <c r="R71" s="40">
        <f t="shared" si="498"/>
        <v>79147.524446379844</v>
      </c>
      <c r="S71" s="40">
        <f t="shared" si="498"/>
        <v>94049.927973792379</v>
      </c>
      <c r="T71" s="40">
        <f t="shared" si="498"/>
        <v>109708.48677351972</v>
      </c>
      <c r="U71" s="40">
        <f t="shared" si="498"/>
        <v>109463.73998502946</v>
      </c>
      <c r="V71" s="40">
        <f t="shared" si="498"/>
        <v>109154.24836711264</v>
      </c>
      <c r="W71" s="40">
        <f t="shared" si="498"/>
        <v>93111.170115006884</v>
      </c>
      <c r="X71" s="40">
        <f t="shared" si="498"/>
        <v>90314.439841834988</v>
      </c>
      <c r="Y71" s="40">
        <f t="shared" si="498"/>
        <v>96572.606390330679</v>
      </c>
      <c r="Z71" s="40">
        <f t="shared" si="498"/>
        <v>102973.56100695563</v>
      </c>
      <c r="AA71" s="40">
        <f t="shared" si="498"/>
        <v>317054.12799449282</v>
      </c>
      <c r="AB71" s="40">
        <f t="shared" si="498"/>
        <v>555274.69988765684</v>
      </c>
      <c r="AC71" s="40">
        <f t="shared" si="498"/>
        <v>496959.09444564459</v>
      </c>
      <c r="AD71" s="40">
        <f t="shared" si="498"/>
        <v>507462.60422851134</v>
      </c>
      <c r="AE71" s="40">
        <f t="shared" si="498"/>
        <v>564396.00989380945</v>
      </c>
      <c r="AF71" s="40">
        <f t="shared" si="498"/>
        <v>660447.26760719228</v>
      </c>
      <c r="AG71" s="40">
        <f t="shared" si="498"/>
        <v>654260.67532357096</v>
      </c>
      <c r="AH71" s="40">
        <f t="shared" si="498"/>
        <v>666957.41235823918</v>
      </c>
      <c r="AI71" s="40">
        <f t="shared" si="498"/>
        <v>587413.62430156593</v>
      </c>
      <c r="AJ71" s="40">
        <f t="shared" si="498"/>
        <v>519976.82051891321</v>
      </c>
      <c r="AK71" s="40">
        <f t="shared" si="498"/>
        <v>567613.70409043762</v>
      </c>
      <c r="AL71" s="40">
        <f t="shared" si="498"/>
        <v>605915.85091646248</v>
      </c>
      <c r="AM71" s="40">
        <f t="shared" si="498"/>
        <v>491377.50787101442</v>
      </c>
      <c r="AN71" s="40">
        <f t="shared" si="498"/>
        <v>295776.31891815155</v>
      </c>
      <c r="AO71" s="40">
        <f t="shared" si="498"/>
        <v>275370.89343587006</v>
      </c>
      <c r="AP71" s="40">
        <f t="shared" si="498"/>
        <v>285530.13328453153</v>
      </c>
      <c r="AQ71" s="40">
        <f t="shared" si="498"/>
        <v>320626.18147462484</v>
      </c>
      <c r="AR71" s="40">
        <f t="shared" si="498"/>
        <v>359045.8467287785</v>
      </c>
      <c r="AS71" s="40">
        <f t="shared" si="498"/>
        <v>356393.75583709526</v>
      </c>
      <c r="AT71" s="40">
        <f t="shared" si="498"/>
        <v>340966.67570072628</v>
      </c>
      <c r="AU71" s="40">
        <f t="shared" si="498"/>
        <v>293032.69252515415</v>
      </c>
      <c r="AV71" s="40">
        <f t="shared" ref="AV71" si="499">IF(AV53="","",+AV53+(AV58*AV63/AV66))</f>
        <v>284530.72242752794</v>
      </c>
      <c r="AW71" s="40">
        <f t="shared" si="498"/>
        <v>315151.4942720079</v>
      </c>
      <c r="AX71" s="40">
        <f t="shared" ref="AX71:AY71" si="500">IF(AX53="","",+AX53+(AX58*AX63/AX66))</f>
        <v>326915.51533468132</v>
      </c>
      <c r="AY71" s="40">
        <f t="shared" si="500"/>
        <v>495028.13257713738</v>
      </c>
      <c r="AZ71" s="40">
        <f t="shared" ref="AZ71:BA71" si="501">IF(AZ53="","",+AZ53+(AZ58*AZ63/AZ66))</f>
        <v>776601.02939900942</v>
      </c>
      <c r="BA71" s="40">
        <f t="shared" si="501"/>
        <v>744958.66884249065</v>
      </c>
      <c r="BB71" s="40">
        <f t="shared" ref="BB71:BC71" si="502">IF(BB53="","",+BB53+(BB58*BB63/BB66))</f>
        <v>742679.53603549488</v>
      </c>
      <c r="BC71" s="40">
        <f t="shared" si="502"/>
        <v>838043.54050146521</v>
      </c>
      <c r="BD71" s="40">
        <f t="shared" ref="BD71:BE71" si="503">IF(BD53="","",+BD53+(BD58*BD63/BD66))</f>
        <v>901539.36414699082</v>
      </c>
      <c r="BE71" s="40">
        <f t="shared" si="503"/>
        <v>933578.0584226402</v>
      </c>
      <c r="BF71" s="40">
        <f t="shared" ref="BF71:BG71" si="504">IF(BF53="","",+BF53+(BF58*BF63/BF66))</f>
        <v>935041.31426513928</v>
      </c>
      <c r="BG71" s="40">
        <f t="shared" si="504"/>
        <v>822431.07735931734</v>
      </c>
      <c r="BH71" s="40">
        <f t="shared" ref="BH71:BI71" si="505">IF(BH53="","",+BH53+(BH58*BH63/BH66))</f>
        <v>757805.67077663436</v>
      </c>
      <c r="BI71" s="40">
        <f t="shared" si="505"/>
        <v>806243.01024479186</v>
      </c>
      <c r="BJ71" s="40">
        <f t="shared" ref="BJ71:BK71" si="506">IF(BJ53="","",+BJ53+(BJ58*BJ63/BJ66))</f>
        <v>887557.66763329331</v>
      </c>
      <c r="BK71" s="40">
        <f t="shared" si="506"/>
        <v>668377.87423099403</v>
      </c>
      <c r="BL71" s="40">
        <f t="shared" ref="BL71:BM71" si="507">IF(BL53="","",+BL53+(BL58*BL63/BL66))</f>
        <v>391022.57774303708</v>
      </c>
      <c r="BM71" s="40">
        <f t="shared" si="507"/>
        <v>386888.30936900136</v>
      </c>
      <c r="BN71" s="40">
        <f t="shared" ref="BN71:BO71" si="508">IF(BN53="","",+BN53+(BN58*BN63/BN66))</f>
        <v>389331.8334457695</v>
      </c>
      <c r="BO71" s="40">
        <f t="shared" si="508"/>
        <v>441026.67746722768</v>
      </c>
      <c r="BP71" s="40">
        <f t="shared" ref="BP71:BQ71" si="509">IF(BP53="","",+BP53+(BP58*BP63/BP66))</f>
        <v>497722.67888960714</v>
      </c>
      <c r="BQ71" s="40">
        <f t="shared" si="509"/>
        <v>467145.79989049118</v>
      </c>
      <c r="BR71" s="40">
        <f t="shared" ref="BR71:BS71" si="510">IF(BR53="","",+BR53+(BR58*BR63/BR66))</f>
        <v>467468.93906646414</v>
      </c>
      <c r="BS71" s="40">
        <f t="shared" si="510"/>
        <v>417199.16446984245</v>
      </c>
      <c r="BT71" s="40">
        <f t="shared" ref="BT71:BU71" si="511">IF(BT53="","",+BT53+(BT58*BT63/BT66))</f>
        <v>381239.43518107763</v>
      </c>
      <c r="BU71" s="40">
        <f t="shared" si="511"/>
        <v>416438.85188440635</v>
      </c>
      <c r="BV71" s="40">
        <f t="shared" ref="BV71:BW71" si="512">IF(BV53="","",+BV53+(BV58*BV63/BV66))</f>
        <v>456761.08225291135</v>
      </c>
      <c r="BW71" s="40">
        <f t="shared" si="512"/>
        <v>269174.51952399034</v>
      </c>
      <c r="BX71" s="40">
        <f t="shared" ref="BX71:BY71" si="513">IF(BX53="","",+BX53+(BX58*BX63/BX66))</f>
        <v>16266.352441484547</v>
      </c>
      <c r="BY71" s="40">
        <f t="shared" si="513"/>
        <v>6098.28093311052</v>
      </c>
      <c r="BZ71" s="40">
        <f t="shared" ref="BZ71:CA71" si="514">IF(BZ53="","",+BZ53+(BZ58*BZ63/BZ66))</f>
        <v>13569.402848267171</v>
      </c>
      <c r="CA71" s="40">
        <f t="shared" si="514"/>
        <v>10061.607821545809</v>
      </c>
      <c r="CB71" s="40">
        <f t="shared" ref="CB71:CC71" si="515">IF(CB53="","",+CB53+(CB58*CB63/CB66))</f>
        <v>13460.358180383437</v>
      </c>
      <c r="CC71" s="40">
        <f t="shared" si="515"/>
        <v>14904.354654633435</v>
      </c>
      <c r="CD71" s="40">
        <f t="shared" ref="CD71:CE71" si="516">IF(CD53="","",+CD53+(CD58*CD63/CD66))</f>
        <v>11263.166638272416</v>
      </c>
      <c r="CE71" s="40">
        <f t="shared" si="516"/>
        <v>10565.405628422865</v>
      </c>
      <c r="CF71" s="40">
        <f t="shared" ref="CF71:CG71" si="517">IF(CF53="","",+CF53+(CF58*CF63/CF66))</f>
        <v>9852.4743997709302</v>
      </c>
      <c r="CG71" s="40">
        <f t="shared" si="517"/>
        <v>10631.028177820428</v>
      </c>
      <c r="CH71" s="40">
        <f t="shared" ref="CH71:CI71" si="518">IF(CH53="","",+CH53+(CH58*CH63/CH66))</f>
        <v>10911.320906698393</v>
      </c>
      <c r="CI71" s="40" t="str">
        <f t="shared" si="518"/>
        <v/>
      </c>
      <c r="CJ71" s="40" t="str">
        <f t="shared" ref="CJ71:CK71" si="519">IF(CJ53="","",+CJ53+(CJ58*CJ63/CJ66))</f>
        <v/>
      </c>
      <c r="CK71" s="40" t="str">
        <f t="shared" si="519"/>
        <v/>
      </c>
      <c r="CL71" s="40" t="str">
        <f t="shared" ref="CL71:CM71" si="520">IF(CL53="","",+CL53+(CL58*CL63/CL66))</f>
        <v/>
      </c>
      <c r="CM71" s="40" t="str">
        <f t="shared" si="520"/>
        <v/>
      </c>
      <c r="CN71" s="40" t="str">
        <f t="shared" ref="CN71:CO71" si="521">IF(CN53="","",+CN53+(CN58*CN63/CN66))</f>
        <v/>
      </c>
      <c r="CO71" s="40" t="str">
        <f t="shared" si="521"/>
        <v/>
      </c>
      <c r="CP71" s="40" t="str">
        <f t="shared" ref="CP71:CQ71" si="522">IF(CP53="","",+CP53+(CP58*CP63/CP66))</f>
        <v/>
      </c>
      <c r="CQ71" s="40" t="str">
        <f t="shared" si="522"/>
        <v/>
      </c>
      <c r="CR71" s="40" t="str">
        <f t="shared" ref="CR71:CS71" si="523">IF(CR53="","",+CR53+(CR58*CR63/CR66))</f>
        <v/>
      </c>
      <c r="CS71" s="40" t="str">
        <f t="shared" si="523"/>
        <v/>
      </c>
      <c r="CT71" s="40" t="str">
        <f t="shared" ref="CT71" si="524">IF(CT53="","",+CT53+(CT58*CT63/CT66))</f>
        <v/>
      </c>
    </row>
    <row r="72" spans="1:98" x14ac:dyDescent="0.25">
      <c r="A72" t="s">
        <v>35</v>
      </c>
      <c r="B72" s="32"/>
      <c r="C72" s="32"/>
      <c r="D72" s="40">
        <f>IF(D54="","",+D54+(D58*D64/D66))</f>
        <v>0</v>
      </c>
      <c r="E72" s="40">
        <f t="shared" ref="E72:AW72" si="525">IF(E54="","",+E54+(E58*E64/E66))</f>
        <v>0</v>
      </c>
      <c r="F72" s="40">
        <f t="shared" si="525"/>
        <v>2381.1324731369587</v>
      </c>
      <c r="G72" s="40">
        <f>IF(G54="","",+G54+(G58*G64/G66))</f>
        <v>41080.759711289073</v>
      </c>
      <c r="H72" s="40">
        <f t="shared" si="525"/>
        <v>46620.227707662583</v>
      </c>
      <c r="I72" s="40">
        <f t="shared" si="525"/>
        <v>48915.290383093015</v>
      </c>
      <c r="J72" s="40">
        <f t="shared" si="525"/>
        <v>48689.064699160743</v>
      </c>
      <c r="K72" s="40">
        <f t="shared" si="525"/>
        <v>45154.720570269681</v>
      </c>
      <c r="L72" s="40">
        <f t="shared" si="525"/>
        <v>41515.04923810179</v>
      </c>
      <c r="M72" s="40">
        <f t="shared" si="525"/>
        <v>41594.548478057877</v>
      </c>
      <c r="N72" s="40">
        <f t="shared" si="525"/>
        <v>42743.649469302021</v>
      </c>
      <c r="O72" s="40">
        <f t="shared" si="525"/>
        <v>43471.756585125317</v>
      </c>
      <c r="P72" s="40">
        <f t="shared" si="525"/>
        <v>37573.855689531287</v>
      </c>
      <c r="Q72" s="40">
        <f t="shared" si="525"/>
        <v>36905.295455925545</v>
      </c>
      <c r="R72" s="40">
        <f t="shared" si="525"/>
        <v>34871.894488322658</v>
      </c>
      <c r="S72" s="40">
        <f t="shared" si="525"/>
        <v>40727.091457001268</v>
      </c>
      <c r="T72" s="40">
        <f t="shared" si="525"/>
        <v>42825.077518324979</v>
      </c>
      <c r="U72" s="40">
        <f t="shared" si="525"/>
        <v>44954.202556147626</v>
      </c>
      <c r="V72" s="40">
        <f t="shared" si="525"/>
        <v>45054.75137109276</v>
      </c>
      <c r="W72" s="40">
        <f t="shared" si="525"/>
        <v>40035.738044047088</v>
      </c>
      <c r="X72" s="40">
        <f t="shared" si="525"/>
        <v>39574.059026383933</v>
      </c>
      <c r="Y72" s="40">
        <f t="shared" si="525"/>
        <v>41188.257144152223</v>
      </c>
      <c r="Z72" s="40">
        <f t="shared" si="525"/>
        <v>40226.995717895465</v>
      </c>
      <c r="AA72" s="40">
        <f t="shared" si="525"/>
        <v>108585.49808616596</v>
      </c>
      <c r="AB72" s="40">
        <f t="shared" si="525"/>
        <v>181792.64072508441</v>
      </c>
      <c r="AC72" s="40">
        <f t="shared" si="525"/>
        <v>183572.05910467496</v>
      </c>
      <c r="AD72" s="40">
        <f t="shared" si="525"/>
        <v>190770.53370651661</v>
      </c>
      <c r="AE72" s="40">
        <f t="shared" si="525"/>
        <v>183881.99525765545</v>
      </c>
      <c r="AF72" s="40">
        <f t="shared" si="525"/>
        <v>245635.92921565124</v>
      </c>
      <c r="AG72" s="40">
        <f t="shared" si="525"/>
        <v>225402.14448890529</v>
      </c>
      <c r="AH72" s="40">
        <f t="shared" si="525"/>
        <v>228315.5064563354</v>
      </c>
      <c r="AI72" s="40">
        <f t="shared" si="525"/>
        <v>197613.76683715408</v>
      </c>
      <c r="AJ72" s="40">
        <f t="shared" si="525"/>
        <v>171603.607119394</v>
      </c>
      <c r="AK72" s="40">
        <f t="shared" si="525"/>
        <v>225113.97993017494</v>
      </c>
      <c r="AL72" s="40">
        <f t="shared" si="525"/>
        <v>217125.39653110137</v>
      </c>
      <c r="AM72" s="40">
        <f t="shared" si="525"/>
        <v>162221.33538769459</v>
      </c>
      <c r="AN72" s="40">
        <f t="shared" si="525"/>
        <v>84753.684454895163</v>
      </c>
      <c r="AO72" s="40">
        <f t="shared" si="525"/>
        <v>72198.807943159496</v>
      </c>
      <c r="AP72" s="40">
        <f t="shared" si="525"/>
        <v>84979.402614517516</v>
      </c>
      <c r="AQ72" s="40">
        <f t="shared" si="525"/>
        <v>96900.261492082005</v>
      </c>
      <c r="AR72" s="40">
        <f t="shared" si="525"/>
        <v>100482.39287136923</v>
      </c>
      <c r="AS72" s="40">
        <f t="shared" si="525"/>
        <v>99567.440007197365</v>
      </c>
      <c r="AT72" s="40">
        <f t="shared" si="525"/>
        <v>97105.740111514999</v>
      </c>
      <c r="AU72" s="40">
        <f t="shared" si="525"/>
        <v>86103.564631792964</v>
      </c>
      <c r="AV72" s="40">
        <f t="shared" ref="AV72" si="526">IF(AV54="","",+AV54+(AV58*AV64/AV66))</f>
        <v>86765.912910017505</v>
      </c>
      <c r="AW72" s="40">
        <f t="shared" si="525"/>
        <v>89195.654381293964</v>
      </c>
      <c r="AX72" s="40">
        <f t="shared" ref="AX72:AY72" si="527">IF(AX54="","",+AX54+(AX58*AX64/AX66))</f>
        <v>84853.67359430436</v>
      </c>
      <c r="AY72" s="40">
        <f t="shared" si="527"/>
        <v>116964.64095577589</v>
      </c>
      <c r="AZ72" s="40">
        <f t="shared" ref="AZ72:BA72" si="528">IF(AZ54="","",+AZ54+(AZ58*AZ64/AZ66))</f>
        <v>189332.91154715291</v>
      </c>
      <c r="BA72" s="40">
        <f t="shared" si="528"/>
        <v>196301.33578545341</v>
      </c>
      <c r="BB72" s="40">
        <f t="shared" ref="BB72:BC72" si="529">IF(BB54="","",+BB54+(BB58*BB64/BB66))</f>
        <v>196733.17904220874</v>
      </c>
      <c r="BC72" s="40">
        <f t="shared" si="529"/>
        <v>205719.5189357409</v>
      </c>
      <c r="BD72" s="40">
        <f t="shared" ref="BD72:BE72" si="530">IF(BD54="","",+BD54+(BD58*BD64/BD66))</f>
        <v>210715.73838310986</v>
      </c>
      <c r="BE72" s="40">
        <f t="shared" si="530"/>
        <v>238375.38279456849</v>
      </c>
      <c r="BF72" s="40">
        <f t="shared" ref="BF72:BG72" si="531">IF(BF54="","",+BF54+(BF58*BF64/BF66))</f>
        <v>227841.78131597498</v>
      </c>
      <c r="BG72" s="40">
        <f t="shared" si="531"/>
        <v>197896.49528830158</v>
      </c>
      <c r="BH72" s="40">
        <f t="shared" ref="BH72:BI72" si="532">IF(BH54="","",+BH54+(BH58*BH64/BH66))</f>
        <v>199204.41428746725</v>
      </c>
      <c r="BI72" s="40">
        <f t="shared" si="532"/>
        <v>195080.60409575581</v>
      </c>
      <c r="BJ72" s="40">
        <f t="shared" ref="BJ72:BK72" si="533">IF(BJ54="","",+BJ54+(BJ58*BJ64/BJ66))</f>
        <v>205676.46607758498</v>
      </c>
      <c r="BK72" s="40">
        <f t="shared" si="533"/>
        <v>164528.34319845738</v>
      </c>
      <c r="BL72" s="40">
        <f t="shared" ref="BL72:BM72" si="534">IF(BL54="","",+BL54+(BL58*BL64/BL66))</f>
        <v>82355.750369557412</v>
      </c>
      <c r="BM72" s="40">
        <f t="shared" si="534"/>
        <v>75136.769948506291</v>
      </c>
      <c r="BN72" s="40">
        <f t="shared" ref="BN72:BO72" si="535">IF(BN54="","",+BN54+(BN58*BN64/BN66))</f>
        <v>79020.330975310935</v>
      </c>
      <c r="BO72" s="40">
        <f t="shared" si="535"/>
        <v>86151.63231358421</v>
      </c>
      <c r="BP72" s="40">
        <f t="shared" ref="BP72:BQ72" si="536">IF(BP54="","",+BP54+(BP58*BP64/BP66))</f>
        <v>92390.851174746815</v>
      </c>
      <c r="BQ72" s="40">
        <f t="shared" si="536"/>
        <v>87335.237425234605</v>
      </c>
      <c r="BR72" s="40">
        <f t="shared" ref="BR72:BS72" si="537">IF(BR54="","",+BR54+(BR58*BR64/BR66))</f>
        <v>85732.605078085864</v>
      </c>
      <c r="BS72" s="40">
        <f t="shared" si="537"/>
        <v>84245.2067722707</v>
      </c>
      <c r="BT72" s="40">
        <f t="shared" ref="BT72:BU72" si="538">IF(BT54="","",+BT54+(BT58*BT64/BT66))</f>
        <v>74528.867074334572</v>
      </c>
      <c r="BU72" s="40">
        <f t="shared" si="538"/>
        <v>78369.714671017398</v>
      </c>
      <c r="BV72" s="40">
        <f t="shared" ref="BV72:BW72" si="539">IF(BV54="","",+BV54+(BV58*BV64/BV66))</f>
        <v>81167.809811166342</v>
      </c>
      <c r="BW72" s="40">
        <f t="shared" si="539"/>
        <v>63141.200238202946</v>
      </c>
      <c r="BX72" s="40">
        <f t="shared" ref="BX72:BY72" si="540">IF(BX54="","",+BX54+(BX58*BX64/BX66))</f>
        <v>18231.246321511364</v>
      </c>
      <c r="BY72" s="40">
        <f t="shared" si="540"/>
        <v>16261.061194550975</v>
      </c>
      <c r="BZ72" s="40">
        <f t="shared" ref="BZ72:CA72" si="541">IF(BZ54="","",+BZ54+(BZ58*BZ64/BZ66))</f>
        <v>16916.909283687295</v>
      </c>
      <c r="CA72" s="40">
        <f t="shared" si="541"/>
        <v>16940.577827038582</v>
      </c>
      <c r="CB72" s="40">
        <f t="shared" ref="CB72:CC72" si="542">IF(CB54="","",+CB54+(CB58*CB64/CB66))</f>
        <v>20672.713494590887</v>
      </c>
      <c r="CC72" s="40">
        <f t="shared" si="542"/>
        <v>18446.306212020601</v>
      </c>
      <c r="CD72" s="40">
        <f t="shared" ref="CD72:CE72" si="543">IF(CD54="","",+CD54+(CD58*CD64/CD66))</f>
        <v>18376.868343093447</v>
      </c>
      <c r="CE72" s="40">
        <f t="shared" si="543"/>
        <v>18470.932348151913</v>
      </c>
      <c r="CF72" s="40">
        <f t="shared" ref="CF72:CG72" si="544">IF(CF54="","",+CF54+(CF58*CF64/CF66))</f>
        <v>16540.507322086807</v>
      </c>
      <c r="CG72" s="40">
        <f t="shared" si="544"/>
        <v>16770.483038937884</v>
      </c>
      <c r="CH72" s="40">
        <f t="shared" ref="CH72:CI72" si="545">IF(CH54="","",+CH54+(CH58*CH64/CH66))</f>
        <v>17773.693442819935</v>
      </c>
      <c r="CI72" s="40" t="str">
        <f t="shared" si="545"/>
        <v/>
      </c>
      <c r="CJ72" s="40" t="str">
        <f t="shared" ref="CJ72:CK72" si="546">IF(CJ54="","",+CJ54+(CJ58*CJ64/CJ66))</f>
        <v/>
      </c>
      <c r="CK72" s="40" t="str">
        <f t="shared" si="546"/>
        <v/>
      </c>
      <c r="CL72" s="40" t="str">
        <f t="shared" ref="CL72:CM72" si="547">IF(CL54="","",+CL54+(CL58*CL64/CL66))</f>
        <v/>
      </c>
      <c r="CM72" s="40" t="str">
        <f t="shared" si="547"/>
        <v/>
      </c>
      <c r="CN72" s="40" t="str">
        <f t="shared" ref="CN72:CO72" si="548">IF(CN54="","",+CN54+(CN58*CN64/CN66))</f>
        <v/>
      </c>
      <c r="CO72" s="40" t="str">
        <f t="shared" si="548"/>
        <v/>
      </c>
      <c r="CP72" s="40" t="str">
        <f t="shared" ref="CP72:CQ72" si="549">IF(CP54="","",+CP54+(CP58*CP64/CP66))</f>
        <v/>
      </c>
      <c r="CQ72" s="40" t="str">
        <f t="shared" si="549"/>
        <v/>
      </c>
      <c r="CR72" s="40" t="str">
        <f t="shared" ref="CR72:CS72" si="550">IF(CR54="","",+CR54+(CR58*CR64/CR66))</f>
        <v/>
      </c>
      <c r="CS72" s="40" t="str">
        <f t="shared" si="550"/>
        <v/>
      </c>
      <c r="CT72" s="40" t="str">
        <f t="shared" ref="CT72" si="551">IF(CT54="","",+CT54+(CT58*CT64/CT66))</f>
        <v/>
      </c>
    </row>
    <row r="73" spans="1:98" x14ac:dyDescent="0.25">
      <c r="A73" t="s">
        <v>36</v>
      </c>
      <c r="B73" s="32"/>
      <c r="C73" s="32"/>
      <c r="D73" s="40">
        <f>IF(D55="","",+D55+(D58*D65/D66))</f>
        <v>0</v>
      </c>
      <c r="E73" s="40">
        <f t="shared" ref="E73:AW73" si="552">IF(E55="","",+E55+(E58*E65/E66))</f>
        <v>0</v>
      </c>
      <c r="F73" s="40">
        <f>IF(F55="","",+F55+(F58*F65/F66))</f>
        <v>-48.583419353926594</v>
      </c>
      <c r="G73" s="40">
        <f>IF(G55="","",+G55+(G58*G65/G66))</f>
        <v>4125.9071778961579</v>
      </c>
      <c r="H73" s="40">
        <f t="shared" si="552"/>
        <v>6806.3797850987785</v>
      </c>
      <c r="I73" s="40">
        <f t="shared" si="552"/>
        <v>7524.9044581782691</v>
      </c>
      <c r="J73" s="40">
        <f t="shared" si="552"/>
        <v>7658.4495072300715</v>
      </c>
      <c r="K73" s="40">
        <f t="shared" si="552"/>
        <v>7241.6490844376849</v>
      </c>
      <c r="L73" s="40">
        <f t="shared" si="552"/>
        <v>6323.5939077382554</v>
      </c>
      <c r="M73" s="40">
        <f t="shared" si="552"/>
        <v>5864.7707264215042</v>
      </c>
      <c r="N73" s="40">
        <f t="shared" si="552"/>
        <v>6186.9939477675571</v>
      </c>
      <c r="O73" s="40">
        <f t="shared" si="552"/>
        <v>10792.766596240668</v>
      </c>
      <c r="P73" s="40">
        <f t="shared" si="552"/>
        <v>19312.38401960209</v>
      </c>
      <c r="Q73" s="40">
        <f t="shared" si="552"/>
        <v>21254.31297935671</v>
      </c>
      <c r="R73" s="40">
        <f t="shared" si="552"/>
        <v>21637.663415217026</v>
      </c>
      <c r="S73" s="40">
        <f t="shared" si="552"/>
        <v>16834.533975023267</v>
      </c>
      <c r="T73" s="40">
        <f t="shared" si="552"/>
        <v>24355.538593432568</v>
      </c>
      <c r="U73" s="40">
        <f t="shared" si="552"/>
        <v>25113.656296491379</v>
      </c>
      <c r="V73" s="40">
        <f t="shared" si="552"/>
        <v>25507.793919774442</v>
      </c>
      <c r="W73" s="40">
        <f t="shared" si="552"/>
        <v>22463.576853042847</v>
      </c>
      <c r="X73" s="40">
        <f t="shared" si="552"/>
        <v>21960.458267222853</v>
      </c>
      <c r="Y73" s="40">
        <f t="shared" si="552"/>
        <v>22338.840952659717</v>
      </c>
      <c r="Z73" s="40">
        <f t="shared" si="552"/>
        <v>20382.980401475455</v>
      </c>
      <c r="AA73" s="40">
        <f t="shared" si="552"/>
        <v>32953.904164207008</v>
      </c>
      <c r="AB73" s="40">
        <f t="shared" si="552"/>
        <v>23500.247497740351</v>
      </c>
      <c r="AC73" s="40">
        <f t="shared" si="552"/>
        <v>40293.609086971141</v>
      </c>
      <c r="AD73" s="40">
        <f t="shared" si="552"/>
        <v>41000.534789952151</v>
      </c>
      <c r="AE73" s="40">
        <f t="shared" si="552"/>
        <v>39665.300517775315</v>
      </c>
      <c r="AF73" s="40">
        <f t="shared" si="552"/>
        <v>50592.172457307752</v>
      </c>
      <c r="AG73" s="40">
        <f t="shared" si="552"/>
        <v>48111.888839753803</v>
      </c>
      <c r="AH73" s="40">
        <f t="shared" si="552"/>
        <v>52046.073170238742</v>
      </c>
      <c r="AI73" s="40">
        <f t="shared" si="552"/>
        <v>47917.124744080225</v>
      </c>
      <c r="AJ73" s="40">
        <f t="shared" si="552"/>
        <v>31542.387518483061</v>
      </c>
      <c r="AK73" s="40">
        <f t="shared" si="552"/>
        <v>43557.154949803051</v>
      </c>
      <c r="AL73" s="40">
        <f t="shared" si="552"/>
        <v>40956.195027623748</v>
      </c>
      <c r="AM73" s="40">
        <f t="shared" si="552"/>
        <v>34081.150442443461</v>
      </c>
      <c r="AN73" s="40">
        <f t="shared" si="552"/>
        <v>5569.4805559214219</v>
      </c>
      <c r="AO73" s="40">
        <f t="shared" si="552"/>
        <v>-23801.130148762259</v>
      </c>
      <c r="AP73" s="40">
        <f t="shared" si="552"/>
        <v>4425.0020023903071</v>
      </c>
      <c r="AQ73" s="40">
        <f t="shared" si="552"/>
        <v>5427.3573983012948</v>
      </c>
      <c r="AR73" s="40">
        <f t="shared" si="552"/>
        <v>6149.5954103370386</v>
      </c>
      <c r="AS73" s="40">
        <f t="shared" si="552"/>
        <v>6063.694935624073</v>
      </c>
      <c r="AT73" s="40">
        <f t="shared" si="552"/>
        <v>6340.9099918320171</v>
      </c>
      <c r="AU73" s="40">
        <f t="shared" si="552"/>
        <v>5452.5804092461303</v>
      </c>
      <c r="AV73" s="40">
        <f t="shared" ref="AV73" si="553">IF(AV55="","",+AV55+(AV58*AV65/AV66))</f>
        <v>5374.9963437301585</v>
      </c>
      <c r="AW73" s="40">
        <f t="shared" si="552"/>
        <v>4968.6713975309985</v>
      </c>
      <c r="AX73" s="40">
        <f t="shared" ref="AX73:AY73" si="554">IF(AX55="","",+AX55+(AX58*AX65/AX66))</f>
        <v>4126.6501596050875</v>
      </c>
      <c r="AY73" s="40">
        <f t="shared" si="554"/>
        <v>6475.6438068202078</v>
      </c>
      <c r="AZ73" s="40">
        <f t="shared" ref="AZ73:BA73" si="555">IF(AZ55="","",+AZ55+(AZ58*AZ65/AZ66))</f>
        <v>20514.021968021043</v>
      </c>
      <c r="BA73" s="40">
        <f t="shared" si="555"/>
        <v>20728.070271802189</v>
      </c>
      <c r="BB73" s="40">
        <f t="shared" ref="BB73:BC73" si="556">IF(BB55="","",+BB55+(BB58*BB65/BB66))</f>
        <v>21860.388330864007</v>
      </c>
      <c r="BC73" s="40">
        <f t="shared" si="556"/>
        <v>26312.731447989569</v>
      </c>
      <c r="BD73" s="40">
        <f t="shared" ref="BD73:BE73" si="557">IF(BD55="","",+BD55+(BD58*BD65/BD66))</f>
        <v>24544.16997714834</v>
      </c>
      <c r="BE73" s="40">
        <f t="shared" si="557"/>
        <v>28119.347477767511</v>
      </c>
      <c r="BF73" s="40">
        <f t="shared" ref="BF73:BG73" si="558">IF(BF55="","",+BF55+(BF58*BF65/BF66))</f>
        <v>30706.5519192147</v>
      </c>
      <c r="BG73" s="40">
        <f t="shared" si="558"/>
        <v>31001.069342748062</v>
      </c>
      <c r="BH73" s="40">
        <f t="shared" ref="BH73:BI73" si="559">IF(BH55="","",+BH55+(BH58*BH65/BH66))</f>
        <v>27583.506583145492</v>
      </c>
      <c r="BI73" s="40">
        <f t="shared" si="559"/>
        <v>30733.762218733362</v>
      </c>
      <c r="BJ73" s="40">
        <f t="shared" ref="BJ73:BK73" si="560">IF(BJ55="","",+BJ55+(BJ58*BJ65/BJ66))</f>
        <v>26744.720437547392</v>
      </c>
      <c r="BK73" s="40">
        <f t="shared" si="560"/>
        <v>19021.059992246788</v>
      </c>
      <c r="BL73" s="40">
        <f t="shared" ref="BL73:BM73" si="561">IF(BL55="","",+BL55+(BL58*BL65/BL66))</f>
        <v>14202.426517858028</v>
      </c>
      <c r="BM73" s="40">
        <f t="shared" si="561"/>
        <v>13786.223846277728</v>
      </c>
      <c r="BN73" s="40">
        <f t="shared" ref="BN73:BO73" si="562">IF(BN55="","",+BN55+(BN58*BN65/BN66))</f>
        <v>16844.22889870466</v>
      </c>
      <c r="BO73" s="40">
        <f t="shared" si="562"/>
        <v>17079.191078118842</v>
      </c>
      <c r="BP73" s="40">
        <f t="shared" ref="BP73:BQ73" si="563">IF(BP55="","",+BP55+(BP58*BP65/BP66))</f>
        <v>19670.958513884038</v>
      </c>
      <c r="BQ73" s="40">
        <f t="shared" si="563"/>
        <v>19390.309859036686</v>
      </c>
      <c r="BR73" s="40">
        <f t="shared" ref="BR73:BS73" si="564">IF(BR55="","",+BR55+(BR58*BR65/BR66))</f>
        <v>16952.878205571345</v>
      </c>
      <c r="BS73" s="40">
        <f t="shared" si="564"/>
        <v>16965.176121407778</v>
      </c>
      <c r="BT73" s="40">
        <f t="shared" ref="BT73:BU73" si="565">IF(BT55="","",+BT55+(BT58*BT65/BT66))</f>
        <v>16298.471649682147</v>
      </c>
      <c r="BU73" s="40">
        <f t="shared" si="565"/>
        <v>13452.500847568028</v>
      </c>
      <c r="BV73" s="40">
        <f t="shared" ref="BV73:BW73" si="566">IF(BV55="","",+BV55+(BV58*BV65/BV66))</f>
        <v>16637.317175086515</v>
      </c>
      <c r="BW73" s="40">
        <f t="shared" si="566"/>
        <v>14505.871552421653</v>
      </c>
      <c r="BX73" s="40">
        <f t="shared" ref="BX73:BY73" si="567">IF(BX55="","",+BX55+(BX58*BX65/BX66))</f>
        <v>12806.207657792118</v>
      </c>
      <c r="BY73" s="40">
        <f t="shared" si="567"/>
        <v>14529.049574723682</v>
      </c>
      <c r="BZ73" s="40">
        <f t="shared" ref="BZ73:CA73" si="568">IF(BZ55="","",+BZ55+(BZ58*BZ65/BZ66))</f>
        <v>13932.998891217698</v>
      </c>
      <c r="CA73" s="40">
        <f t="shared" si="568"/>
        <v>17325.977652356847</v>
      </c>
      <c r="CB73" s="40">
        <f t="shared" ref="CB73:CC73" si="569">IF(CB55="","",+CB55+(CB58*CB65/CB66))</f>
        <v>20507.168829300546</v>
      </c>
      <c r="CC73" s="40">
        <f t="shared" si="569"/>
        <v>19769.245690004409</v>
      </c>
      <c r="CD73" s="40">
        <f t="shared" ref="CD73:CE73" si="570">IF(CD55="","",+CD55+(CD58*CD65/CD66))</f>
        <v>18455.323666292352</v>
      </c>
      <c r="CE73" s="40">
        <f t="shared" si="570"/>
        <v>18125.284965275383</v>
      </c>
      <c r="CF73" s="40">
        <f t="shared" ref="CF73:CG73" si="571">IF(CF55="","",+CF55+(CF58*CF65/CF66))</f>
        <v>14718.135288542564</v>
      </c>
      <c r="CG73" s="40">
        <f t="shared" si="571"/>
        <v>14260.036064412152</v>
      </c>
      <c r="CH73" s="40">
        <f t="shared" ref="CH73:CI73" si="572">IF(CH55="","",+CH55+(CH58*CH65/CH66))</f>
        <v>13850.821694871418</v>
      </c>
      <c r="CI73" s="40" t="str">
        <f t="shared" si="572"/>
        <v/>
      </c>
      <c r="CJ73" s="40" t="str">
        <f t="shared" ref="CJ73:CK73" si="573">IF(CJ55="","",+CJ55+(CJ58*CJ65/CJ66))</f>
        <v/>
      </c>
      <c r="CK73" s="40" t="str">
        <f t="shared" si="573"/>
        <v/>
      </c>
      <c r="CL73" s="40" t="str">
        <f t="shared" ref="CL73:CM73" si="574">IF(CL55="","",+CL55+(CL58*CL65/CL66))</f>
        <v/>
      </c>
      <c r="CM73" s="40" t="str">
        <f t="shared" si="574"/>
        <v/>
      </c>
      <c r="CN73" s="40" t="str">
        <f t="shared" ref="CN73:CO73" si="575">IF(CN55="","",+CN55+(CN58*CN65/CN66))</f>
        <v/>
      </c>
      <c r="CO73" s="40" t="str">
        <f t="shared" si="575"/>
        <v/>
      </c>
      <c r="CP73" s="40" t="str">
        <f t="shared" ref="CP73:CQ73" si="576">IF(CP55="","",+CP55+(CP58*CP65/CP66))</f>
        <v/>
      </c>
      <c r="CQ73" s="40" t="str">
        <f t="shared" si="576"/>
        <v/>
      </c>
      <c r="CR73" s="40" t="str">
        <f t="shared" ref="CR73:CS73" si="577">IF(CR55="","",+CR55+(CR58*CR65/CR66))</f>
        <v/>
      </c>
      <c r="CS73" s="40" t="str">
        <f t="shared" si="577"/>
        <v/>
      </c>
      <c r="CT73" s="40" t="str">
        <f t="shared" ref="CT73" si="578">IF(CT55="","",+CT55+(CT58*CT65/CT66))</f>
        <v/>
      </c>
    </row>
    <row r="74" spans="1:98" x14ac:dyDescent="0.25">
      <c r="A74" s="28" t="s">
        <v>30</v>
      </c>
      <c r="B74" s="26"/>
      <c r="C74" s="26"/>
      <c r="D74" s="39">
        <f>SUM(D69:D73)</f>
        <v>0</v>
      </c>
      <c r="E74" s="39">
        <f t="shared" ref="E74:AW74" si="579">SUM(E69:E73)</f>
        <v>0</v>
      </c>
      <c r="F74" s="39">
        <f t="shared" si="579"/>
        <v>42385.43</v>
      </c>
      <c r="G74" s="39">
        <f t="shared" si="579"/>
        <v>557603.83999999997</v>
      </c>
      <c r="H74" s="39">
        <f t="shared" si="579"/>
        <v>676036.05000000016</v>
      </c>
      <c r="I74" s="39">
        <f t="shared" si="579"/>
        <v>706998.17000000016</v>
      </c>
      <c r="J74" s="39">
        <f t="shared" si="579"/>
        <v>670246.85</v>
      </c>
      <c r="K74" s="39">
        <f t="shared" si="579"/>
        <v>574404.16999999993</v>
      </c>
      <c r="L74" s="39">
        <f t="shared" si="579"/>
        <v>514881.99000000005</v>
      </c>
      <c r="M74" s="39">
        <f t="shared" si="579"/>
        <v>639874.6</v>
      </c>
      <c r="N74" s="39">
        <f t="shared" si="579"/>
        <v>693023.25</v>
      </c>
      <c r="O74" s="39">
        <f t="shared" si="579"/>
        <v>705379.13</v>
      </c>
      <c r="P74" s="39">
        <f t="shared" si="579"/>
        <v>656045.50000000012</v>
      </c>
      <c r="Q74" s="39">
        <f t="shared" si="579"/>
        <v>537519.55000000005</v>
      </c>
      <c r="R74" s="39">
        <f t="shared" si="579"/>
        <v>488973.88</v>
      </c>
      <c r="S74" s="39">
        <f t="shared" si="579"/>
        <v>614590.80000000005</v>
      </c>
      <c r="T74" s="39">
        <f t="shared" si="579"/>
        <v>791820.69</v>
      </c>
      <c r="U74" s="39">
        <f t="shared" si="579"/>
        <v>759797.66999999993</v>
      </c>
      <c r="V74" s="39">
        <f t="shared" si="579"/>
        <v>707202.29999999993</v>
      </c>
      <c r="W74" s="39">
        <f t="shared" si="579"/>
        <v>523078.25</v>
      </c>
      <c r="X74" s="39">
        <f t="shared" si="579"/>
        <v>540041.10999999987</v>
      </c>
      <c r="Y74" s="39">
        <f t="shared" si="579"/>
        <v>664038.72</v>
      </c>
      <c r="Z74" s="39">
        <f t="shared" si="579"/>
        <v>811016.91999999993</v>
      </c>
      <c r="AA74" s="39">
        <f t="shared" si="579"/>
        <v>2076902.7599999998</v>
      </c>
      <c r="AB74" s="39">
        <f t="shared" si="579"/>
        <v>2924297.21</v>
      </c>
      <c r="AC74" s="39">
        <f t="shared" si="579"/>
        <v>2229866.6</v>
      </c>
      <c r="AD74" s="39">
        <f t="shared" si="579"/>
        <v>2168254.38</v>
      </c>
      <c r="AE74" s="39">
        <f t="shared" si="579"/>
        <v>2621890.16</v>
      </c>
      <c r="AF74" s="39">
        <f t="shared" si="579"/>
        <v>3329515.5199999996</v>
      </c>
      <c r="AG74" s="39">
        <f t="shared" si="579"/>
        <v>3339633.92</v>
      </c>
      <c r="AH74" s="39">
        <f t="shared" si="579"/>
        <v>3328981</v>
      </c>
      <c r="AI74" s="39">
        <f t="shared" si="579"/>
        <v>2544745.0799999996</v>
      </c>
      <c r="AJ74" s="39">
        <f t="shared" si="579"/>
        <v>2313567.6800000002</v>
      </c>
      <c r="AK74" s="39">
        <f t="shared" si="579"/>
        <v>2791286.27</v>
      </c>
      <c r="AL74" s="39">
        <f t="shared" si="579"/>
        <v>3345196.33</v>
      </c>
      <c r="AM74" s="39">
        <f t="shared" si="579"/>
        <v>2693584.13</v>
      </c>
      <c r="AN74" s="39">
        <f t="shared" si="579"/>
        <v>1313029.4299999997</v>
      </c>
      <c r="AO74" s="39">
        <f t="shared" si="579"/>
        <v>1059088.8899999999</v>
      </c>
      <c r="AP74" s="39">
        <f t="shared" si="579"/>
        <v>1067990.6700000002</v>
      </c>
      <c r="AQ74" s="39">
        <f t="shared" si="579"/>
        <v>1283730.6599999999</v>
      </c>
      <c r="AR74" s="39">
        <f t="shared" si="579"/>
        <v>1612267.4099999997</v>
      </c>
      <c r="AS74" s="39">
        <f t="shared" si="579"/>
        <v>1561342.09</v>
      </c>
      <c r="AT74" s="39">
        <f t="shared" si="579"/>
        <v>1380925.98</v>
      </c>
      <c r="AU74" s="39">
        <f t="shared" si="579"/>
        <v>1082294.4099999999</v>
      </c>
      <c r="AV74" s="39">
        <f t="shared" ref="AV74" si="580">SUM(AV69:AV73)</f>
        <v>1039274.52</v>
      </c>
      <c r="AW74" s="39">
        <f t="shared" si="579"/>
        <v>1374184.39</v>
      </c>
      <c r="AX74" s="39">
        <f t="shared" ref="AX74:AY74" si="581">SUM(AX69:AX73)</f>
        <v>1560107.74</v>
      </c>
      <c r="AY74" s="39">
        <f t="shared" si="581"/>
        <v>1696451.89</v>
      </c>
      <c r="AZ74" s="39">
        <f t="shared" ref="AZ74:BA74" si="582">SUM(AZ69:AZ73)</f>
        <v>2004809.71</v>
      </c>
      <c r="BA74" s="39">
        <f t="shared" si="582"/>
        <v>1848718.47</v>
      </c>
      <c r="BB74" s="39">
        <f t="shared" ref="BB74:BC74" si="583">SUM(BB69:BB73)</f>
        <v>1727734.2799999998</v>
      </c>
      <c r="BC74" s="39">
        <f t="shared" si="583"/>
        <v>2048568.73</v>
      </c>
      <c r="BD74" s="39">
        <f t="shared" ref="BD74:BE74" si="584">SUM(BD69:BD73)</f>
        <v>2394442.7800000003</v>
      </c>
      <c r="BE74" s="39">
        <f t="shared" si="584"/>
        <v>2495606.9500000002</v>
      </c>
      <c r="BF74" s="39">
        <f t="shared" ref="BF74:BG74" si="585">SUM(BF69:BF73)</f>
        <v>2399769.06</v>
      </c>
      <c r="BG74" s="39">
        <f t="shared" si="585"/>
        <v>1947531.27</v>
      </c>
      <c r="BH74" s="39">
        <f t="shared" ref="BH74:BI74" si="586">SUM(BH69:BH73)</f>
        <v>1775528.27</v>
      </c>
      <c r="BI74" s="39">
        <f t="shared" si="586"/>
        <v>2102006.9500000002</v>
      </c>
      <c r="BJ74" s="39">
        <f t="shared" ref="BJ74:BK74" si="587">SUM(BJ69:BJ73)</f>
        <v>2503325.06</v>
      </c>
      <c r="BK74" s="39">
        <f t="shared" si="587"/>
        <v>1952349.63</v>
      </c>
      <c r="BL74" s="39">
        <f t="shared" ref="BL74:BM74" si="588">SUM(BL69:BL73)</f>
        <v>961791.43</v>
      </c>
      <c r="BM74" s="39">
        <f t="shared" si="588"/>
        <v>913763.79</v>
      </c>
      <c r="BN74" s="39">
        <f t="shared" ref="BN74:BO74" si="589">SUM(BN69:BN73)</f>
        <v>889514.2300000001</v>
      </c>
      <c r="BO74" s="39">
        <f t="shared" si="589"/>
        <v>1073010.6199999999</v>
      </c>
      <c r="BP74" s="39">
        <f t="shared" ref="BP74:BQ74" si="590">SUM(BP69:BP73)</f>
        <v>1289449.57</v>
      </c>
      <c r="BQ74" s="39">
        <f t="shared" si="590"/>
        <v>1199409.05</v>
      </c>
      <c r="BR74" s="39">
        <f t="shared" ref="BR74:BS74" si="591">SUM(BR69:BR73)</f>
        <v>1169237.5</v>
      </c>
      <c r="BS74" s="39">
        <f t="shared" si="591"/>
        <v>979756.81</v>
      </c>
      <c r="BT74" s="39">
        <f t="shared" ref="BT74:BU74" si="592">SUM(BT69:BT73)</f>
        <v>864991.24</v>
      </c>
      <c r="BU74" s="39">
        <f t="shared" si="592"/>
        <v>1066673.3999999999</v>
      </c>
      <c r="BV74" s="39">
        <f t="shared" ref="BV74:BW74" si="593">SUM(BV69:BV73)</f>
        <v>1279061.74</v>
      </c>
      <c r="BW74" s="39">
        <f t="shared" si="593"/>
        <v>802653.49</v>
      </c>
      <c r="BX74" s="39">
        <f t="shared" ref="BX74:BY74" si="594">SUM(BX69:BX73)</f>
        <v>123107.70000000001</v>
      </c>
      <c r="BY74" s="39">
        <f t="shared" si="594"/>
        <v>94010.91</v>
      </c>
      <c r="BZ74" s="39">
        <f t="shared" ref="BZ74:CA74" si="595">SUM(BZ69:BZ73)</f>
        <v>100898.54999999999</v>
      </c>
      <c r="CA74" s="39">
        <f t="shared" si="595"/>
        <v>108545.12</v>
      </c>
      <c r="CB74" s="39">
        <f t="shared" ref="CB74:CC74" si="596">SUM(CB69:CB73)</f>
        <v>136877.53</v>
      </c>
      <c r="CC74" s="39">
        <f t="shared" si="596"/>
        <v>131820.06</v>
      </c>
      <c r="CD74" s="39">
        <f t="shared" ref="CD74:CE74" si="597">SUM(CD69:CD73)</f>
        <v>122294.37</v>
      </c>
      <c r="CE74" s="39">
        <f t="shared" si="597"/>
        <v>113846.42999999998</v>
      </c>
      <c r="CF74" s="39">
        <f t="shared" ref="CF74:CG74" si="598">SUM(CF69:CF73)</f>
        <v>97269.807322020555</v>
      </c>
      <c r="CG74" s="39">
        <f t="shared" si="598"/>
        <v>110965.33840427533</v>
      </c>
      <c r="CH74" s="39">
        <f t="shared" ref="CH74:CI74" si="599">SUM(CH69:CH73)</f>
        <v>118803.73637641611</v>
      </c>
      <c r="CI74" s="39">
        <f t="shared" si="599"/>
        <v>0</v>
      </c>
      <c r="CJ74" s="39">
        <f t="shared" ref="CJ74:CK74" si="600">SUM(CJ69:CJ73)</f>
        <v>0</v>
      </c>
      <c r="CK74" s="39">
        <f t="shared" si="600"/>
        <v>0</v>
      </c>
      <c r="CL74" s="39">
        <f t="shared" ref="CL74:CM74" si="601">SUM(CL69:CL73)</f>
        <v>0</v>
      </c>
      <c r="CM74" s="39">
        <f t="shared" si="601"/>
        <v>0</v>
      </c>
      <c r="CN74" s="39">
        <f t="shared" ref="CN74:CO74" si="602">SUM(CN69:CN73)</f>
        <v>0</v>
      </c>
      <c r="CO74" s="39">
        <f t="shared" si="602"/>
        <v>0</v>
      </c>
      <c r="CP74" s="39">
        <f t="shared" ref="CP74:CQ74" si="603">SUM(CP69:CP73)</f>
        <v>0</v>
      </c>
      <c r="CQ74" s="39">
        <f t="shared" si="603"/>
        <v>0</v>
      </c>
      <c r="CR74" s="39">
        <f t="shared" ref="CR74:CS74" si="604">SUM(CR69:CR73)</f>
        <v>0</v>
      </c>
      <c r="CS74" s="39">
        <f t="shared" si="604"/>
        <v>0</v>
      </c>
      <c r="CT74" s="39">
        <f t="shared" ref="CT74" si="605">SUM(CT69:CT73)</f>
        <v>0</v>
      </c>
    </row>
  </sheetData>
  <printOptions headings="1"/>
  <pageMargins left="0.2" right="0.2" top="0.5" bottom="0.5" header="0.3" footer="0.3"/>
  <pageSetup scale="10" orientation="landscape" cellComments="asDisplayed" r:id="rId1"/>
  <headerFooter>
    <oddHeader>&amp;C&amp;A</oddHeader>
    <oddFooter>&amp;RSchedule JNG-D3</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pageSetUpPr fitToPage="1"/>
  </sheetPr>
  <dimension ref="A1:BM46"/>
  <sheetViews>
    <sheetView tabSelected="1" workbookViewId="0">
      <pane xSplit="1" topLeftCell="AV1" activePane="topRight" state="frozen"/>
      <selection activeCell="J13" sqref="J13"/>
      <selection pane="topRight" activeCell="J13" sqref="J13"/>
    </sheetView>
  </sheetViews>
  <sheetFormatPr defaultRowHeight="15" x14ac:dyDescent="0.25"/>
  <cols>
    <col min="2" max="2" width="29.140625" customWidth="1"/>
    <col min="3" max="62" width="13.28515625" bestFit="1" customWidth="1"/>
    <col min="63" max="63" width="14.5703125" bestFit="1" customWidth="1"/>
    <col min="64" max="64" width="13.42578125" customWidth="1"/>
    <col min="65" max="65" width="11.28515625" bestFit="1" customWidth="1"/>
  </cols>
  <sheetData>
    <row r="1" spans="1:65" ht="60" x14ac:dyDescent="0.25">
      <c r="BJ1" s="273"/>
      <c r="BK1" s="250" t="s">
        <v>150</v>
      </c>
      <c r="BL1" s="249" t="s">
        <v>151</v>
      </c>
    </row>
    <row r="2" spans="1:65" x14ac:dyDescent="0.25">
      <c r="C2" s="10">
        <v>43862</v>
      </c>
      <c r="D2" s="10">
        <v>43891</v>
      </c>
      <c r="E2" s="10">
        <v>43922</v>
      </c>
      <c r="F2" s="10">
        <v>43952</v>
      </c>
      <c r="G2" s="10">
        <v>43983</v>
      </c>
      <c r="H2" s="10">
        <v>44013</v>
      </c>
      <c r="I2" s="10">
        <v>44044</v>
      </c>
      <c r="J2" s="10">
        <v>44075</v>
      </c>
      <c r="K2" s="10">
        <v>44105</v>
      </c>
      <c r="L2" s="10">
        <v>44136</v>
      </c>
      <c r="M2" s="10">
        <v>44166</v>
      </c>
      <c r="N2" s="10">
        <v>44197</v>
      </c>
      <c r="O2" s="10">
        <v>44228</v>
      </c>
      <c r="P2" s="10">
        <v>44256</v>
      </c>
      <c r="Q2" s="10">
        <v>44287</v>
      </c>
      <c r="R2" s="10">
        <v>44317</v>
      </c>
      <c r="S2" s="10">
        <v>44348</v>
      </c>
      <c r="T2" s="10">
        <v>44378</v>
      </c>
      <c r="U2" s="10">
        <v>44409</v>
      </c>
      <c r="V2" s="10">
        <v>44440</v>
      </c>
      <c r="W2" s="10">
        <v>44470</v>
      </c>
      <c r="X2" s="10">
        <v>44501</v>
      </c>
      <c r="Y2" s="10">
        <v>44531</v>
      </c>
      <c r="Z2" s="10">
        <v>44562</v>
      </c>
      <c r="AA2" s="10">
        <v>44593</v>
      </c>
      <c r="AB2" s="10">
        <v>44621</v>
      </c>
      <c r="AC2" s="10">
        <v>44652</v>
      </c>
      <c r="AD2" s="10">
        <v>44682</v>
      </c>
      <c r="AE2" s="10">
        <v>44713</v>
      </c>
      <c r="AF2" s="10">
        <v>44743</v>
      </c>
      <c r="AG2" s="10">
        <v>44774</v>
      </c>
      <c r="AH2" s="10">
        <v>44805</v>
      </c>
      <c r="AI2" s="10">
        <v>44835</v>
      </c>
      <c r="AJ2" s="10">
        <v>44866</v>
      </c>
      <c r="AK2" s="10">
        <v>44896</v>
      </c>
      <c r="AL2" s="10">
        <v>44927</v>
      </c>
      <c r="AM2" s="10">
        <v>44958</v>
      </c>
      <c r="AN2" s="10">
        <v>44986</v>
      </c>
      <c r="AO2" s="10">
        <v>45017</v>
      </c>
      <c r="AP2" s="10">
        <v>45047</v>
      </c>
      <c r="AQ2" s="10">
        <v>45078</v>
      </c>
      <c r="AR2" s="10">
        <v>45108</v>
      </c>
      <c r="AS2" s="10">
        <v>45139</v>
      </c>
      <c r="AT2" s="10">
        <v>45170</v>
      </c>
      <c r="AU2" s="10">
        <v>45200</v>
      </c>
      <c r="AV2" s="10">
        <v>45231</v>
      </c>
      <c r="AW2" s="10">
        <v>45261</v>
      </c>
      <c r="AX2" s="10">
        <v>45292</v>
      </c>
      <c r="AY2" s="10">
        <v>45323</v>
      </c>
      <c r="AZ2" s="10">
        <v>45352</v>
      </c>
      <c r="BA2" s="10">
        <v>45383</v>
      </c>
      <c r="BB2" s="10">
        <v>45413</v>
      </c>
      <c r="BC2" s="10">
        <v>45444</v>
      </c>
      <c r="BD2" s="10">
        <v>45474</v>
      </c>
      <c r="BE2" s="10">
        <v>45505</v>
      </c>
      <c r="BF2" s="10">
        <v>45536</v>
      </c>
      <c r="BG2" s="10">
        <v>45566</v>
      </c>
      <c r="BH2" s="10">
        <v>45597</v>
      </c>
      <c r="BI2" s="10">
        <v>45627</v>
      </c>
      <c r="BJ2" s="10">
        <v>45658</v>
      </c>
      <c r="BK2" s="254">
        <v>45689</v>
      </c>
      <c r="BL2" s="10" t="s">
        <v>132</v>
      </c>
    </row>
    <row r="3" spans="1:65" x14ac:dyDescent="0.25">
      <c r="A3" s="280" t="s">
        <v>32</v>
      </c>
      <c r="B3" s="63" t="s">
        <v>47</v>
      </c>
      <c r="C3" s="56">
        <f>IF(+'M3 Allocations - TD'!O51="","",'M3 Allocations - TD'!O51)</f>
        <v>465524.23</v>
      </c>
      <c r="D3" s="56">
        <f>IF(+'M3 Allocations - TD'!P51="","",'M3 Allocations - TD'!P51)</f>
        <v>420640.46</v>
      </c>
      <c r="E3" s="56">
        <f>IF(+'M3 Allocations - TD'!Q51="","",'M3 Allocations - TD'!Q51)</f>
        <v>333131.02</v>
      </c>
      <c r="F3" s="56">
        <f>IF(+'M3 Allocations - TD'!R51="","",'M3 Allocations - TD'!R51)</f>
        <v>297680.28000000003</v>
      </c>
      <c r="G3" s="56">
        <f>IF(+'M3 Allocations - TD'!S51="","",'M3 Allocations - TD'!S51)</f>
        <v>393958.55</v>
      </c>
      <c r="H3" s="56">
        <f>IF(+'M3 Allocations - TD'!T51="","",'M3 Allocations - TD'!T51)</f>
        <v>529326.34</v>
      </c>
      <c r="I3" s="56">
        <f>IF(+'M3 Allocations - TD'!U51="","",'M3 Allocations - TD'!U51)</f>
        <v>496875.44</v>
      </c>
      <c r="J3" s="56">
        <f>IF(+'M3 Allocations - TD'!V51="","",'M3 Allocations - TD'!V51)</f>
        <v>447785.36</v>
      </c>
      <c r="K3" s="56">
        <f>IF(+'M3 Allocations - TD'!W51="","",'M3 Allocations - TD'!W51)</f>
        <v>302563.73</v>
      </c>
      <c r="L3" s="56">
        <f>IF(+'M3 Allocations - TD'!X51="","",'M3 Allocations - TD'!X51)</f>
        <v>322763.34999999998</v>
      </c>
      <c r="M3" s="56">
        <f>IF(+'M3 Allocations - TD'!Y51="","",'M3 Allocations - TD'!Y51)</f>
        <v>427989.89</v>
      </c>
      <c r="N3" s="56">
        <f>IF(+'M3 Allocations - TD'!Z51="","",'M3 Allocations - TD'!Z51)</f>
        <v>556980.75</v>
      </c>
      <c r="O3" s="56">
        <f>IF(+'M3 Allocations - TD'!AA51="","",'M3 Allocations - TD'!AA51)</f>
        <v>1353651.15</v>
      </c>
      <c r="P3" s="56">
        <f>IF(+'M3 Allocations - TD'!AB51="","",'M3 Allocations - TD'!AB51)</f>
        <v>1757169.11</v>
      </c>
      <c r="Q3" s="56">
        <f>IF(+'M3 Allocations - TD'!AC51="","",'M3 Allocations - TD'!AC51)</f>
        <v>1185680.5900000001</v>
      </c>
      <c r="R3" s="56">
        <f>IF(+'M3 Allocations - TD'!AD51="","",'M3 Allocations - TD'!AD51)</f>
        <v>1113985.45</v>
      </c>
      <c r="S3" s="56">
        <f>IF(+'M3 Allocations - TD'!AE51="","",'M3 Allocations - TD'!AE51)</f>
        <v>1461163.75</v>
      </c>
      <c r="T3" s="56">
        <f>IF(+'M3 Allocations - TD'!AF51="","",'M3 Allocations - TD'!AF51)</f>
        <v>1930056.97</v>
      </c>
      <c r="U3" s="56">
        <f>IF(+'M3 Allocations - TD'!AG51="","",'M3 Allocations - TD'!AG51)</f>
        <v>1969181.34</v>
      </c>
      <c r="V3" s="56">
        <f>IF(+'M3 Allocations - TD'!AH51="","",'M3 Allocations - TD'!AH51)</f>
        <v>1934282.8</v>
      </c>
      <c r="W3" s="56">
        <f>IF(+'M3 Allocations - TD'!AI51="","",'M3 Allocations - TD'!AI51)</f>
        <v>1339485.02</v>
      </c>
      <c r="X3" s="56">
        <f>IF(+'M3 Allocations - TD'!AJ51="","",'M3 Allocations - TD'!AJ51)</f>
        <v>1255189.19</v>
      </c>
      <c r="Y3" s="56">
        <f>IF(+'M3 Allocations - TD'!AK51="","",'M3 Allocations - TD'!AK51)</f>
        <v>1570523</v>
      </c>
      <c r="Z3" s="56">
        <f>IF(+'M3 Allocations - TD'!AL51="","",'M3 Allocations - TD'!AL51)</f>
        <v>2029998.28</v>
      </c>
      <c r="AA3" s="56">
        <f>IF(+'M3 Allocations - TD'!AM51="","",'M3 Allocations - TD'!AM51)</f>
        <v>1633369.11</v>
      </c>
      <c r="AB3" s="56">
        <f>IF(+'M3 Allocations - TD'!AN51="","",'M3 Allocations - TD'!AN51)</f>
        <v>714783.1</v>
      </c>
      <c r="AC3" s="56">
        <f>IF(+'M3 Allocations - TD'!AO51="","",'M3 Allocations - TD'!AO51)</f>
        <v>547759.59</v>
      </c>
      <c r="AD3" s="56">
        <f>IF(+'M3 Allocations - TD'!AP51="","",'M3 Allocations - TD'!AP51)</f>
        <v>512195.47</v>
      </c>
      <c r="AE3" s="56">
        <f>IF(+'M3 Allocations - TD'!AQ51="","",'M3 Allocations - TD'!AQ51)</f>
        <v>651024.82999999996</v>
      </c>
      <c r="AF3" s="56">
        <f>IF(+'M3 Allocations - TD'!AR51="","",'M3 Allocations - TD'!AR51)</f>
        <v>895488.58</v>
      </c>
      <c r="AG3" s="56">
        <f>IF(+'M3 Allocations - TD'!AS51="","",'M3 Allocations - TD'!AS51)</f>
        <v>853007.9</v>
      </c>
      <c r="AH3" s="56">
        <f>IF(+'M3 Allocations - TD'!AT51="","",'M3 Allocations - TD'!AT51)</f>
        <v>710408.72</v>
      </c>
      <c r="AI3" s="56">
        <f>IF(+'M3 Allocations - TD'!AU51="","",'M3 Allocations - TD'!AU51)</f>
        <v>511382.36</v>
      </c>
      <c r="AJ3" s="56">
        <f>IF(+'M3 Allocations - TD'!AV51="","",'M3 Allocations - TD'!AV51)</f>
        <v>484043.54</v>
      </c>
      <c r="AK3" s="56">
        <f>IF(+'M3 Allocations - TD'!AW51="","",'M3 Allocations - TD'!AW51)</f>
        <v>740070.25</v>
      </c>
      <c r="AL3" s="56">
        <f>IF(+'M3 Allocations - TD'!AX51="","",'M3 Allocations - TD'!AX51)</f>
        <v>888488.17</v>
      </c>
      <c r="AM3" s="56">
        <f>IF(+'M3 Allocations - TD'!AY51="","",'M3 Allocations - TD'!AY51)</f>
        <v>877032.36</v>
      </c>
      <c r="AN3" s="56">
        <f>IF(+'M3 Allocations - TD'!AZ51="","",'M3 Allocations - TD'!AZ51)</f>
        <v>866898.88</v>
      </c>
      <c r="AO3" s="56">
        <f>IF(+'M3 Allocations - TD'!BA51="","",'M3 Allocations - TD'!BA51)</f>
        <v>747574.22</v>
      </c>
      <c r="AP3" s="56">
        <f>IF(+'M3 Allocations - TD'!BB51="","",'M3 Allocations - TD'!BB51)</f>
        <v>639066.06000000006</v>
      </c>
      <c r="AQ3" s="56">
        <f>IF(+'M3 Allocations - TD'!BC51="","",'M3 Allocations - TD'!BC51)</f>
        <v>826550.17</v>
      </c>
      <c r="AR3" s="56">
        <f>IF(+'M3 Allocations - TD'!BD51="","",'M3 Allocations - TD'!BD51)</f>
        <v>1081582.31</v>
      </c>
      <c r="AS3" s="56">
        <f>IF(+'M3 Allocations - TD'!BE51="","",'M3 Allocations - TD'!BE51)</f>
        <v>1114808.79</v>
      </c>
      <c r="AT3" s="56">
        <f>IF(+'M3 Allocations - TD'!BF51="","",'M3 Allocations - TD'!BF51)</f>
        <v>1031141.02</v>
      </c>
      <c r="AU3" s="56">
        <f>IF(+'M3 Allocations - TD'!BG51="","",'M3 Allocations - TD'!BG51)</f>
        <v>747638.7</v>
      </c>
      <c r="AV3" s="56">
        <f>IF(+'M3 Allocations - TD'!BH51="","",'M3 Allocations - TD'!BH51)</f>
        <v>653625.79</v>
      </c>
      <c r="AW3" s="56">
        <f>IF(+'M3 Allocations - TD'!BI51="","",'M3 Allocations - TD'!BI51)</f>
        <v>910434.22</v>
      </c>
      <c r="AX3" s="56">
        <f>IF(+'M3 Allocations - TD'!BJ51="","",'M3 Allocations - TD'!BJ51)</f>
        <v>1191729.8600000001</v>
      </c>
      <c r="AY3" s="56">
        <f>IF(+'M3 Allocations - TD'!BK51="","",'M3 Allocations - TD'!BK51)</f>
        <v>902975.13</v>
      </c>
      <c r="AZ3" s="56">
        <f>IF(+'M3 Allocations - TD'!BL51="","",'M3 Allocations - TD'!BL51)</f>
        <v>301871.32</v>
      </c>
      <c r="BA3" s="56">
        <f>IF(+'M3 Allocations - TD'!BM51="","",'M3 Allocations - TD'!BM51)</f>
        <v>270897.64</v>
      </c>
      <c r="BB3" s="56">
        <f>IF(+'M3 Allocations - TD'!BN51="","",'M3 Allocations - TD'!BN51)</f>
        <v>245579.13</v>
      </c>
      <c r="BC3" s="56">
        <f>IF(+'M3 Allocations - TD'!BO51="","",'M3 Allocations - TD'!BO51)</f>
        <v>335264.71999999997</v>
      </c>
      <c r="BD3" s="56">
        <f>IF(+'M3 Allocations - TD'!BP51="","",'M3 Allocations - TD'!BP51)</f>
        <v>448247.77</v>
      </c>
      <c r="BE3" s="56">
        <f>IF(+'M3 Allocations - TD'!BQ51="","",'M3 Allocations - TD'!BQ51)</f>
        <v>408404.26</v>
      </c>
      <c r="BF3" s="56">
        <f>IF(+'M3 Allocations - TD'!BR51="","",'M3 Allocations - TD'!BR51)</f>
        <v>387762.57</v>
      </c>
      <c r="BG3" s="56">
        <f>IF(+'M3 Allocations - TD'!BS51="","",'M3 Allocations - TD'!BS51)</f>
        <v>283021.02</v>
      </c>
      <c r="BH3" s="56">
        <f>IF(+'M3 Allocations - TD'!BT51="","",'M3 Allocations - TD'!BT51)</f>
        <v>233126.3</v>
      </c>
      <c r="BI3" s="56">
        <f>IF(+'M3 Allocations - TD'!BU51="","",'M3 Allocations - TD'!BU51)</f>
        <v>362315.94</v>
      </c>
      <c r="BJ3" s="56">
        <f>IF(+'M3 Allocations - TD'!BV51="","",'M3 Allocations - TD'!BV51)</f>
        <v>486897.28</v>
      </c>
      <c r="BK3" s="56">
        <f>IF(+'M3 Allocations - TD'!BW51="","",'M3 Allocations - TD'!BW51)</f>
        <v>284946.36</v>
      </c>
      <c r="BL3" s="275"/>
    </row>
    <row r="4" spans="1:65" x14ac:dyDescent="0.25">
      <c r="A4" s="281"/>
      <c r="B4" s="64" t="s">
        <v>49</v>
      </c>
      <c r="C4" s="102">
        <v>4.8599964800191556E-4</v>
      </c>
      <c r="D4" s="62">
        <f t="shared" ref="D4:H5" si="0">IF(D3="","",C4)</f>
        <v>4.8599964800191556E-4</v>
      </c>
      <c r="E4" s="62">
        <f t="shared" si="0"/>
        <v>4.8599964800191556E-4</v>
      </c>
      <c r="F4" s="62">
        <f t="shared" si="0"/>
        <v>4.8599964800191556E-4</v>
      </c>
      <c r="G4" s="62">
        <f t="shared" si="0"/>
        <v>4.8599964800191556E-4</v>
      </c>
      <c r="H4" s="62">
        <f t="shared" si="0"/>
        <v>4.8599964800191556E-4</v>
      </c>
      <c r="I4" s="62">
        <f t="shared" ref="I4:Z5" si="1">IF(I3="","",H4)</f>
        <v>4.8599964800191556E-4</v>
      </c>
      <c r="J4" s="62">
        <f t="shared" si="1"/>
        <v>4.8599964800191556E-4</v>
      </c>
      <c r="K4" s="62">
        <f t="shared" si="1"/>
        <v>4.8599964800191556E-4</v>
      </c>
      <c r="L4" s="62">
        <f t="shared" si="1"/>
        <v>4.8599964800191556E-4</v>
      </c>
      <c r="M4" s="62">
        <f t="shared" si="1"/>
        <v>4.8599964800191556E-4</v>
      </c>
      <c r="N4" s="62">
        <f t="shared" si="1"/>
        <v>4.8599964800191556E-4</v>
      </c>
      <c r="O4" s="102">
        <v>1.2863998837670668E-3</v>
      </c>
      <c r="P4" s="62">
        <f t="shared" si="1"/>
        <v>1.2863998837670668E-3</v>
      </c>
      <c r="Q4" s="62">
        <f t="shared" ref="Q4:U4" si="2">IF(Q3="","",P4)</f>
        <v>1.2863998837670668E-3</v>
      </c>
      <c r="R4" s="62">
        <f t="shared" si="2"/>
        <v>1.2863998837670668E-3</v>
      </c>
      <c r="S4" s="62">
        <f t="shared" si="2"/>
        <v>1.2863998837670668E-3</v>
      </c>
      <c r="T4" s="62">
        <f t="shared" si="2"/>
        <v>1.2863998837670668E-3</v>
      </c>
      <c r="U4" s="62">
        <f t="shared" si="2"/>
        <v>1.2863998837670668E-3</v>
      </c>
      <c r="V4" s="62">
        <f>IF(V3="","",U4)</f>
        <v>1.2863998837670668E-3</v>
      </c>
      <c r="W4" s="62">
        <f>IF(W3="","",V4)</f>
        <v>1.2863998837670668E-3</v>
      </c>
      <c r="X4" s="62">
        <f>IF(X3="","",W4)</f>
        <v>1.2863998837670668E-3</v>
      </c>
      <c r="Y4" s="62">
        <f>IF(Y3="","",X4)</f>
        <v>1.2863998837670668E-3</v>
      </c>
      <c r="Z4" s="62">
        <f>IF(Z3="","",Y4)</f>
        <v>1.2863998837670668E-3</v>
      </c>
      <c r="AA4" s="102">
        <v>5.2763466985880809E-4</v>
      </c>
      <c r="AB4" s="62">
        <f t="shared" ref="AB4:BA5" si="3">IF(AB3="","",AA4)</f>
        <v>5.2763466985880809E-4</v>
      </c>
      <c r="AC4" s="62">
        <f t="shared" si="3"/>
        <v>5.2763466985880809E-4</v>
      </c>
      <c r="AD4" s="62">
        <f t="shared" si="3"/>
        <v>5.2763466985880809E-4</v>
      </c>
      <c r="AE4" s="62">
        <f t="shared" si="3"/>
        <v>5.2763466985880809E-4</v>
      </c>
      <c r="AF4" s="62">
        <f t="shared" si="3"/>
        <v>5.2763466985880809E-4</v>
      </c>
      <c r="AG4" s="62">
        <f t="shared" si="3"/>
        <v>5.2763466985880809E-4</v>
      </c>
      <c r="AH4" s="62">
        <f t="shared" si="3"/>
        <v>5.2763466985880809E-4</v>
      </c>
      <c r="AI4" s="62">
        <f t="shared" si="3"/>
        <v>5.2763466985880809E-4</v>
      </c>
      <c r="AJ4" s="62">
        <f t="shared" si="3"/>
        <v>5.2763466985880809E-4</v>
      </c>
      <c r="AK4" s="62">
        <f t="shared" si="3"/>
        <v>5.2763466985880809E-4</v>
      </c>
      <c r="AL4" s="62">
        <f t="shared" si="3"/>
        <v>5.2763466985880809E-4</v>
      </c>
      <c r="AM4" s="102">
        <v>5.9964549210922316E-4</v>
      </c>
      <c r="AN4" s="62">
        <f t="shared" si="3"/>
        <v>5.9964549210922316E-4</v>
      </c>
      <c r="AO4" s="62">
        <f t="shared" si="3"/>
        <v>5.9964549210922316E-4</v>
      </c>
      <c r="AP4" s="62">
        <f t="shared" si="3"/>
        <v>5.9964549210922316E-4</v>
      </c>
      <c r="AQ4" s="62">
        <f t="shared" si="3"/>
        <v>5.9964549210922316E-4</v>
      </c>
      <c r="AR4" s="62">
        <f t="shared" si="3"/>
        <v>5.9964549210922316E-4</v>
      </c>
      <c r="AS4" s="62">
        <f t="shared" si="3"/>
        <v>5.9964549210922316E-4</v>
      </c>
      <c r="AT4" s="62">
        <f t="shared" si="3"/>
        <v>5.9964549210922316E-4</v>
      </c>
      <c r="AU4" s="62">
        <f t="shared" si="3"/>
        <v>5.9964549210922316E-4</v>
      </c>
      <c r="AV4" s="62">
        <f t="shared" si="3"/>
        <v>5.9964549210922316E-4</v>
      </c>
      <c r="AW4" s="62">
        <f t="shared" si="3"/>
        <v>5.9964549210922316E-4</v>
      </c>
      <c r="AX4" s="62">
        <f t="shared" si="3"/>
        <v>5.9964549210922316E-4</v>
      </c>
      <c r="AY4" s="102">
        <f>0.000457938444424072+0</f>
        <v>4.57938444424072E-4</v>
      </c>
      <c r="AZ4" s="62">
        <f t="shared" si="3"/>
        <v>4.57938444424072E-4</v>
      </c>
      <c r="BA4" s="62">
        <f t="shared" si="3"/>
        <v>4.57938444424072E-4</v>
      </c>
      <c r="BB4" s="62">
        <f t="shared" ref="BB4:BD5" si="4">IF(BB3="","",BA4)</f>
        <v>4.57938444424072E-4</v>
      </c>
      <c r="BC4" s="62">
        <f t="shared" si="4"/>
        <v>4.57938444424072E-4</v>
      </c>
      <c r="BD4" s="62">
        <f t="shared" si="4"/>
        <v>4.57938444424072E-4</v>
      </c>
      <c r="BE4" s="62">
        <f t="shared" ref="BE4:BJ5" si="5">IF(BE3="","",BD4)</f>
        <v>4.57938444424072E-4</v>
      </c>
      <c r="BF4" s="62">
        <f t="shared" si="5"/>
        <v>4.57938444424072E-4</v>
      </c>
      <c r="BG4" s="62">
        <f t="shared" si="5"/>
        <v>4.57938444424072E-4</v>
      </c>
      <c r="BH4" s="62">
        <f t="shared" si="5"/>
        <v>4.57938444424072E-4</v>
      </c>
      <c r="BI4" s="62">
        <f t="shared" si="5"/>
        <v>4.57938444424072E-4</v>
      </c>
      <c r="BJ4" s="62">
        <f t="shared" si="5"/>
        <v>4.57938444424072E-4</v>
      </c>
      <c r="BK4" s="62">
        <v>8.0939933386699927E-5</v>
      </c>
      <c r="BL4" s="62"/>
    </row>
    <row r="5" spans="1:65" x14ac:dyDescent="0.25">
      <c r="A5" s="281"/>
      <c r="B5" s="64" t="s">
        <v>63</v>
      </c>
      <c r="C5" s="103">
        <v>-9.6766427460826909E-5</v>
      </c>
      <c r="D5" s="79">
        <f t="shared" si="0"/>
        <v>-9.6766427460826909E-5</v>
      </c>
      <c r="E5" s="79">
        <f t="shared" si="0"/>
        <v>-9.6766427460826909E-5</v>
      </c>
      <c r="F5" s="79">
        <f t="shared" si="0"/>
        <v>-9.6766427460826909E-5</v>
      </c>
      <c r="G5" s="79">
        <f t="shared" si="0"/>
        <v>-9.6766427460826909E-5</v>
      </c>
      <c r="H5" s="79">
        <f t="shared" si="0"/>
        <v>-9.6766427460826909E-5</v>
      </c>
      <c r="I5" s="79">
        <f t="shared" si="1"/>
        <v>-9.6766427460826909E-5</v>
      </c>
      <c r="J5" s="79">
        <f t="shared" si="1"/>
        <v>-9.6766427460826909E-5</v>
      </c>
      <c r="K5" s="79">
        <f t="shared" si="1"/>
        <v>-9.6766427460826909E-5</v>
      </c>
      <c r="L5" s="79">
        <f t="shared" si="1"/>
        <v>-9.6766427460826909E-5</v>
      </c>
      <c r="M5" s="79">
        <f t="shared" si="1"/>
        <v>-9.6766427460826909E-5</v>
      </c>
      <c r="N5" s="79">
        <f t="shared" si="1"/>
        <v>-9.6766427460826909E-5</v>
      </c>
      <c r="O5" s="103">
        <v>2.418373850290787E-4</v>
      </c>
      <c r="P5" s="79">
        <f t="shared" si="1"/>
        <v>2.418373850290787E-4</v>
      </c>
      <c r="Q5" s="79">
        <f t="shared" si="1"/>
        <v>2.418373850290787E-4</v>
      </c>
      <c r="R5" s="79">
        <f t="shared" si="1"/>
        <v>2.418373850290787E-4</v>
      </c>
      <c r="S5" s="79">
        <f t="shared" si="1"/>
        <v>2.418373850290787E-4</v>
      </c>
      <c r="T5" s="79">
        <f t="shared" si="1"/>
        <v>2.418373850290787E-4</v>
      </c>
      <c r="U5" s="79">
        <f t="shared" si="1"/>
        <v>2.418373850290787E-4</v>
      </c>
      <c r="V5" s="79">
        <f t="shared" si="1"/>
        <v>2.418373850290787E-4</v>
      </c>
      <c r="W5" s="79">
        <f t="shared" si="1"/>
        <v>2.418373850290787E-4</v>
      </c>
      <c r="X5" s="79">
        <f t="shared" si="1"/>
        <v>2.418373850290787E-4</v>
      </c>
      <c r="Y5" s="79">
        <f t="shared" si="1"/>
        <v>2.418373850290787E-4</v>
      </c>
      <c r="Z5" s="79">
        <f t="shared" si="1"/>
        <v>2.418373850290787E-4</v>
      </c>
      <c r="AA5" s="103">
        <v>1.0457350290741632E-4</v>
      </c>
      <c r="AB5" s="79">
        <f t="shared" si="3"/>
        <v>1.0457350290741632E-4</v>
      </c>
      <c r="AC5" s="79">
        <f t="shared" si="3"/>
        <v>1.0457350290741632E-4</v>
      </c>
      <c r="AD5" s="79">
        <f t="shared" si="3"/>
        <v>1.0457350290741632E-4</v>
      </c>
      <c r="AE5" s="79">
        <f t="shared" si="3"/>
        <v>1.0457350290741632E-4</v>
      </c>
      <c r="AF5" s="79">
        <f t="shared" si="3"/>
        <v>1.0457350290741632E-4</v>
      </c>
      <c r="AG5" s="79">
        <f t="shared" si="3"/>
        <v>1.0457350290741632E-4</v>
      </c>
      <c r="AH5" s="79">
        <f t="shared" si="3"/>
        <v>1.0457350290741632E-4</v>
      </c>
      <c r="AI5" s="79">
        <f t="shared" si="3"/>
        <v>1.0457350290741632E-4</v>
      </c>
      <c r="AJ5" s="79">
        <f t="shared" si="3"/>
        <v>1.0457350290741632E-4</v>
      </c>
      <c r="AK5" s="79">
        <f t="shared" si="3"/>
        <v>1.0457350290741632E-4</v>
      </c>
      <c r="AL5" s="79">
        <f t="shared" si="3"/>
        <v>1.0457350290741632E-4</v>
      </c>
      <c r="AM5" s="103">
        <v>2.7760427847349077E-4</v>
      </c>
      <c r="AN5" s="79">
        <f t="shared" si="3"/>
        <v>2.7760427847349077E-4</v>
      </c>
      <c r="AO5" s="79">
        <f t="shared" si="3"/>
        <v>2.7760427847349077E-4</v>
      </c>
      <c r="AP5" s="79">
        <f t="shared" si="3"/>
        <v>2.7760427847349077E-4</v>
      </c>
      <c r="AQ5" s="79">
        <f t="shared" si="3"/>
        <v>2.7760427847349077E-4</v>
      </c>
      <c r="AR5" s="79">
        <f t="shared" si="3"/>
        <v>2.7760427847349077E-4</v>
      </c>
      <c r="AS5" s="79">
        <f t="shared" si="3"/>
        <v>2.7760427847349077E-4</v>
      </c>
      <c r="AT5" s="79">
        <f t="shared" si="3"/>
        <v>2.7760427847349077E-4</v>
      </c>
      <c r="AU5" s="79">
        <f t="shared" si="3"/>
        <v>2.7760427847349077E-4</v>
      </c>
      <c r="AV5" s="79">
        <f t="shared" si="3"/>
        <v>2.7760427847349077E-4</v>
      </c>
      <c r="AW5" s="79">
        <f t="shared" si="3"/>
        <v>2.7760427847349077E-4</v>
      </c>
      <c r="AX5" s="79">
        <f t="shared" si="3"/>
        <v>2.7760427847349077E-4</v>
      </c>
      <c r="AY5" s="103">
        <f>-0.000123439913514004+1.98140698845593E-06</f>
        <v>-1.2145850652554808E-4</v>
      </c>
      <c r="AZ5" s="79">
        <f t="shared" si="3"/>
        <v>-1.2145850652554808E-4</v>
      </c>
      <c r="BA5" s="79">
        <f t="shared" si="3"/>
        <v>-1.2145850652554808E-4</v>
      </c>
      <c r="BB5" s="79">
        <f t="shared" si="4"/>
        <v>-1.2145850652554808E-4</v>
      </c>
      <c r="BC5" s="79">
        <f t="shared" si="4"/>
        <v>-1.2145850652554808E-4</v>
      </c>
      <c r="BD5" s="79">
        <f t="shared" si="4"/>
        <v>-1.2145850652554808E-4</v>
      </c>
      <c r="BE5" s="79">
        <f t="shared" si="5"/>
        <v>-1.2145850652554808E-4</v>
      </c>
      <c r="BF5" s="79">
        <f t="shared" si="5"/>
        <v>-1.2145850652554808E-4</v>
      </c>
      <c r="BG5" s="79">
        <f t="shared" si="5"/>
        <v>-1.2145850652554808E-4</v>
      </c>
      <c r="BH5" s="79">
        <f t="shared" si="5"/>
        <v>-1.2145850652554808E-4</v>
      </c>
      <c r="BI5" s="79">
        <f t="shared" si="5"/>
        <v>-1.2145850652554808E-4</v>
      </c>
      <c r="BJ5" s="79">
        <f t="shared" si="5"/>
        <v>-1.2145850652554808E-4</v>
      </c>
      <c r="BK5" s="79">
        <v>-8.7815198590208729E-5</v>
      </c>
      <c r="BL5" s="79"/>
    </row>
    <row r="6" spans="1:65" x14ac:dyDescent="0.25">
      <c r="A6" s="281"/>
      <c r="B6" s="64" t="s">
        <v>56</v>
      </c>
      <c r="C6" s="55">
        <f t="shared" ref="C6:D6" si="6">IF(C3="","",SUM(C4:C5))</f>
        <v>3.8923322054108865E-4</v>
      </c>
      <c r="D6" s="55">
        <f t="shared" si="6"/>
        <v>3.8923322054108865E-4</v>
      </c>
      <c r="E6" s="55">
        <f t="shared" ref="E6:F6" si="7">IF(E3="","",SUM(E4:E5))</f>
        <v>3.8923322054108865E-4</v>
      </c>
      <c r="F6" s="55">
        <f t="shared" si="7"/>
        <v>3.8923322054108865E-4</v>
      </c>
      <c r="G6" s="55">
        <f t="shared" ref="G6:H6" si="8">IF(G3="","",SUM(G4:G5))</f>
        <v>3.8923322054108865E-4</v>
      </c>
      <c r="H6" s="55">
        <f t="shared" si="8"/>
        <v>3.8923322054108865E-4</v>
      </c>
      <c r="I6" s="55">
        <f t="shared" ref="I6" si="9">IF(I3="","",SUM(I4:I5))</f>
        <v>3.8923322054108865E-4</v>
      </c>
      <c r="J6" s="55">
        <f t="shared" ref="J6:P6" si="10">IF(J3="","",SUM(J4:J5))</f>
        <v>3.8923322054108865E-4</v>
      </c>
      <c r="K6" s="55">
        <f t="shared" si="10"/>
        <v>3.8923322054108865E-4</v>
      </c>
      <c r="L6" s="55">
        <f t="shared" si="10"/>
        <v>3.8923322054108865E-4</v>
      </c>
      <c r="M6" s="55">
        <f t="shared" si="10"/>
        <v>3.8923322054108865E-4</v>
      </c>
      <c r="N6" s="55">
        <f t="shared" si="10"/>
        <v>3.8923322054108865E-4</v>
      </c>
      <c r="O6" s="55">
        <f t="shared" si="10"/>
        <v>1.5282372687961455E-3</v>
      </c>
      <c r="P6" s="55">
        <f t="shared" si="10"/>
        <v>1.5282372687961455E-3</v>
      </c>
      <c r="Q6" s="55">
        <f t="shared" ref="Q6:R6" si="11">IF(Q3="","",SUM(Q4:Q5))</f>
        <v>1.5282372687961455E-3</v>
      </c>
      <c r="R6" s="55">
        <f t="shared" si="11"/>
        <v>1.5282372687961455E-3</v>
      </c>
      <c r="S6" s="55">
        <f t="shared" ref="S6:T6" si="12">IF(S3="","",SUM(S4:S5))</f>
        <v>1.5282372687961455E-3</v>
      </c>
      <c r="T6" s="55">
        <f t="shared" si="12"/>
        <v>1.5282372687961455E-3</v>
      </c>
      <c r="U6" s="55">
        <f t="shared" ref="U6:V6" si="13">IF(U3="","",SUM(U4:U5))</f>
        <v>1.5282372687961455E-3</v>
      </c>
      <c r="V6" s="55">
        <f t="shared" si="13"/>
        <v>1.5282372687961455E-3</v>
      </c>
      <c r="W6" s="55">
        <f t="shared" ref="W6:AB6" si="14">IF(W3="","",SUM(W4:W5))</f>
        <v>1.5282372687961455E-3</v>
      </c>
      <c r="X6" s="55">
        <f t="shared" si="14"/>
        <v>1.5282372687961455E-3</v>
      </c>
      <c r="Y6" s="55">
        <f t="shared" si="14"/>
        <v>1.5282372687961455E-3</v>
      </c>
      <c r="Z6" s="55">
        <f t="shared" si="14"/>
        <v>1.5282372687961455E-3</v>
      </c>
      <c r="AA6" s="55">
        <f t="shared" si="14"/>
        <v>6.3220817276622438E-4</v>
      </c>
      <c r="AB6" s="55">
        <f t="shared" si="14"/>
        <v>6.3220817276622438E-4</v>
      </c>
      <c r="AC6" s="55">
        <f t="shared" ref="AC6:AD6" si="15">IF(AC3="","",SUM(AC4:AC5))</f>
        <v>6.3220817276622438E-4</v>
      </c>
      <c r="AD6" s="55">
        <f t="shared" si="15"/>
        <v>6.3220817276622438E-4</v>
      </c>
      <c r="AE6" s="55">
        <f t="shared" ref="AE6:AF6" si="16">IF(AE3="","",SUM(AE4:AE5))</f>
        <v>6.3220817276622438E-4</v>
      </c>
      <c r="AF6" s="55">
        <f t="shared" si="16"/>
        <v>6.3220817276622438E-4</v>
      </c>
      <c r="AG6" s="55">
        <f t="shared" ref="AG6:AH6" si="17">IF(AG3="","",SUM(AG4:AG5))</f>
        <v>6.3220817276622438E-4</v>
      </c>
      <c r="AH6" s="55">
        <f t="shared" si="17"/>
        <v>6.3220817276622438E-4</v>
      </c>
      <c r="AI6" s="55">
        <f t="shared" ref="AI6:AJ6" si="18">IF(AI3="","",SUM(AI4:AI5))</f>
        <v>6.3220817276622438E-4</v>
      </c>
      <c r="AJ6" s="55">
        <f t="shared" si="18"/>
        <v>6.3220817276622438E-4</v>
      </c>
      <c r="AK6" s="55">
        <f t="shared" ref="AK6:AL6" si="19">IF(AK3="","",SUM(AK4:AK5))</f>
        <v>6.3220817276622438E-4</v>
      </c>
      <c r="AL6" s="55">
        <f t="shared" si="19"/>
        <v>6.3220817276622438E-4</v>
      </c>
      <c r="AM6" s="55">
        <f t="shared" ref="AM6:AN6" si="20">IF(AM3="","",SUM(AM4:AM5))</f>
        <v>8.7724977058271393E-4</v>
      </c>
      <c r="AN6" s="55">
        <f t="shared" si="20"/>
        <v>8.7724977058271393E-4</v>
      </c>
      <c r="AO6" s="55">
        <f t="shared" ref="AO6:AP6" si="21">IF(AO3="","",SUM(AO4:AO5))</f>
        <v>8.7724977058271393E-4</v>
      </c>
      <c r="AP6" s="55">
        <f t="shared" si="21"/>
        <v>8.7724977058271393E-4</v>
      </c>
      <c r="AQ6" s="55">
        <f t="shared" ref="AQ6:AR6" si="22">IF(AQ3="","",SUM(AQ4:AQ5))</f>
        <v>8.7724977058271393E-4</v>
      </c>
      <c r="AR6" s="55">
        <f t="shared" si="22"/>
        <v>8.7724977058271393E-4</v>
      </c>
      <c r="AS6" s="55">
        <f t="shared" ref="AS6:AT6" si="23">IF(AS3="","",SUM(AS4:AS5))</f>
        <v>8.7724977058271393E-4</v>
      </c>
      <c r="AT6" s="55">
        <f t="shared" si="23"/>
        <v>8.7724977058271393E-4</v>
      </c>
      <c r="AU6" s="55">
        <f t="shared" ref="AU6:AV6" si="24">IF(AU3="","",SUM(AU4:AU5))</f>
        <v>8.7724977058271393E-4</v>
      </c>
      <c r="AV6" s="55">
        <f t="shared" si="24"/>
        <v>8.7724977058271393E-4</v>
      </c>
      <c r="AW6" s="55">
        <f t="shared" ref="AW6:AX6" si="25">IF(AW3="","",SUM(AW4:AW5))</f>
        <v>8.7724977058271393E-4</v>
      </c>
      <c r="AX6" s="55">
        <f t="shared" si="25"/>
        <v>8.7724977058271393E-4</v>
      </c>
      <c r="AY6" s="55">
        <f t="shared" ref="AY6:AZ6" si="26">IF(AY3="","",SUM(AY4:AY5))</f>
        <v>3.3647993789852392E-4</v>
      </c>
      <c r="AZ6" s="55">
        <f t="shared" si="26"/>
        <v>3.3647993789852392E-4</v>
      </c>
      <c r="BA6" s="55">
        <f t="shared" ref="BA6" si="27">IF(BA3="","",SUM(BA4:BA5))</f>
        <v>3.3647993789852392E-4</v>
      </c>
      <c r="BB6" s="55">
        <f t="shared" ref="BB6:BG6" si="28">IF(BB3="","",SUM(BB4:BB5))</f>
        <v>3.3647993789852392E-4</v>
      </c>
      <c r="BC6" s="55">
        <f t="shared" si="28"/>
        <v>3.3647993789852392E-4</v>
      </c>
      <c r="BD6" s="55">
        <f t="shared" si="28"/>
        <v>3.3647993789852392E-4</v>
      </c>
      <c r="BE6" s="55">
        <f t="shared" si="28"/>
        <v>3.3647993789852392E-4</v>
      </c>
      <c r="BF6" s="55">
        <f t="shared" si="28"/>
        <v>3.3647993789852392E-4</v>
      </c>
      <c r="BG6" s="55">
        <f t="shared" si="28"/>
        <v>3.3647993789852392E-4</v>
      </c>
      <c r="BH6" s="55">
        <f t="shared" ref="BH6:BI6" si="29">IF(BH3="","",SUM(BH4:BH5))</f>
        <v>3.3647993789852392E-4</v>
      </c>
      <c r="BI6" s="55">
        <f t="shared" si="29"/>
        <v>3.3647993789852392E-4</v>
      </c>
      <c r="BJ6" s="55">
        <f t="shared" ref="BJ6:BK6" si="30">IF(BJ3="","",SUM(BJ4:BJ5))</f>
        <v>3.3647993789852392E-4</v>
      </c>
      <c r="BK6" s="55">
        <f t="shared" si="30"/>
        <v>-6.8752652035088027E-6</v>
      </c>
      <c r="BL6" s="55" t="str">
        <f>IF(BL3="","",SUM(BL4:BL5))</f>
        <v/>
      </c>
      <c r="BM6" s="274"/>
    </row>
    <row r="7" spans="1:65" x14ac:dyDescent="0.25">
      <c r="A7" s="281"/>
      <c r="B7" s="64" t="s">
        <v>50</v>
      </c>
      <c r="C7" s="59">
        <f t="shared" ref="C7:D7" si="31">IF(C3="","",IFERROR(C5/C6,""))</f>
        <v>-0.24860783292419911</v>
      </c>
      <c r="D7" s="59">
        <f t="shared" si="31"/>
        <v>-0.24860783292419911</v>
      </c>
      <c r="E7" s="59">
        <f t="shared" ref="E7:F7" si="32">IF(E3="","",IFERROR(E5/E6,""))</f>
        <v>-0.24860783292419911</v>
      </c>
      <c r="F7" s="59">
        <f t="shared" si="32"/>
        <v>-0.24860783292419911</v>
      </c>
      <c r="G7" s="59">
        <f t="shared" ref="G7:H7" si="33">IF(G3="","",IFERROR(G5/G6,""))</f>
        <v>-0.24860783292419911</v>
      </c>
      <c r="H7" s="59">
        <f t="shared" si="33"/>
        <v>-0.24860783292419911</v>
      </c>
      <c r="I7" s="59">
        <f t="shared" ref="I7" si="34">IF(I3="","",IFERROR(I5/I6,""))</f>
        <v>-0.24860783292419911</v>
      </c>
      <c r="J7" s="59">
        <f t="shared" ref="J7:P7" si="35">IF(J3="","",IFERROR(J5/J6,""))</f>
        <v>-0.24860783292419911</v>
      </c>
      <c r="K7" s="59">
        <f t="shared" si="35"/>
        <v>-0.24860783292419911</v>
      </c>
      <c r="L7" s="59">
        <f t="shared" si="35"/>
        <v>-0.24860783292419911</v>
      </c>
      <c r="M7" s="59">
        <f t="shared" si="35"/>
        <v>-0.24860783292419911</v>
      </c>
      <c r="N7" s="59">
        <f t="shared" si="35"/>
        <v>-0.24860783292419911</v>
      </c>
      <c r="O7" s="59">
        <f t="shared" si="35"/>
        <v>0.15824596740765512</v>
      </c>
      <c r="P7" s="59">
        <f t="shared" si="35"/>
        <v>0.15824596740765512</v>
      </c>
      <c r="Q7" s="59">
        <f t="shared" ref="Q7:R7" si="36">IF(Q3="","",IFERROR(Q5/Q6,""))</f>
        <v>0.15824596740765512</v>
      </c>
      <c r="R7" s="59">
        <f t="shared" si="36"/>
        <v>0.15824596740765512</v>
      </c>
      <c r="S7" s="59">
        <f t="shared" ref="S7:T7" si="37">IF(S3="","",IFERROR(S5/S6,""))</f>
        <v>0.15824596740765512</v>
      </c>
      <c r="T7" s="59">
        <f t="shared" si="37"/>
        <v>0.15824596740765512</v>
      </c>
      <c r="U7" s="59">
        <f t="shared" ref="U7:V7" si="38">IF(U3="","",IFERROR(U5/U6,""))</f>
        <v>0.15824596740765512</v>
      </c>
      <c r="V7" s="59">
        <f t="shared" si="38"/>
        <v>0.15824596740765512</v>
      </c>
      <c r="W7" s="59">
        <f t="shared" ref="W7:X7" si="39">IF(W3="","",IFERROR(W5/W6,""))</f>
        <v>0.15824596740765512</v>
      </c>
      <c r="X7" s="59">
        <f t="shared" si="39"/>
        <v>0.15824596740765512</v>
      </c>
      <c r="Y7" s="59">
        <f t="shared" ref="Y7:Z7" si="40">IF(Y3="","",IFERROR(Y5/Y6,""))</f>
        <v>0.15824596740765512</v>
      </c>
      <c r="Z7" s="59">
        <f t="shared" si="40"/>
        <v>0.15824596740765512</v>
      </c>
      <c r="AA7" s="59">
        <f t="shared" ref="AA7:AB7" si="41">IF(AA3="","",IFERROR(AA5/AA6,""))</f>
        <v>0.16540991940970229</v>
      </c>
      <c r="AB7" s="59">
        <f t="shared" si="41"/>
        <v>0.16540991940970229</v>
      </c>
      <c r="AC7" s="59">
        <f t="shared" ref="AC7:AD7" si="42">IF(AC3="","",IFERROR(AC5/AC6,""))</f>
        <v>0.16540991940970229</v>
      </c>
      <c r="AD7" s="59">
        <f t="shared" si="42"/>
        <v>0.16540991940970229</v>
      </c>
      <c r="AE7" s="59">
        <f t="shared" ref="AE7:AF7" si="43">IF(AE3="","",IFERROR(AE5/AE6,""))</f>
        <v>0.16540991940970229</v>
      </c>
      <c r="AF7" s="59">
        <f t="shared" si="43"/>
        <v>0.16540991940970229</v>
      </c>
      <c r="AG7" s="59">
        <f t="shared" ref="AG7:AH7" si="44">IF(AG3="","",IFERROR(AG5/AG6,""))</f>
        <v>0.16540991940970229</v>
      </c>
      <c r="AH7" s="59">
        <f t="shared" si="44"/>
        <v>0.16540991940970229</v>
      </c>
      <c r="AI7" s="59">
        <f t="shared" ref="AI7:AJ7" si="45">IF(AI3="","",IFERROR(AI5/AI6,""))</f>
        <v>0.16540991940970229</v>
      </c>
      <c r="AJ7" s="59">
        <f t="shared" si="45"/>
        <v>0.16540991940970229</v>
      </c>
      <c r="AK7" s="59">
        <f t="shared" ref="AK7:AL7" si="46">IF(AK3="","",IFERROR(AK5/AK6,""))</f>
        <v>0.16540991940970229</v>
      </c>
      <c r="AL7" s="59">
        <f t="shared" si="46"/>
        <v>0.16540991940970229</v>
      </c>
      <c r="AM7" s="59">
        <f t="shared" ref="AM7:AN7" si="47">IF(AM3="","",IFERROR(AM5/AM6,""))</f>
        <v>0.31644839107691292</v>
      </c>
      <c r="AN7" s="59">
        <f t="shared" si="47"/>
        <v>0.31644839107691292</v>
      </c>
      <c r="AO7" s="59">
        <f t="shared" ref="AO7:AP7" si="48">IF(AO3="","",IFERROR(AO5/AO6,""))</f>
        <v>0.31644839107691292</v>
      </c>
      <c r="AP7" s="59">
        <f t="shared" si="48"/>
        <v>0.31644839107691292</v>
      </c>
      <c r="AQ7" s="59">
        <f t="shared" ref="AQ7:AR7" si="49">IF(AQ3="","",IFERROR(AQ5/AQ6,""))</f>
        <v>0.31644839107691292</v>
      </c>
      <c r="AR7" s="59">
        <f t="shared" si="49"/>
        <v>0.31644839107691292</v>
      </c>
      <c r="AS7" s="59">
        <f t="shared" ref="AS7:AT7" si="50">IF(AS3="","",IFERROR(AS5/AS6,""))</f>
        <v>0.31644839107691292</v>
      </c>
      <c r="AT7" s="59">
        <f t="shared" si="50"/>
        <v>0.31644839107691292</v>
      </c>
      <c r="AU7" s="59">
        <f t="shared" ref="AU7:AV7" si="51">IF(AU3="","",IFERROR(AU5/AU6,""))</f>
        <v>0.31644839107691292</v>
      </c>
      <c r="AV7" s="59">
        <f t="shared" si="51"/>
        <v>0.31644839107691292</v>
      </c>
      <c r="AW7" s="59">
        <f t="shared" ref="AW7:AX7" si="52">IF(AW3="","",IFERROR(AW5/AW6,""))</f>
        <v>0.31644839107691292</v>
      </c>
      <c r="AX7" s="59">
        <f t="shared" si="52"/>
        <v>0.31644839107691292</v>
      </c>
      <c r="AY7" s="59">
        <f t="shared" ref="AY7:AZ7" si="53">IF(AY3="","",IFERROR(AY5/AY6,""))</f>
        <v>-0.36096804844922942</v>
      </c>
      <c r="AZ7" s="59">
        <f t="shared" si="53"/>
        <v>-0.36096804844922942</v>
      </c>
      <c r="BA7" s="59">
        <f t="shared" ref="BA7:BB7" si="54">IF(BA3="","",IFERROR(BA5/BA6,""))</f>
        <v>-0.36096804844922942</v>
      </c>
      <c r="BB7" s="59">
        <f t="shared" si="54"/>
        <v>-0.36096804844922942</v>
      </c>
      <c r="BC7" s="59">
        <f t="shared" ref="BC7" si="55">IF(BC3="","",IFERROR(BC5/BC6,""))</f>
        <v>-0.36096804844922942</v>
      </c>
      <c r="BD7" s="59">
        <f t="shared" ref="BD7:BI7" si="56">IF(BD3="","",IFERROR(BD5/BD6,""))</f>
        <v>-0.36096804844922942</v>
      </c>
      <c r="BE7" s="59">
        <f t="shared" si="56"/>
        <v>-0.36096804844922942</v>
      </c>
      <c r="BF7" s="59">
        <f t="shared" si="56"/>
        <v>-0.36096804844922942</v>
      </c>
      <c r="BG7" s="59">
        <f t="shared" si="56"/>
        <v>-0.36096804844922942</v>
      </c>
      <c r="BH7" s="59">
        <f t="shared" si="56"/>
        <v>-0.36096804844922942</v>
      </c>
      <c r="BI7" s="59">
        <f t="shared" si="56"/>
        <v>-0.36096804844922942</v>
      </c>
      <c r="BJ7" s="59">
        <f>IF(BJ3="","",IFERROR(BJ5/BJ6,""))</f>
        <v>-0.36096804844922942</v>
      </c>
      <c r="BK7" s="251">
        <f>IF(BK3="","",IFERROR(BK5/BK6,""))</f>
        <v>12.772627090136407</v>
      </c>
      <c r="BL7" s="59" t="str">
        <f>IF(BL3="","",IFERROR(BL5/BL6,""))</f>
        <v/>
      </c>
    </row>
    <row r="8" spans="1:65" x14ac:dyDescent="0.25">
      <c r="A8" s="281"/>
      <c r="B8" s="65" t="s">
        <v>51</v>
      </c>
      <c r="C8" s="57">
        <f t="shared" ref="C8:D8" si="57">IF(C3="","",ROUND(C7*C3,2))</f>
        <v>-115732.97</v>
      </c>
      <c r="D8" s="57">
        <f t="shared" si="57"/>
        <v>-104574.51</v>
      </c>
      <c r="E8" s="57">
        <f t="shared" ref="E8:F8" si="58">IF(E3="","",ROUND(E7*E3,2))</f>
        <v>-82818.98</v>
      </c>
      <c r="F8" s="57">
        <f t="shared" si="58"/>
        <v>-74005.649999999994</v>
      </c>
      <c r="G8" s="57">
        <f t="shared" ref="G8:H8" si="59">IF(G3="","",ROUND(G7*G3,2))</f>
        <v>-97941.18</v>
      </c>
      <c r="H8" s="57">
        <f t="shared" si="59"/>
        <v>-131594.67000000001</v>
      </c>
      <c r="I8" s="57">
        <f t="shared" ref="I8" si="60">IF(I3="","",ROUND(I7*I3,2))</f>
        <v>-123527.13</v>
      </c>
      <c r="J8" s="57">
        <f t="shared" ref="J8:P8" si="61">IF(J3="","",ROUND(J7*J3,2))</f>
        <v>-111322.95</v>
      </c>
      <c r="K8" s="57">
        <f t="shared" si="61"/>
        <v>-75219.710000000006</v>
      </c>
      <c r="L8" s="57">
        <f t="shared" si="61"/>
        <v>-80241.5</v>
      </c>
      <c r="M8" s="57">
        <f t="shared" si="61"/>
        <v>-106401.64</v>
      </c>
      <c r="N8" s="57">
        <f t="shared" si="61"/>
        <v>-138469.78</v>
      </c>
      <c r="O8" s="57">
        <f t="shared" si="61"/>
        <v>214209.84</v>
      </c>
      <c r="P8" s="57">
        <f t="shared" si="61"/>
        <v>278064.93</v>
      </c>
      <c r="Q8" s="57">
        <f t="shared" ref="Q8:R8" si="62">IF(Q3="","",ROUND(Q7*Q3,2))</f>
        <v>187629.17</v>
      </c>
      <c r="R8" s="57">
        <f t="shared" si="62"/>
        <v>176283.71</v>
      </c>
      <c r="S8" s="57">
        <f t="shared" ref="S8:T8" si="63">IF(S3="","",ROUND(S7*S3,2))</f>
        <v>231223.27</v>
      </c>
      <c r="T8" s="57">
        <f t="shared" si="63"/>
        <v>305423.73</v>
      </c>
      <c r="U8" s="57">
        <f t="shared" ref="U8:V8" si="64">IF(U3="","",ROUND(U7*U3,2))</f>
        <v>311615.01</v>
      </c>
      <c r="V8" s="57">
        <f t="shared" si="64"/>
        <v>306092.45</v>
      </c>
      <c r="W8" s="57">
        <f t="shared" ref="W8:AB8" si="65">IF(W3="","",ROUND(W7*W3,2))</f>
        <v>211968.1</v>
      </c>
      <c r="X8" s="57">
        <f t="shared" si="65"/>
        <v>198628.63</v>
      </c>
      <c r="Y8" s="57">
        <f t="shared" si="65"/>
        <v>248528.93</v>
      </c>
      <c r="Z8" s="57">
        <f t="shared" si="65"/>
        <v>321239.03999999998</v>
      </c>
      <c r="AA8" s="57">
        <f t="shared" si="65"/>
        <v>270175.45</v>
      </c>
      <c r="AB8" s="57">
        <f t="shared" si="65"/>
        <v>118232.21</v>
      </c>
      <c r="AC8" s="57">
        <f t="shared" ref="AC8:AD8" si="66">IF(AC3="","",ROUND(AC7*AC3,2))</f>
        <v>90604.87</v>
      </c>
      <c r="AD8" s="57">
        <f t="shared" si="66"/>
        <v>84722.21</v>
      </c>
      <c r="AE8" s="57">
        <f t="shared" ref="AE8:AF8" si="67">IF(AE3="","",ROUND(AE7*AE3,2))</f>
        <v>107685.96</v>
      </c>
      <c r="AF8" s="57">
        <f t="shared" si="67"/>
        <v>148122.69</v>
      </c>
      <c r="AG8" s="57">
        <f t="shared" ref="AG8:AL8" si="68">IF(AG3="","",ROUND(AG7*AG3,2))</f>
        <v>141095.97</v>
      </c>
      <c r="AH8" s="57">
        <f t="shared" si="68"/>
        <v>117508.65</v>
      </c>
      <c r="AI8" s="57">
        <f t="shared" si="68"/>
        <v>84587.71</v>
      </c>
      <c r="AJ8" s="57">
        <f t="shared" si="68"/>
        <v>80065.600000000006</v>
      </c>
      <c r="AK8" s="57">
        <f t="shared" si="68"/>
        <v>122414.96</v>
      </c>
      <c r="AL8" s="57">
        <f t="shared" si="68"/>
        <v>146964.76</v>
      </c>
      <c r="AM8" s="57">
        <f t="shared" ref="AM8:AN8" si="69">IF(AM3="","",ROUND(AM7*AM3,2))</f>
        <v>277535.48</v>
      </c>
      <c r="AN8" s="57">
        <f t="shared" si="69"/>
        <v>274328.76</v>
      </c>
      <c r="AO8" s="57">
        <f t="shared" ref="AO8:AP8" si="70">IF(AO3="","",ROUND(AO7*AO3,2))</f>
        <v>236568.66</v>
      </c>
      <c r="AP8" s="57">
        <f t="shared" si="70"/>
        <v>202231.43</v>
      </c>
      <c r="AQ8" s="57">
        <f t="shared" ref="AQ8:AR8" si="71">IF(AQ3="","",ROUND(AQ7*AQ3,2))</f>
        <v>261560.47</v>
      </c>
      <c r="AR8" s="57">
        <f t="shared" si="71"/>
        <v>342264.98</v>
      </c>
      <c r="AS8" s="57">
        <f t="shared" ref="AS8:AT8" si="72">IF(AS3="","",ROUND(AS7*AS3,2))</f>
        <v>352779.45</v>
      </c>
      <c r="AT8" s="57">
        <f t="shared" si="72"/>
        <v>326302.92</v>
      </c>
      <c r="AU8" s="57">
        <f t="shared" ref="AU8:AV8" si="73">IF(AU3="","",ROUND(AU7*AU3,2))</f>
        <v>236589.06</v>
      </c>
      <c r="AV8" s="57">
        <f t="shared" si="73"/>
        <v>206838.83</v>
      </c>
      <c r="AW8" s="57">
        <f t="shared" ref="AW8:AX8" si="74">IF(AW3="","",ROUND(AW7*AW3,2))</f>
        <v>288105.44</v>
      </c>
      <c r="AX8" s="57">
        <f t="shared" si="74"/>
        <v>377121</v>
      </c>
      <c r="AY8" s="57">
        <f t="shared" ref="AY8:BD8" si="75">IF(AY3="","",ROUND(AY7*AY3,2))</f>
        <v>-325945.17</v>
      </c>
      <c r="AZ8" s="57">
        <f t="shared" si="75"/>
        <v>-108965.9</v>
      </c>
      <c r="BA8" s="57">
        <f t="shared" si="75"/>
        <v>-97785.39</v>
      </c>
      <c r="BB8" s="57">
        <f t="shared" si="75"/>
        <v>-88646.22</v>
      </c>
      <c r="BC8" s="57">
        <f t="shared" si="75"/>
        <v>-121019.85</v>
      </c>
      <c r="BD8" s="57">
        <f t="shared" si="75"/>
        <v>-161803.12</v>
      </c>
      <c r="BE8" s="57">
        <f t="shared" ref="BE8:BI8" si="76">IF(BE3="","",ROUND(BE7*BE3,2))</f>
        <v>-147420.89000000001</v>
      </c>
      <c r="BF8" s="57">
        <f t="shared" si="76"/>
        <v>-139969.9</v>
      </c>
      <c r="BG8" s="57">
        <f t="shared" si="76"/>
        <v>-102161.55</v>
      </c>
      <c r="BH8" s="57">
        <f t="shared" si="76"/>
        <v>-84151.15</v>
      </c>
      <c r="BI8" s="57">
        <f t="shared" si="76"/>
        <v>-130784.48</v>
      </c>
      <c r="BJ8" s="57">
        <f>IF(BJ3="","",ROUND(BJ7*BJ3,2))</f>
        <v>-175754.36</v>
      </c>
      <c r="BK8" s="252">
        <f>IF(BK3="","",ROUND(BK7*BK3,2))</f>
        <v>3639513.6</v>
      </c>
      <c r="BL8" s="57">
        <f>-1105039.58334442/12</f>
        <v>-92086.631945368325</v>
      </c>
    </row>
    <row r="9" spans="1:65" x14ac:dyDescent="0.25">
      <c r="A9" s="68"/>
      <c r="B9" s="66"/>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row>
    <row r="10" spans="1:65" x14ac:dyDescent="0.25">
      <c r="A10" s="281" t="s">
        <v>33</v>
      </c>
      <c r="B10" s="64" t="s">
        <v>47</v>
      </c>
      <c r="C10" s="56">
        <f>IF(+'M3 Allocations - TD'!O52="","",'M3 Allocations - TD'!O52)</f>
        <v>74514.039999999994</v>
      </c>
      <c r="D10" s="56">
        <f>IF(+'M3 Allocations - TD'!P52="","",'M3 Allocations - TD'!P52)</f>
        <v>73821.710000000006</v>
      </c>
      <c r="E10" s="56">
        <f>IF(+'M3 Allocations - TD'!Q52="","",'M3 Allocations - TD'!Q52)</f>
        <v>56719.11</v>
      </c>
      <c r="F10" s="56">
        <f>IF(+'M3 Allocations - TD'!R52="","",'M3 Allocations - TD'!R52)</f>
        <v>51424.73</v>
      </c>
      <c r="G10" s="56">
        <f>IF(+'M3 Allocations - TD'!S52="","",'M3 Allocations - TD'!S52)</f>
        <v>64574.18</v>
      </c>
      <c r="H10" s="56">
        <f>IF(+'M3 Allocations - TD'!T52="","",'M3 Allocations - TD'!T52)</f>
        <v>80406.710000000006</v>
      </c>
      <c r="I10" s="56">
        <f>IF(+'M3 Allocations - TD'!U52="","",'M3 Allocations - TD'!U52)</f>
        <v>78372.460000000006</v>
      </c>
      <c r="J10" s="56">
        <f>IF(+'M3 Allocations - TD'!V52="","",'M3 Allocations - TD'!V52)</f>
        <v>75020.86</v>
      </c>
      <c r="K10" s="56">
        <f>IF(+'M3 Allocations - TD'!W52="","",'M3 Allocations - TD'!W52)</f>
        <v>60809.53</v>
      </c>
      <c r="L10" s="56">
        <f>IF(+'M3 Allocations - TD'!X52="","",'M3 Allocations - TD'!X52)</f>
        <v>60774.8</v>
      </c>
      <c r="M10" s="56">
        <f>IF(+'M3 Allocations - TD'!Y52="","",'M3 Allocations - TD'!Y52)</f>
        <v>70212.570000000007</v>
      </c>
      <c r="N10" s="56">
        <f>IF(+'M3 Allocations - TD'!Z52="","",'M3 Allocations - TD'!Z52)</f>
        <v>83755.55</v>
      </c>
      <c r="O10" s="56">
        <f>IF(+'M3 Allocations - TD'!AA52="","",'M3 Allocations - TD'!AA52)</f>
        <v>247981.23</v>
      </c>
      <c r="P10" s="56">
        <f>IF(+'M3 Allocations - TD'!AB52="","",'M3 Allocations - TD'!AB52)</f>
        <v>383476.26</v>
      </c>
      <c r="Q10" s="56">
        <f>IF(+'M3 Allocations - TD'!AC52="","",'M3 Allocations - TD'!AC52)</f>
        <v>305019.12</v>
      </c>
      <c r="R10" s="56">
        <f>IF(+'M3 Allocations - TD'!AD52="","",'M3 Allocations - TD'!AD52)</f>
        <v>298211.62</v>
      </c>
      <c r="S10" s="56">
        <f>IF(+'M3 Allocations - TD'!AE52="","",'M3 Allocations - TD'!AE52)</f>
        <v>355738.71</v>
      </c>
      <c r="T10" s="56">
        <f>IF(+'M3 Allocations - TD'!AF52="","",'M3 Allocations - TD'!AF52)</f>
        <v>421100.95</v>
      </c>
      <c r="U10" s="56">
        <f>IF(+'M3 Allocations - TD'!AG52="","",'M3 Allocations - TD'!AG52)</f>
        <v>421260.25</v>
      </c>
      <c r="V10" s="56">
        <f>IF(+'M3 Allocations - TD'!AH52="","",'M3 Allocations - TD'!AH52)</f>
        <v>425647.35</v>
      </c>
      <c r="W10" s="56">
        <f>IF(+'M3 Allocations - TD'!AI52="","",'M3 Allocations - TD'!AI52)</f>
        <v>355043.17</v>
      </c>
      <c r="X10" s="56">
        <f>IF(+'M3 Allocations - TD'!AJ52="","",'M3 Allocations - TD'!AJ52)</f>
        <v>317440.44</v>
      </c>
      <c r="Y10" s="56">
        <f>IF(+'M3 Allocations - TD'!AK52="","",'M3 Allocations - TD'!AK52)</f>
        <v>361675.89</v>
      </c>
      <c r="Z10" s="56">
        <f>IF(+'M3 Allocations - TD'!AL52="","",'M3 Allocations - TD'!AL52)</f>
        <v>427108.58</v>
      </c>
      <c r="AA10" s="56">
        <f>IF(+'M3 Allocations - TD'!AM52="","",'M3 Allocations - TD'!AM52)</f>
        <v>352548.03</v>
      </c>
      <c r="AB10" s="56">
        <f>IF(+'M3 Allocations - TD'!AN52="","",'M3 Allocations - TD'!AN52)</f>
        <v>202576.3</v>
      </c>
      <c r="AC10" s="56">
        <f>IF(+'M3 Allocations - TD'!AO52="","",'M3 Allocations - TD'!AO52)</f>
        <v>179190.8</v>
      </c>
      <c r="AD10" s="56">
        <f>IF(+'M3 Allocations - TD'!AP52="","",'M3 Allocations - TD'!AP52)</f>
        <v>173555.15</v>
      </c>
      <c r="AE10" s="56">
        <f>IF(+'M3 Allocations - TD'!AQ52="","",'M3 Allocations - TD'!AQ52)</f>
        <v>201857.14</v>
      </c>
      <c r="AF10" s="56">
        <f>IF(+'M3 Allocations - TD'!AR52="","",'M3 Allocations - TD'!AR52)</f>
        <v>241561.15</v>
      </c>
      <c r="AG10" s="56">
        <f>IF(+'M3 Allocations - TD'!AS52="","",'M3 Allocations - TD'!AS52)</f>
        <v>236616.94</v>
      </c>
      <c r="AH10" s="56">
        <f>IF(+'M3 Allocations - TD'!AT52="","",'M3 Allocations - TD'!AT52)</f>
        <v>216950.84</v>
      </c>
      <c r="AI10" s="56">
        <f>IF(+'M3 Allocations - TD'!AU52="","",'M3 Allocations - TD'!AU52)</f>
        <v>178443.25</v>
      </c>
      <c r="AJ10" s="56">
        <f>IF(+'M3 Allocations - TD'!AV52="","",'M3 Allocations - TD'!AV52)</f>
        <v>170114.82</v>
      </c>
      <c r="AK10" s="56">
        <f>IF(+'M3 Allocations - TD'!AW52="","",'M3 Allocations - TD'!AW52)</f>
        <v>212488.19</v>
      </c>
      <c r="AL10" s="56">
        <f>IF(+'M3 Allocations - TD'!AX52="","",'M3 Allocations - TD'!AX52)</f>
        <v>243116.99</v>
      </c>
      <c r="AM10" s="56">
        <f>IF(+'M3 Allocations - TD'!AY52="","",'M3 Allocations - TD'!AY52)</f>
        <v>187551.07</v>
      </c>
      <c r="AN10" s="56">
        <f>IF(+'M3 Allocations - TD'!AZ52="","",'M3 Allocations - TD'!AZ52)</f>
        <v>136792.68</v>
      </c>
      <c r="AO10" s="56">
        <f>IF(+'M3 Allocations - TD'!BA52="","",'M3 Allocations - TD'!BA52)</f>
        <v>125661.64</v>
      </c>
      <c r="AP10" s="56">
        <f>IF(+'M3 Allocations - TD'!BB52="","",'M3 Allocations - TD'!BB52)</f>
        <v>115949.34</v>
      </c>
      <c r="AQ10" s="56">
        <f>IF(+'M3 Allocations - TD'!BC52="","",'M3 Allocations - TD'!BC52)</f>
        <v>139369.25</v>
      </c>
      <c r="AR10" s="56">
        <f>IF(+'M3 Allocations - TD'!BD52="","",'M3 Allocations - TD'!BD52)</f>
        <v>161718.04</v>
      </c>
      <c r="AS10" s="56">
        <f>IF(+'M3 Allocations - TD'!BE52="","",'M3 Allocations - TD'!BE52)</f>
        <v>165200.46</v>
      </c>
      <c r="AT10" s="56">
        <f>IF(+'M3 Allocations - TD'!BF52="","",'M3 Allocations - TD'!BF52)</f>
        <v>159904.26</v>
      </c>
      <c r="AU10" s="56">
        <f>IF(+'M3 Allocations - TD'!BG52="","",'M3 Allocations - TD'!BG52)</f>
        <v>135422.35</v>
      </c>
      <c r="AV10" s="56">
        <f>IF(+'M3 Allocations - TD'!BH52="","",'M3 Allocations - TD'!BH52)</f>
        <v>124505.35</v>
      </c>
      <c r="AW10" s="56">
        <f>IF(+'M3 Allocations - TD'!BI52="","",'M3 Allocations - TD'!BI52)</f>
        <v>143114.57999999999</v>
      </c>
      <c r="AX10" s="56">
        <f>IF(+'M3 Allocations - TD'!BJ52="","",'M3 Allocations - TD'!BJ52)</f>
        <v>172661.94</v>
      </c>
      <c r="AY10" s="56">
        <f>IF(+'M3 Allocations - TD'!BK52="","",'M3 Allocations - TD'!BK52)</f>
        <v>182184.47</v>
      </c>
      <c r="AZ10" s="56">
        <f>IF(+'M3 Allocations - TD'!BL52="","",'M3 Allocations - TD'!BL52)</f>
        <v>166367.26999999999</v>
      </c>
      <c r="BA10" s="56">
        <f>IF(+'M3 Allocations - TD'!BM52="","",'M3 Allocations - TD'!BM52)</f>
        <v>161733.9</v>
      </c>
      <c r="BB10" s="56">
        <f>IF(+'M3 Allocations - TD'!BN52="","",'M3 Allocations - TD'!BN52)</f>
        <v>154028.51</v>
      </c>
      <c r="BC10" s="56">
        <f>IF(+'M3 Allocations - TD'!BO52="","",'M3 Allocations - TD'!BO52)</f>
        <v>188258.77</v>
      </c>
      <c r="BD10" s="56">
        <f>IF(+'M3 Allocations - TD'!BP52="","",'M3 Allocations - TD'!BP52)</f>
        <v>225103.9</v>
      </c>
      <c r="BE10" s="56">
        <f>IF(+'M3 Allocations - TD'!BQ52="","",'M3 Allocations - TD'!BQ52)</f>
        <v>211259.27</v>
      </c>
      <c r="BF10" s="56">
        <f>IF(+'M3 Allocations - TD'!BR52="","",'M3 Allocations - TD'!BR52)</f>
        <v>205684.72</v>
      </c>
      <c r="BG10" s="56">
        <f>IF(+'M3 Allocations - TD'!BS52="","",'M3 Allocations - TD'!BS52)</f>
        <v>173502.18</v>
      </c>
      <c r="BH10" s="56">
        <f>IF(+'M3 Allocations - TD'!BT52="","",'M3 Allocations - TD'!BT52)</f>
        <v>155398.64000000001</v>
      </c>
      <c r="BI10" s="56">
        <f>IF(+'M3 Allocations - TD'!BU52="","",'M3 Allocations - TD'!BU52)</f>
        <v>190237.95</v>
      </c>
      <c r="BJ10" s="56">
        <f>IF(+'M3 Allocations - TD'!BV52="","",'M3 Allocations - TD'!BV52)</f>
        <v>230514.07</v>
      </c>
      <c r="BK10" s="56">
        <f>IF(+'M3 Allocations - TD'!BW52="","",'M3 Allocations - TD'!BW52)</f>
        <v>166298.1</v>
      </c>
      <c r="BL10" s="275"/>
    </row>
    <row r="11" spans="1:65" x14ac:dyDescent="0.25">
      <c r="A11" s="281"/>
      <c r="B11" s="64" t="s">
        <v>49</v>
      </c>
      <c r="C11" s="102">
        <v>3.4644873094528316E-4</v>
      </c>
      <c r="D11" s="79">
        <f t="shared" ref="D11:Y12" si="77">IF(D10="","",C11)</f>
        <v>3.4644873094528316E-4</v>
      </c>
      <c r="E11" s="79">
        <f t="shared" si="77"/>
        <v>3.4644873094528316E-4</v>
      </c>
      <c r="F11" s="79">
        <f t="shared" si="77"/>
        <v>3.4644873094528316E-4</v>
      </c>
      <c r="G11" s="79">
        <f t="shared" si="77"/>
        <v>3.4644873094528316E-4</v>
      </c>
      <c r="H11" s="79">
        <f t="shared" si="77"/>
        <v>3.4644873094528316E-4</v>
      </c>
      <c r="I11" s="79">
        <f t="shared" si="77"/>
        <v>3.4644873094528316E-4</v>
      </c>
      <c r="J11" s="79">
        <f t="shared" si="77"/>
        <v>3.4644873094528316E-4</v>
      </c>
      <c r="K11" s="79">
        <f t="shared" si="77"/>
        <v>3.4644873094528316E-4</v>
      </c>
      <c r="L11" s="79">
        <f t="shared" si="77"/>
        <v>3.4644873094528316E-4</v>
      </c>
      <c r="M11" s="79">
        <f t="shared" si="77"/>
        <v>3.4644873094528316E-4</v>
      </c>
      <c r="N11" s="79">
        <f t="shared" si="77"/>
        <v>3.4644873094528316E-4</v>
      </c>
      <c r="O11" s="103">
        <v>1.2887847704183462E-3</v>
      </c>
      <c r="P11" s="79">
        <f t="shared" si="77"/>
        <v>1.2887847704183462E-3</v>
      </c>
      <c r="Q11" s="79">
        <f t="shared" si="77"/>
        <v>1.2887847704183462E-3</v>
      </c>
      <c r="R11" s="79">
        <f t="shared" si="77"/>
        <v>1.2887847704183462E-3</v>
      </c>
      <c r="S11" s="79">
        <f t="shared" si="77"/>
        <v>1.2887847704183462E-3</v>
      </c>
      <c r="T11" s="79">
        <f t="shared" si="77"/>
        <v>1.2887847704183462E-3</v>
      </c>
      <c r="U11" s="79">
        <f t="shared" si="77"/>
        <v>1.2887847704183462E-3</v>
      </c>
      <c r="V11" s="79">
        <f t="shared" si="77"/>
        <v>1.2887847704183462E-3</v>
      </c>
      <c r="W11" s="79">
        <f t="shared" si="77"/>
        <v>1.2887847704183462E-3</v>
      </c>
      <c r="X11" s="79">
        <f t="shared" si="77"/>
        <v>1.2887847704183462E-3</v>
      </c>
      <c r="Y11" s="79">
        <f t="shared" si="77"/>
        <v>1.2887847704183462E-3</v>
      </c>
      <c r="Z11" s="79">
        <f>IF(Z10="","",Y11)</f>
        <v>1.2887847704183462E-3</v>
      </c>
      <c r="AA11" s="103">
        <v>9.0707916632213985E-4</v>
      </c>
      <c r="AB11" s="79">
        <f t="shared" ref="AB11:BJ12" si="78">IF(AB10="","",AA11)</f>
        <v>9.0707916632213985E-4</v>
      </c>
      <c r="AC11" s="79">
        <f t="shared" si="78"/>
        <v>9.0707916632213985E-4</v>
      </c>
      <c r="AD11" s="79">
        <f t="shared" si="78"/>
        <v>9.0707916632213985E-4</v>
      </c>
      <c r="AE11" s="79">
        <f t="shared" si="78"/>
        <v>9.0707916632213985E-4</v>
      </c>
      <c r="AF11" s="79">
        <f t="shared" si="78"/>
        <v>9.0707916632213985E-4</v>
      </c>
      <c r="AG11" s="79">
        <f t="shared" si="78"/>
        <v>9.0707916632213985E-4</v>
      </c>
      <c r="AH11" s="79">
        <f t="shared" si="78"/>
        <v>9.0707916632213985E-4</v>
      </c>
      <c r="AI11" s="79">
        <f t="shared" si="78"/>
        <v>9.0707916632213985E-4</v>
      </c>
      <c r="AJ11" s="79">
        <f t="shared" si="78"/>
        <v>9.0707916632213985E-4</v>
      </c>
      <c r="AK11" s="79">
        <f t="shared" si="78"/>
        <v>9.0707916632213985E-4</v>
      </c>
      <c r="AL11" s="79">
        <f t="shared" si="78"/>
        <v>9.0707916632213985E-4</v>
      </c>
      <c r="AM11" s="103">
        <v>7.0644729845400415E-4</v>
      </c>
      <c r="AN11" s="79">
        <f t="shared" si="78"/>
        <v>7.0644729845400415E-4</v>
      </c>
      <c r="AO11" s="79">
        <f t="shared" si="78"/>
        <v>7.0644729845400415E-4</v>
      </c>
      <c r="AP11" s="79">
        <f t="shared" si="78"/>
        <v>7.0644729845400415E-4</v>
      </c>
      <c r="AQ11" s="79">
        <f t="shared" si="78"/>
        <v>7.0644729845400415E-4</v>
      </c>
      <c r="AR11" s="79">
        <f t="shared" si="78"/>
        <v>7.0644729845400415E-4</v>
      </c>
      <c r="AS11" s="79">
        <f t="shared" si="78"/>
        <v>7.0644729845400415E-4</v>
      </c>
      <c r="AT11" s="79">
        <f t="shared" si="78"/>
        <v>7.0644729845400415E-4</v>
      </c>
      <c r="AU11" s="79">
        <f t="shared" si="78"/>
        <v>7.0644729845400415E-4</v>
      </c>
      <c r="AV11" s="79">
        <f t="shared" si="78"/>
        <v>7.0644729845400415E-4</v>
      </c>
      <c r="AW11" s="79">
        <f t="shared" si="78"/>
        <v>7.0644729845400415E-4</v>
      </c>
      <c r="AX11" s="79">
        <f t="shared" si="78"/>
        <v>7.0644729845400415E-4</v>
      </c>
      <c r="AY11" s="103">
        <f>0.000764779483780059+0</f>
        <v>7.6477948378005903E-4</v>
      </c>
      <c r="AZ11" s="79">
        <f t="shared" si="78"/>
        <v>7.6477948378005903E-4</v>
      </c>
      <c r="BA11" s="79">
        <f t="shared" si="78"/>
        <v>7.6477948378005903E-4</v>
      </c>
      <c r="BB11" s="79">
        <f t="shared" si="78"/>
        <v>7.6477948378005903E-4</v>
      </c>
      <c r="BC11" s="79">
        <f t="shared" si="78"/>
        <v>7.6477948378005903E-4</v>
      </c>
      <c r="BD11" s="79">
        <f t="shared" si="78"/>
        <v>7.6477948378005903E-4</v>
      </c>
      <c r="BE11" s="79">
        <f t="shared" si="78"/>
        <v>7.6477948378005903E-4</v>
      </c>
      <c r="BF11" s="79">
        <f t="shared" si="78"/>
        <v>7.6477948378005903E-4</v>
      </c>
      <c r="BG11" s="79">
        <f t="shared" si="78"/>
        <v>7.6477948378005903E-4</v>
      </c>
      <c r="BH11" s="79">
        <f t="shared" si="78"/>
        <v>7.6477948378005903E-4</v>
      </c>
      <c r="BI11" s="79">
        <f t="shared" si="78"/>
        <v>7.6477948378005903E-4</v>
      </c>
      <c r="BJ11" s="79">
        <f t="shared" si="78"/>
        <v>7.6477948378005903E-4</v>
      </c>
      <c r="BK11" s="79">
        <v>2.4703388267481119E-4</v>
      </c>
      <c r="BL11" s="79"/>
    </row>
    <row r="12" spans="1:65" x14ac:dyDescent="0.25">
      <c r="A12" s="281"/>
      <c r="B12" s="64" t="s">
        <v>48</v>
      </c>
      <c r="C12" s="103">
        <v>-6.7394838749343863E-5</v>
      </c>
      <c r="D12" s="79">
        <f t="shared" si="77"/>
        <v>-6.7394838749343863E-5</v>
      </c>
      <c r="E12" s="79">
        <f t="shared" si="77"/>
        <v>-6.7394838749343863E-5</v>
      </c>
      <c r="F12" s="79">
        <f t="shared" si="77"/>
        <v>-6.7394838749343863E-5</v>
      </c>
      <c r="G12" s="79">
        <f t="shared" si="77"/>
        <v>-6.7394838749343863E-5</v>
      </c>
      <c r="H12" s="79">
        <f t="shared" si="77"/>
        <v>-6.7394838749343863E-5</v>
      </c>
      <c r="I12" s="79">
        <f t="shared" si="77"/>
        <v>-6.7394838749343863E-5</v>
      </c>
      <c r="J12" s="79">
        <f t="shared" si="77"/>
        <v>-6.7394838749343863E-5</v>
      </c>
      <c r="K12" s="79">
        <f t="shared" si="77"/>
        <v>-6.7394838749343863E-5</v>
      </c>
      <c r="L12" s="79">
        <f t="shared" si="77"/>
        <v>-6.7394838749343863E-5</v>
      </c>
      <c r="M12" s="79">
        <f t="shared" si="77"/>
        <v>-6.7394838749343863E-5</v>
      </c>
      <c r="N12" s="79">
        <f t="shared" si="77"/>
        <v>-6.7394838749343863E-5</v>
      </c>
      <c r="O12" s="103">
        <v>1.5796346253921996E-4</v>
      </c>
      <c r="P12" s="79">
        <f t="shared" si="77"/>
        <v>1.5796346253921996E-4</v>
      </c>
      <c r="Q12" s="79">
        <f t="shared" si="77"/>
        <v>1.5796346253921996E-4</v>
      </c>
      <c r="R12" s="79">
        <f t="shared" si="77"/>
        <v>1.5796346253921996E-4</v>
      </c>
      <c r="S12" s="79">
        <f t="shared" si="77"/>
        <v>1.5796346253921996E-4</v>
      </c>
      <c r="T12" s="79">
        <f t="shared" si="77"/>
        <v>1.5796346253921996E-4</v>
      </c>
      <c r="U12" s="79">
        <f t="shared" si="77"/>
        <v>1.5796346253921996E-4</v>
      </c>
      <c r="V12" s="79">
        <f t="shared" si="77"/>
        <v>1.5796346253921996E-4</v>
      </c>
      <c r="W12" s="79">
        <f t="shared" si="77"/>
        <v>1.5796346253921996E-4</v>
      </c>
      <c r="X12" s="79">
        <f t="shared" si="77"/>
        <v>1.5796346253921996E-4</v>
      </c>
      <c r="Y12" s="79">
        <f t="shared" si="77"/>
        <v>1.5796346253921996E-4</v>
      </c>
      <c r="Z12" s="79">
        <f>IF(Z11="","",Y12)</f>
        <v>1.5796346253921996E-4</v>
      </c>
      <c r="AA12" s="103">
        <v>-1.3187057849960824E-4</v>
      </c>
      <c r="AB12" s="79">
        <f t="shared" si="78"/>
        <v>-1.3187057849960824E-4</v>
      </c>
      <c r="AC12" s="79">
        <f t="shared" si="78"/>
        <v>-1.3187057849960824E-4</v>
      </c>
      <c r="AD12" s="79">
        <f t="shared" si="78"/>
        <v>-1.3187057849960824E-4</v>
      </c>
      <c r="AE12" s="79">
        <f t="shared" si="78"/>
        <v>-1.3187057849960824E-4</v>
      </c>
      <c r="AF12" s="79">
        <f t="shared" si="78"/>
        <v>-1.3187057849960824E-4</v>
      </c>
      <c r="AG12" s="79">
        <f t="shared" si="78"/>
        <v>-1.3187057849960824E-4</v>
      </c>
      <c r="AH12" s="79">
        <f t="shared" si="78"/>
        <v>-1.3187057849960824E-4</v>
      </c>
      <c r="AI12" s="79">
        <f t="shared" si="78"/>
        <v>-1.3187057849960824E-4</v>
      </c>
      <c r="AJ12" s="79">
        <f t="shared" si="78"/>
        <v>-1.3187057849960824E-4</v>
      </c>
      <c r="AK12" s="79">
        <f t="shared" si="78"/>
        <v>-1.3187057849960824E-4</v>
      </c>
      <c r="AL12" s="79">
        <f t="shared" si="78"/>
        <v>-1.3187057849960824E-4</v>
      </c>
      <c r="AM12" s="103">
        <v>-1.5169971121427729E-4</v>
      </c>
      <c r="AN12" s="79">
        <f t="shared" si="78"/>
        <v>-1.5169971121427729E-4</v>
      </c>
      <c r="AO12" s="79">
        <f t="shared" si="78"/>
        <v>-1.5169971121427729E-4</v>
      </c>
      <c r="AP12" s="79">
        <f t="shared" si="78"/>
        <v>-1.5169971121427729E-4</v>
      </c>
      <c r="AQ12" s="79">
        <f t="shared" si="78"/>
        <v>-1.5169971121427729E-4</v>
      </c>
      <c r="AR12" s="79">
        <f t="shared" si="78"/>
        <v>-1.5169971121427729E-4</v>
      </c>
      <c r="AS12" s="79">
        <f t="shared" si="78"/>
        <v>-1.5169971121427729E-4</v>
      </c>
      <c r="AT12" s="79">
        <f t="shared" si="78"/>
        <v>-1.5169971121427729E-4</v>
      </c>
      <c r="AU12" s="79">
        <f t="shared" si="78"/>
        <v>-1.5169971121427729E-4</v>
      </c>
      <c r="AV12" s="79">
        <f t="shared" si="78"/>
        <v>-1.5169971121427729E-4</v>
      </c>
      <c r="AW12" s="79">
        <f t="shared" si="78"/>
        <v>-1.5169971121427729E-4</v>
      </c>
      <c r="AX12" s="79">
        <f t="shared" si="78"/>
        <v>-1.5169971121427729E-4</v>
      </c>
      <c r="AY12" s="103">
        <f>-0.0000612024415160866+2.66405483408889E-06</f>
        <v>-5.8538386681997715E-5</v>
      </c>
      <c r="AZ12" s="79">
        <f t="shared" si="78"/>
        <v>-5.8538386681997715E-5</v>
      </c>
      <c r="BA12" s="79">
        <f t="shared" si="78"/>
        <v>-5.8538386681997715E-5</v>
      </c>
      <c r="BB12" s="79">
        <f t="shared" si="78"/>
        <v>-5.8538386681997715E-5</v>
      </c>
      <c r="BC12" s="79">
        <f t="shared" si="78"/>
        <v>-5.8538386681997715E-5</v>
      </c>
      <c r="BD12" s="79">
        <f t="shared" si="78"/>
        <v>-5.8538386681997715E-5</v>
      </c>
      <c r="BE12" s="79">
        <f t="shared" si="78"/>
        <v>-5.8538386681997715E-5</v>
      </c>
      <c r="BF12" s="79">
        <f t="shared" si="78"/>
        <v>-5.8538386681997715E-5</v>
      </c>
      <c r="BG12" s="79">
        <f t="shared" si="78"/>
        <v>-5.8538386681997715E-5</v>
      </c>
      <c r="BH12" s="79">
        <f t="shared" si="78"/>
        <v>-5.8538386681997715E-5</v>
      </c>
      <c r="BI12" s="79">
        <f t="shared" si="78"/>
        <v>-5.8538386681997715E-5</v>
      </c>
      <c r="BJ12" s="79">
        <f t="shared" si="78"/>
        <v>-5.8538386681997715E-5</v>
      </c>
      <c r="BK12" s="79">
        <v>3.615448540188973E-5</v>
      </c>
      <c r="BL12" s="79"/>
    </row>
    <row r="13" spans="1:65" x14ac:dyDescent="0.25">
      <c r="A13" s="281"/>
      <c r="B13" s="64" t="s">
        <v>56</v>
      </c>
      <c r="C13" s="55">
        <f t="shared" ref="C13:D13" si="79">IF(C10="","",SUM(C11:C12))</f>
        <v>2.7905389219593928E-4</v>
      </c>
      <c r="D13" s="55">
        <f t="shared" si="79"/>
        <v>2.7905389219593928E-4</v>
      </c>
      <c r="E13" s="55">
        <f t="shared" ref="E13:F13" si="80">IF(E10="","",SUM(E11:E12))</f>
        <v>2.7905389219593928E-4</v>
      </c>
      <c r="F13" s="55">
        <f t="shared" si="80"/>
        <v>2.7905389219593928E-4</v>
      </c>
      <c r="G13" s="55">
        <f t="shared" ref="G13:H13" si="81">IF(G10="","",SUM(G11:G12))</f>
        <v>2.7905389219593928E-4</v>
      </c>
      <c r="H13" s="55">
        <f t="shared" si="81"/>
        <v>2.7905389219593928E-4</v>
      </c>
      <c r="I13" s="55">
        <f t="shared" ref="I13:J13" si="82">IF(I10="","",SUM(I11:I12))</f>
        <v>2.7905389219593928E-4</v>
      </c>
      <c r="J13" s="55">
        <f t="shared" si="82"/>
        <v>2.7905389219593928E-4</v>
      </c>
      <c r="K13" s="55">
        <f t="shared" ref="K13:L13" si="83">IF(K10="","",SUM(K11:K12))</f>
        <v>2.7905389219593928E-4</v>
      </c>
      <c r="L13" s="55">
        <f t="shared" si="83"/>
        <v>2.7905389219593928E-4</v>
      </c>
      <c r="M13" s="55">
        <f t="shared" ref="M13:N13" si="84">IF(M10="","",SUM(M11:M12))</f>
        <v>2.7905389219593928E-4</v>
      </c>
      <c r="N13" s="55">
        <f t="shared" si="84"/>
        <v>2.7905389219593928E-4</v>
      </c>
      <c r="O13" s="55">
        <f t="shared" ref="O13:P13" si="85">IF(O10="","",SUM(O11:O12))</f>
        <v>1.4467482329575661E-3</v>
      </c>
      <c r="P13" s="55">
        <f t="shared" si="85"/>
        <v>1.4467482329575661E-3</v>
      </c>
      <c r="Q13" s="55">
        <f t="shared" ref="Q13:R13" si="86">IF(Q10="","",SUM(Q11:Q12))</f>
        <v>1.4467482329575661E-3</v>
      </c>
      <c r="R13" s="55">
        <f t="shared" si="86"/>
        <v>1.4467482329575661E-3</v>
      </c>
      <c r="S13" s="55">
        <f t="shared" ref="S13:T13" si="87">IF(S10="","",SUM(S11:S12))</f>
        <v>1.4467482329575661E-3</v>
      </c>
      <c r="T13" s="55">
        <f t="shared" si="87"/>
        <v>1.4467482329575661E-3</v>
      </c>
      <c r="U13" s="55">
        <f t="shared" ref="U13:V13" si="88">IF(U10="","",SUM(U11:U12))</f>
        <v>1.4467482329575661E-3</v>
      </c>
      <c r="V13" s="55">
        <f t="shared" si="88"/>
        <v>1.4467482329575661E-3</v>
      </c>
      <c r="W13" s="55">
        <f t="shared" ref="W13:X13" si="89">IF(W10="","",SUM(W11:W12))</f>
        <v>1.4467482329575661E-3</v>
      </c>
      <c r="X13" s="55">
        <f t="shared" si="89"/>
        <v>1.4467482329575661E-3</v>
      </c>
      <c r="Y13" s="55">
        <f t="shared" ref="Y13:Z13" si="90">IF(Y10="","",SUM(Y11:Y12))</f>
        <v>1.4467482329575661E-3</v>
      </c>
      <c r="Z13" s="55">
        <f t="shared" si="90"/>
        <v>1.4467482329575661E-3</v>
      </c>
      <c r="AA13" s="55">
        <f t="shared" ref="AA13:AF13" si="91">IF(AA10="","",SUM(AA11:AA12))</f>
        <v>7.7520858782253164E-4</v>
      </c>
      <c r="AB13" s="55">
        <f t="shared" si="91"/>
        <v>7.7520858782253164E-4</v>
      </c>
      <c r="AC13" s="55">
        <f t="shared" si="91"/>
        <v>7.7520858782253164E-4</v>
      </c>
      <c r="AD13" s="55">
        <f t="shared" si="91"/>
        <v>7.7520858782253164E-4</v>
      </c>
      <c r="AE13" s="55">
        <f t="shared" si="91"/>
        <v>7.7520858782253164E-4</v>
      </c>
      <c r="AF13" s="55">
        <f t="shared" si="91"/>
        <v>7.7520858782253164E-4</v>
      </c>
      <c r="AG13" s="55">
        <f t="shared" ref="AG13:AH13" si="92">IF(AG10="","",SUM(AG11:AG12))</f>
        <v>7.7520858782253164E-4</v>
      </c>
      <c r="AH13" s="55">
        <f t="shared" si="92"/>
        <v>7.7520858782253164E-4</v>
      </c>
      <c r="AI13" s="55">
        <f t="shared" ref="AI13:AJ13" si="93">IF(AI10="","",SUM(AI11:AI12))</f>
        <v>7.7520858782253164E-4</v>
      </c>
      <c r="AJ13" s="55">
        <f t="shared" si="93"/>
        <v>7.7520858782253164E-4</v>
      </c>
      <c r="AK13" s="55">
        <f t="shared" ref="AK13:AL13" si="94">IF(AK10="","",SUM(AK11:AK12))</f>
        <v>7.7520858782253164E-4</v>
      </c>
      <c r="AL13" s="55">
        <f t="shared" si="94"/>
        <v>7.7520858782253164E-4</v>
      </c>
      <c r="AM13" s="55">
        <f t="shared" ref="AM13:AN13" si="95">IF(AM10="","",SUM(AM11:AM12))</f>
        <v>5.5474758723972686E-4</v>
      </c>
      <c r="AN13" s="55">
        <f t="shared" si="95"/>
        <v>5.5474758723972686E-4</v>
      </c>
      <c r="AO13" s="55">
        <f t="shared" ref="AO13:AP13" si="96">IF(AO10="","",SUM(AO11:AO12))</f>
        <v>5.5474758723972686E-4</v>
      </c>
      <c r="AP13" s="55">
        <f t="shared" si="96"/>
        <v>5.5474758723972686E-4</v>
      </c>
      <c r="AQ13" s="55">
        <f t="shared" ref="AQ13:AR13" si="97">IF(AQ10="","",SUM(AQ11:AQ12))</f>
        <v>5.5474758723972686E-4</v>
      </c>
      <c r="AR13" s="55">
        <f t="shared" si="97"/>
        <v>5.5474758723972686E-4</v>
      </c>
      <c r="AS13" s="55">
        <f t="shared" ref="AS13:AT13" si="98">IF(AS10="","",SUM(AS11:AS12))</f>
        <v>5.5474758723972686E-4</v>
      </c>
      <c r="AT13" s="55">
        <f t="shared" si="98"/>
        <v>5.5474758723972686E-4</v>
      </c>
      <c r="AU13" s="55">
        <f t="shared" ref="AU13:AV13" si="99">IF(AU10="","",SUM(AU11:AU12))</f>
        <v>5.5474758723972686E-4</v>
      </c>
      <c r="AV13" s="55">
        <f t="shared" si="99"/>
        <v>5.5474758723972686E-4</v>
      </c>
      <c r="AW13" s="55">
        <f t="shared" ref="AW13:AX13" si="100">IF(AW10="","",SUM(AW11:AW12))</f>
        <v>5.5474758723972686E-4</v>
      </c>
      <c r="AX13" s="55">
        <f t="shared" si="100"/>
        <v>5.5474758723972686E-4</v>
      </c>
      <c r="AY13" s="55">
        <f t="shared" ref="AY13:AZ13" si="101">IF(AY10="","",SUM(AY11:AY12))</f>
        <v>7.0624109709806128E-4</v>
      </c>
      <c r="AZ13" s="55">
        <f t="shared" si="101"/>
        <v>7.0624109709806128E-4</v>
      </c>
      <c r="BA13" s="55">
        <f t="shared" ref="BA13:BB13" si="102">IF(BA10="","",SUM(BA11:BA12))</f>
        <v>7.0624109709806128E-4</v>
      </c>
      <c r="BB13" s="55">
        <f t="shared" si="102"/>
        <v>7.0624109709806128E-4</v>
      </c>
      <c r="BC13" s="55">
        <f t="shared" ref="BC13:BD13" si="103">IF(BC10="","",SUM(BC11:BC12))</f>
        <v>7.0624109709806128E-4</v>
      </c>
      <c r="BD13" s="55">
        <f t="shared" si="103"/>
        <v>7.0624109709806128E-4</v>
      </c>
      <c r="BE13" s="55">
        <f t="shared" ref="BE13:BF13" si="104">IF(BE10="","",SUM(BE11:BE12))</f>
        <v>7.0624109709806128E-4</v>
      </c>
      <c r="BF13" s="55">
        <f t="shared" si="104"/>
        <v>7.0624109709806128E-4</v>
      </c>
      <c r="BG13" s="55">
        <f t="shared" ref="BG13:BH13" si="105">IF(BG10="","",SUM(BG11:BG12))</f>
        <v>7.0624109709806128E-4</v>
      </c>
      <c r="BH13" s="55">
        <f t="shared" si="105"/>
        <v>7.0624109709806128E-4</v>
      </c>
      <c r="BI13" s="55">
        <f t="shared" ref="BI13:BJ13" si="106">IF(BI10="","",SUM(BI11:BI12))</f>
        <v>7.0624109709806128E-4</v>
      </c>
      <c r="BJ13" s="55">
        <f t="shared" si="106"/>
        <v>7.0624109709806128E-4</v>
      </c>
      <c r="BK13" s="55">
        <f t="shared" ref="BK13:BL13" si="107">IF(BK10="","",SUM(BK11:BK12))</f>
        <v>2.8318836807670093E-4</v>
      </c>
      <c r="BL13" s="55" t="str">
        <f t="shared" si="107"/>
        <v/>
      </c>
    </row>
    <row r="14" spans="1:65" x14ac:dyDescent="0.25">
      <c r="A14" s="281"/>
      <c r="B14" s="64" t="s">
        <v>50</v>
      </c>
      <c r="C14" s="59">
        <f t="shared" ref="C14:D14" si="108">IF(C10="","",IFERROR(C12/C13,""))</f>
        <v>-0.24151191090365509</v>
      </c>
      <c r="D14" s="59">
        <f t="shared" si="108"/>
        <v>-0.24151191090365509</v>
      </c>
      <c r="E14" s="59">
        <f t="shared" ref="E14:F14" si="109">IF(E10="","",IFERROR(E12/E13,""))</f>
        <v>-0.24151191090365509</v>
      </c>
      <c r="F14" s="59">
        <f t="shared" si="109"/>
        <v>-0.24151191090365509</v>
      </c>
      <c r="G14" s="59">
        <f t="shared" ref="G14:H14" si="110">IF(G10="","",IFERROR(G12/G13,""))</f>
        <v>-0.24151191090365509</v>
      </c>
      <c r="H14" s="59">
        <f t="shared" si="110"/>
        <v>-0.24151191090365509</v>
      </c>
      <c r="I14" s="59">
        <f t="shared" ref="I14:J14" si="111">IF(I10="","",IFERROR(I12/I13,""))</f>
        <v>-0.24151191090365509</v>
      </c>
      <c r="J14" s="59">
        <f t="shared" si="111"/>
        <v>-0.24151191090365509</v>
      </c>
      <c r="K14" s="59">
        <f t="shared" ref="K14:L14" si="112">IF(K10="","",IFERROR(K12/K13,""))</f>
        <v>-0.24151191090365509</v>
      </c>
      <c r="L14" s="59">
        <f t="shared" si="112"/>
        <v>-0.24151191090365509</v>
      </c>
      <c r="M14" s="59">
        <f t="shared" ref="M14:N14" si="113">IF(M10="","",IFERROR(M12/M13,""))</f>
        <v>-0.24151191090365509</v>
      </c>
      <c r="N14" s="59">
        <f t="shared" si="113"/>
        <v>-0.24151191090365509</v>
      </c>
      <c r="O14" s="59">
        <f t="shared" ref="O14:P14" si="114">IF(O10="","",IFERROR(O12/O13,""))</f>
        <v>0.1091851774488071</v>
      </c>
      <c r="P14" s="59">
        <f t="shared" si="114"/>
        <v>0.1091851774488071</v>
      </c>
      <c r="Q14" s="59">
        <f t="shared" ref="Q14:R14" si="115">IF(Q10="","",IFERROR(Q12/Q13,""))</f>
        <v>0.1091851774488071</v>
      </c>
      <c r="R14" s="59">
        <f t="shared" si="115"/>
        <v>0.1091851774488071</v>
      </c>
      <c r="S14" s="59">
        <f t="shared" ref="S14:T14" si="116">IF(S10="","",IFERROR(S12/S13,""))</f>
        <v>0.1091851774488071</v>
      </c>
      <c r="T14" s="59">
        <f t="shared" si="116"/>
        <v>0.1091851774488071</v>
      </c>
      <c r="U14" s="59">
        <f t="shared" ref="U14:V14" si="117">IF(U10="","",IFERROR(U12/U13,""))</f>
        <v>0.1091851774488071</v>
      </c>
      <c r="V14" s="59">
        <f t="shared" si="117"/>
        <v>0.1091851774488071</v>
      </c>
      <c r="W14" s="59">
        <f t="shared" ref="W14:X14" si="118">IF(W10="","",IFERROR(W12/W13,""))</f>
        <v>0.1091851774488071</v>
      </c>
      <c r="X14" s="59">
        <f t="shared" si="118"/>
        <v>0.1091851774488071</v>
      </c>
      <c r="Y14" s="59">
        <f t="shared" ref="Y14:Z14" si="119">IF(Y10="","",IFERROR(Y12/Y13,""))</f>
        <v>0.1091851774488071</v>
      </c>
      <c r="Z14" s="59">
        <f t="shared" si="119"/>
        <v>0.1091851774488071</v>
      </c>
      <c r="AA14" s="59">
        <f t="shared" ref="AA14:AB14" si="120">IF(AA10="","",IFERROR(AA12/AA13,""))</f>
        <v>-0.17010980086020067</v>
      </c>
      <c r="AB14" s="59">
        <f t="shared" si="120"/>
        <v>-0.17010980086020067</v>
      </c>
      <c r="AC14" s="59">
        <f t="shared" ref="AC14:AD14" si="121">IF(AC10="","",IFERROR(AC12/AC13,""))</f>
        <v>-0.17010980086020067</v>
      </c>
      <c r="AD14" s="59">
        <f t="shared" si="121"/>
        <v>-0.17010980086020067</v>
      </c>
      <c r="AE14" s="59">
        <f t="shared" ref="AE14:AF14" si="122">IF(AE10="","",IFERROR(AE12/AE13,""))</f>
        <v>-0.17010980086020067</v>
      </c>
      <c r="AF14" s="59">
        <f t="shared" si="122"/>
        <v>-0.17010980086020067</v>
      </c>
      <c r="AG14" s="59">
        <f t="shared" ref="AG14:AH14" si="123">IF(AG10="","",IFERROR(AG12/AG13,""))</f>
        <v>-0.17010980086020067</v>
      </c>
      <c r="AH14" s="59">
        <f t="shared" si="123"/>
        <v>-0.17010980086020067</v>
      </c>
      <c r="AI14" s="59">
        <f t="shared" ref="AI14:AJ14" si="124">IF(AI10="","",IFERROR(AI12/AI13,""))</f>
        <v>-0.17010980086020067</v>
      </c>
      <c r="AJ14" s="59">
        <f t="shared" si="124"/>
        <v>-0.17010980086020067</v>
      </c>
      <c r="AK14" s="59">
        <f t="shared" ref="AK14:AL14" si="125">IF(AK10="","",IFERROR(AK12/AK13,""))</f>
        <v>-0.17010980086020067</v>
      </c>
      <c r="AL14" s="59">
        <f t="shared" si="125"/>
        <v>-0.17010980086020067</v>
      </c>
      <c r="AM14" s="59">
        <f t="shared" ref="AM14:AN14" si="126">IF(AM10="","",IFERROR(AM12/AM13,""))</f>
        <v>-0.27345718071365355</v>
      </c>
      <c r="AN14" s="59">
        <f t="shared" si="126"/>
        <v>-0.27345718071365355</v>
      </c>
      <c r="AO14" s="59">
        <f t="shared" ref="AO14:AP14" si="127">IF(AO10="","",IFERROR(AO12/AO13,""))</f>
        <v>-0.27345718071365355</v>
      </c>
      <c r="AP14" s="59">
        <f t="shared" si="127"/>
        <v>-0.27345718071365355</v>
      </c>
      <c r="AQ14" s="59">
        <f t="shared" ref="AQ14:AR14" si="128">IF(AQ10="","",IFERROR(AQ12/AQ13,""))</f>
        <v>-0.27345718071365355</v>
      </c>
      <c r="AR14" s="59">
        <f t="shared" si="128"/>
        <v>-0.27345718071365355</v>
      </c>
      <c r="AS14" s="59">
        <f t="shared" ref="AS14:AT14" si="129">IF(AS10="","",IFERROR(AS12/AS13,""))</f>
        <v>-0.27345718071365355</v>
      </c>
      <c r="AT14" s="59">
        <f t="shared" si="129"/>
        <v>-0.27345718071365355</v>
      </c>
      <c r="AU14" s="59">
        <f t="shared" ref="AU14:AV14" si="130">IF(AU10="","",IFERROR(AU12/AU13,""))</f>
        <v>-0.27345718071365355</v>
      </c>
      <c r="AV14" s="59">
        <f t="shared" si="130"/>
        <v>-0.27345718071365355</v>
      </c>
      <c r="AW14" s="59">
        <f t="shared" ref="AW14:AX14" si="131">IF(AW10="","",IFERROR(AW12/AW13,""))</f>
        <v>-0.27345718071365355</v>
      </c>
      <c r="AX14" s="59">
        <f t="shared" si="131"/>
        <v>-0.27345718071365355</v>
      </c>
      <c r="AY14" s="59">
        <f t="shared" ref="AY14:AZ14" si="132">IF(AY10="","",IFERROR(AY12/AY13,""))</f>
        <v>-8.2887256097855896E-2</v>
      </c>
      <c r="AZ14" s="59">
        <f t="shared" si="132"/>
        <v>-8.2887256097855896E-2</v>
      </c>
      <c r="BA14" s="59">
        <f t="shared" ref="BA14:BB14" si="133">IF(BA10="","",IFERROR(BA12/BA13,""))</f>
        <v>-8.2887256097855896E-2</v>
      </c>
      <c r="BB14" s="59">
        <f t="shared" si="133"/>
        <v>-8.2887256097855896E-2</v>
      </c>
      <c r="BC14" s="59">
        <f t="shared" ref="BC14:BD14" si="134">IF(BC10="","",IFERROR(BC12/BC13,""))</f>
        <v>-8.2887256097855896E-2</v>
      </c>
      <c r="BD14" s="59">
        <f t="shared" si="134"/>
        <v>-8.2887256097855896E-2</v>
      </c>
      <c r="BE14" s="59">
        <f t="shared" ref="BE14:BF14" si="135">IF(BE10="","",IFERROR(BE12/BE13,""))</f>
        <v>-8.2887256097855896E-2</v>
      </c>
      <c r="BF14" s="59">
        <f t="shared" si="135"/>
        <v>-8.2887256097855896E-2</v>
      </c>
      <c r="BG14" s="59">
        <f t="shared" ref="BG14:BH14" si="136">IF(BG10="","",IFERROR(BG12/BG13,""))</f>
        <v>-8.2887256097855896E-2</v>
      </c>
      <c r="BH14" s="59">
        <f t="shared" si="136"/>
        <v>-8.2887256097855896E-2</v>
      </c>
      <c r="BI14" s="59">
        <f t="shared" ref="BI14:BJ14" si="137">IF(BI10="","",IFERROR(BI12/BI13,""))</f>
        <v>-8.2887256097855896E-2</v>
      </c>
      <c r="BJ14" s="59">
        <f t="shared" si="137"/>
        <v>-8.2887256097855896E-2</v>
      </c>
      <c r="BK14" s="59">
        <f t="shared" ref="BK14:BL14" si="138">IF(BK10="","",IFERROR(BK12/BK13,""))</f>
        <v>0.12766938715539816</v>
      </c>
      <c r="BL14" s="59" t="str">
        <f t="shared" si="138"/>
        <v/>
      </c>
    </row>
    <row r="15" spans="1:65" x14ac:dyDescent="0.25">
      <c r="A15" s="281"/>
      <c r="B15" s="65" t="s">
        <v>51</v>
      </c>
      <c r="C15" s="57">
        <f t="shared" ref="C15:D15" si="139">IF(C10="","",ROUND(C14*C10,2))</f>
        <v>-17996.03</v>
      </c>
      <c r="D15" s="57">
        <f t="shared" si="139"/>
        <v>-17828.82</v>
      </c>
      <c r="E15" s="57">
        <f t="shared" ref="E15:F15" si="140">IF(E10="","",ROUND(E14*E10,2))</f>
        <v>-13698.34</v>
      </c>
      <c r="F15" s="57">
        <f t="shared" si="140"/>
        <v>-12419.68</v>
      </c>
      <c r="G15" s="57">
        <f t="shared" ref="G15:H15" si="141">IF(G10="","",ROUND(G14*G10,2))</f>
        <v>-15595.43</v>
      </c>
      <c r="H15" s="57">
        <f t="shared" si="141"/>
        <v>-19419.18</v>
      </c>
      <c r="I15" s="57">
        <f t="shared" ref="I15:J15" si="142">IF(I10="","",ROUND(I14*I10,2))</f>
        <v>-18927.88</v>
      </c>
      <c r="J15" s="57">
        <f t="shared" si="142"/>
        <v>-18118.43</v>
      </c>
      <c r="K15" s="57">
        <f t="shared" ref="K15:L15" si="143">IF(K10="","",ROUND(K14*K10,2))</f>
        <v>-14686.23</v>
      </c>
      <c r="L15" s="57">
        <f t="shared" si="143"/>
        <v>-14677.84</v>
      </c>
      <c r="M15" s="57">
        <f t="shared" ref="M15:N15" si="144">IF(M10="","",ROUND(M14*M10,2))</f>
        <v>-16957.169999999998</v>
      </c>
      <c r="N15" s="57">
        <f t="shared" si="144"/>
        <v>-20227.96</v>
      </c>
      <c r="O15" s="57">
        <f t="shared" ref="O15:P15" si="145">IF(O10="","",ROUND(O14*O10,2))</f>
        <v>27075.87</v>
      </c>
      <c r="P15" s="57">
        <f t="shared" si="145"/>
        <v>41869.919999999998</v>
      </c>
      <c r="Q15" s="57">
        <f t="shared" ref="Q15:R15" si="146">IF(Q10="","",ROUND(Q14*Q10,2))</f>
        <v>33303.57</v>
      </c>
      <c r="R15" s="57">
        <f t="shared" si="146"/>
        <v>32560.29</v>
      </c>
      <c r="S15" s="57">
        <f t="shared" ref="S15:T15" si="147">IF(S10="","",ROUND(S14*S10,2))</f>
        <v>38841.39</v>
      </c>
      <c r="T15" s="57">
        <f t="shared" si="147"/>
        <v>45977.98</v>
      </c>
      <c r="U15" s="57">
        <f t="shared" ref="U15:V15" si="148">IF(U10="","",ROUND(U14*U10,2))</f>
        <v>45995.38</v>
      </c>
      <c r="V15" s="57">
        <f t="shared" si="148"/>
        <v>46474.38</v>
      </c>
      <c r="W15" s="57">
        <f t="shared" ref="W15:X15" si="149">IF(W10="","",ROUND(W14*W10,2))</f>
        <v>38765.449999999997</v>
      </c>
      <c r="X15" s="57">
        <f t="shared" si="149"/>
        <v>34659.79</v>
      </c>
      <c r="Y15" s="57">
        <f t="shared" ref="Y15:Z15" si="150">IF(Y10="","",ROUND(Y14*Y10,2))</f>
        <v>39489.65</v>
      </c>
      <c r="Z15" s="57">
        <f t="shared" si="150"/>
        <v>46633.93</v>
      </c>
      <c r="AA15" s="57">
        <f t="shared" ref="AA15:AB15" si="151">IF(AA10="","",ROUND(AA14*AA10,2))</f>
        <v>-59971.88</v>
      </c>
      <c r="AB15" s="57">
        <f t="shared" si="151"/>
        <v>-34460.21</v>
      </c>
      <c r="AC15" s="57">
        <f t="shared" ref="AC15:AD15" si="152">IF(AC10="","",ROUND(AC14*AC10,2))</f>
        <v>-30482.11</v>
      </c>
      <c r="AD15" s="57">
        <f t="shared" si="152"/>
        <v>-29523.43</v>
      </c>
      <c r="AE15" s="57">
        <f t="shared" ref="AE15:AF15" si="153">IF(AE10="","",ROUND(AE14*AE10,2))</f>
        <v>-34337.879999999997</v>
      </c>
      <c r="AF15" s="57">
        <f t="shared" si="153"/>
        <v>-41091.919999999998</v>
      </c>
      <c r="AG15" s="57">
        <f t="shared" ref="AG15:AH15" si="154">IF(AG10="","",ROUND(AG14*AG10,2))</f>
        <v>-40250.86</v>
      </c>
      <c r="AH15" s="57">
        <f t="shared" si="154"/>
        <v>-36905.46</v>
      </c>
      <c r="AI15" s="57">
        <f t="shared" ref="AI15:AJ15" si="155">IF(AI10="","",ROUND(AI14*AI10,2))</f>
        <v>-30354.95</v>
      </c>
      <c r="AJ15" s="57">
        <f t="shared" si="155"/>
        <v>-28938.2</v>
      </c>
      <c r="AK15" s="57">
        <f t="shared" ref="AK15:AL15" si="156">IF(AK10="","",ROUND(AK14*AK10,2))</f>
        <v>-36146.32</v>
      </c>
      <c r="AL15" s="57">
        <f t="shared" si="156"/>
        <v>-41356.58</v>
      </c>
      <c r="AM15" s="57">
        <f t="shared" ref="AM15:AN15" si="157">IF(AM10="","",ROUND(AM14*AM10,2))</f>
        <v>-51287.19</v>
      </c>
      <c r="AN15" s="57">
        <f t="shared" si="157"/>
        <v>-37406.94</v>
      </c>
      <c r="AO15" s="57">
        <f t="shared" ref="AO15:AP15" si="158">IF(AO10="","",ROUND(AO14*AO10,2))</f>
        <v>-34363.08</v>
      </c>
      <c r="AP15" s="57">
        <f t="shared" si="158"/>
        <v>-31707.18</v>
      </c>
      <c r="AQ15" s="57">
        <f t="shared" ref="AQ15:AR15" si="159">IF(AQ10="","",ROUND(AQ14*AQ10,2))</f>
        <v>-38111.519999999997</v>
      </c>
      <c r="AR15" s="57">
        <f t="shared" si="159"/>
        <v>-44222.96</v>
      </c>
      <c r="AS15" s="57">
        <f t="shared" ref="AS15:AT15" si="160">IF(AS10="","",ROUND(AS14*AS10,2))</f>
        <v>-45175.25</v>
      </c>
      <c r="AT15" s="57">
        <f t="shared" si="160"/>
        <v>-43726.97</v>
      </c>
      <c r="AU15" s="57">
        <f t="shared" ref="AU15:AV15" si="161">IF(AU10="","",ROUND(AU14*AU10,2))</f>
        <v>-37032.21</v>
      </c>
      <c r="AV15" s="57">
        <f t="shared" si="161"/>
        <v>-34046.879999999997</v>
      </c>
      <c r="AW15" s="57">
        <f t="shared" ref="AW15:AX15" si="162">IF(AW10="","",ROUND(AW14*AW10,2))</f>
        <v>-39135.71</v>
      </c>
      <c r="AX15" s="57">
        <f t="shared" si="162"/>
        <v>-47215.65</v>
      </c>
      <c r="AY15" s="57">
        <f t="shared" ref="AY15:AZ15" si="163">IF(AY10="","",ROUND(AY14*AY10,2))</f>
        <v>-15100.77</v>
      </c>
      <c r="AZ15" s="57">
        <f t="shared" si="163"/>
        <v>-13789.73</v>
      </c>
      <c r="BA15" s="57">
        <f t="shared" ref="BA15:BB15" si="164">IF(BA10="","",ROUND(BA14*BA10,2))</f>
        <v>-13405.68</v>
      </c>
      <c r="BB15" s="57">
        <f t="shared" si="164"/>
        <v>-12767</v>
      </c>
      <c r="BC15" s="57">
        <f t="shared" ref="BC15:BD15" si="165">IF(BC10="","",ROUND(BC14*BC10,2))</f>
        <v>-15604.25</v>
      </c>
      <c r="BD15" s="57">
        <f t="shared" si="165"/>
        <v>-18658.240000000002</v>
      </c>
      <c r="BE15" s="57">
        <f t="shared" ref="BE15:BF15" si="166">IF(BE10="","",ROUND(BE14*BE10,2))</f>
        <v>-17510.7</v>
      </c>
      <c r="BF15" s="57">
        <f t="shared" si="166"/>
        <v>-17048.64</v>
      </c>
      <c r="BG15" s="57">
        <f t="shared" ref="BG15:BH15" si="167">IF(BG10="","",ROUND(BG14*BG10,2))</f>
        <v>-14381.12</v>
      </c>
      <c r="BH15" s="57">
        <f t="shared" si="167"/>
        <v>-12880.57</v>
      </c>
      <c r="BI15" s="57">
        <f t="shared" ref="BI15" si="168">IF(BI10="","",ROUND(BI14*BI10,2))</f>
        <v>-15768.3</v>
      </c>
      <c r="BJ15" s="57">
        <f>IF(BJ10="","",ROUND(BJ14*BJ10,2))</f>
        <v>-19106.68</v>
      </c>
      <c r="BK15" s="57">
        <f t="shared" ref="BK15" si="169">IF(BK10="","",ROUND(BK14*BK10,2))</f>
        <v>21231.18</v>
      </c>
      <c r="BL15" s="57">
        <f>115314.714535312/12</f>
        <v>9609.5595446093339</v>
      </c>
    </row>
    <row r="16" spans="1:65" x14ac:dyDescent="0.25">
      <c r="A16" s="68"/>
      <c r="B16" s="66"/>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64" x14ac:dyDescent="0.25">
      <c r="A17" s="281" t="s">
        <v>34</v>
      </c>
      <c r="B17" s="64" t="s">
        <v>47</v>
      </c>
      <c r="C17" s="56">
        <f>IF(+'M3 Allocations - TD'!O53="","",'M3 Allocations - TD'!O53)</f>
        <v>108510.2</v>
      </c>
      <c r="D17" s="56">
        <f>IF(+'M3 Allocations - TD'!P53="","",'M3 Allocations - TD'!P53)</f>
        <v>102469.35</v>
      </c>
      <c r="E17" s="56">
        <f>IF(+'M3 Allocations - TD'!Q53="","",'M3 Allocations - TD'!Q53)</f>
        <v>87569.04</v>
      </c>
      <c r="F17" s="56">
        <f>IF(+'M3 Allocations - TD'!R53="","",'M3 Allocations - TD'!R53)</f>
        <v>81676.990000000005</v>
      </c>
      <c r="G17" s="56">
        <f>IF(+'M3 Allocations - TD'!S53="","",'M3 Allocations - TD'!S53)</f>
        <v>96788.800000000003</v>
      </c>
      <c r="H17" s="56">
        <f>IF(+'M3 Allocations - TD'!T53="","",'M3 Allocations - TD'!T53)</f>
        <v>113009.35</v>
      </c>
      <c r="I17" s="56">
        <f>IF(+'M3 Allocations - TD'!U53="","",'M3 Allocations - TD'!U53)</f>
        <v>112596.34</v>
      </c>
      <c r="J17" s="56">
        <f>IF(+'M3 Allocations - TD'!V53="","",'M3 Allocations - TD'!V53)</f>
        <v>112065.74</v>
      </c>
      <c r="K17" s="56">
        <f>IF(+'M3 Allocations - TD'!W53="","",'M3 Allocations - TD'!W53)</f>
        <v>95621.75</v>
      </c>
      <c r="L17" s="56">
        <f>IF(+'M3 Allocations - TD'!X53="","",'M3 Allocations - TD'!X53)</f>
        <v>93151.01</v>
      </c>
      <c r="M17" s="56">
        <f>IF(+'M3 Allocations - TD'!Y53="","",'M3 Allocations - TD'!Y53)</f>
        <v>100114.88</v>
      </c>
      <c r="N17" s="56">
        <f>IF(+'M3 Allocations - TD'!Z53="","",'M3 Allocations - TD'!Z53)</f>
        <v>107296.64</v>
      </c>
      <c r="O17" s="56">
        <f>IF(+'M3 Allocations - TD'!AA53="","",'M3 Allocations - TD'!AA53)</f>
        <v>327311.55</v>
      </c>
      <c r="P17" s="56">
        <f>IF(+'M3 Allocations - TD'!AB53="","",'M3 Allocations - TD'!AB53)</f>
        <v>570755.55000000005</v>
      </c>
      <c r="Q17" s="56">
        <f>IF(+'M3 Allocations - TD'!AC53="","",'M3 Allocations - TD'!AC53)</f>
        <v>508276</v>
      </c>
      <c r="R17" s="56">
        <f>IF(+'M3 Allocations - TD'!AD53="","",'M3 Allocations - TD'!AD53)</f>
        <v>517711.44</v>
      </c>
      <c r="S17" s="56">
        <f>IF(+'M3 Allocations - TD'!AE53="","",'M3 Allocations - TD'!AE53)</f>
        <v>575315.39</v>
      </c>
      <c r="T17" s="56">
        <f>IF(+'M3 Allocations - TD'!AF53="","",'M3 Allocations - TD'!AF53)</f>
        <v>673826.02</v>
      </c>
      <c r="U17" s="56">
        <f>IF(+'M3 Allocations - TD'!AG53="","",'M3 Allocations - TD'!AG53)</f>
        <v>667802.68999999994</v>
      </c>
      <c r="V17" s="56">
        <f>IF(+'M3 Allocations - TD'!AH53="","",'M3 Allocations - TD'!AH53)</f>
        <v>680633.38</v>
      </c>
      <c r="W17" s="56">
        <f>IF(+'M3 Allocations - TD'!AI53="","",'M3 Allocations - TD'!AI53)</f>
        <v>598281.09</v>
      </c>
      <c r="X17" s="56">
        <f>IF(+'M3 Allocations - TD'!AJ53="","",'M3 Allocations - TD'!AJ53)</f>
        <v>531580.77</v>
      </c>
      <c r="Y17" s="56">
        <f>IF(+'M3 Allocations - TD'!AK53="","",'M3 Allocations - TD'!AK53)</f>
        <v>580996.63</v>
      </c>
      <c r="Z17" s="56">
        <f>IF(+'M3 Allocations - TD'!AL53="","",'M3 Allocations - TD'!AL53)</f>
        <v>621109.79</v>
      </c>
      <c r="AA17" s="56">
        <f>IF(+'M3 Allocations - TD'!AM53="","",'M3 Allocations - TD'!AM53)</f>
        <v>504253.87</v>
      </c>
      <c r="AB17" s="56">
        <f>IF(+'M3 Allocations - TD'!AN53="","",'M3 Allocations - TD'!AN53)</f>
        <v>301892.69</v>
      </c>
      <c r="AC17" s="56">
        <f>IF(+'M3 Allocations - TD'!AO53="","",'M3 Allocations - TD'!AO53)</f>
        <v>280545.46999999997</v>
      </c>
      <c r="AD17" s="56">
        <f>IF(+'M3 Allocations - TD'!AP53="","",'M3 Allocations - TD'!AP53)</f>
        <v>290164.87</v>
      </c>
      <c r="AE17" s="56">
        <f>IF(+'M3 Allocations - TD'!AQ53="","",'M3 Allocations - TD'!AQ53)</f>
        <v>325613.77</v>
      </c>
      <c r="AF17" s="56">
        <f>IF(+'M3 Allocations - TD'!AR53="","",'M3 Allocations - TD'!AR53)</f>
        <v>365143.97</v>
      </c>
      <c r="AG17" s="56">
        <f>IF(+'M3 Allocations - TD'!AS53="","",'M3 Allocations - TD'!AS53)</f>
        <v>362549.21</v>
      </c>
      <c r="AH17" s="56">
        <f>IF(+'M3 Allocations - TD'!AT53="","",'M3 Allocations - TD'!AT53)</f>
        <v>346741.86</v>
      </c>
      <c r="AI17" s="56">
        <f>IF(+'M3 Allocations - TD'!AU53="","",'M3 Allocations - TD'!AU53)</f>
        <v>297961.13</v>
      </c>
      <c r="AJ17" s="56">
        <f>IF(+'M3 Allocations - TD'!AV53="","",'M3 Allocations - TD'!AV53)</f>
        <v>289745.45</v>
      </c>
      <c r="AK17" s="56">
        <f>IF(+'M3 Allocations - TD'!AW53="","",'M3 Allocations - TD'!AW53)</f>
        <v>322981.7</v>
      </c>
      <c r="AL17" s="56">
        <f>IF(+'M3 Allocations - TD'!AX53="","",'M3 Allocations - TD'!AX53)</f>
        <v>335255.09999999998</v>
      </c>
      <c r="AM17" s="56">
        <f>IF(+'M3 Allocations - TD'!AY53="","",'M3 Allocations - TD'!AY53)</f>
        <v>503655.97</v>
      </c>
      <c r="AN17" s="56">
        <f>IF(+'M3 Allocations - TD'!AZ53="","",'M3 Allocations - TD'!AZ53)</f>
        <v>786219.87</v>
      </c>
      <c r="AO17" s="56">
        <f>IF(+'M3 Allocations - TD'!BA53="","",'M3 Allocations - TD'!BA53)</f>
        <v>753502.02</v>
      </c>
      <c r="AP17" s="56">
        <f>IF(+'M3 Allocations - TD'!BB53="","",'M3 Allocations - TD'!BB53)</f>
        <v>749883.21</v>
      </c>
      <c r="AQ17" s="56">
        <f>IF(+'M3 Allocations - TD'!BC53="","",'M3 Allocations - TD'!BC53)</f>
        <v>846049.12</v>
      </c>
      <c r="AR17" s="56">
        <f>IF(+'M3 Allocations - TD'!BD53="","",'M3 Allocations - TD'!BD53)</f>
        <v>910940.94</v>
      </c>
      <c r="AS17" s="56">
        <f>IF(+'M3 Allocations - TD'!BE53="","",'M3 Allocations - TD'!BE53)</f>
        <v>943469.07</v>
      </c>
      <c r="AT17" s="56">
        <f>IF(+'M3 Allocations - TD'!BF53="","",'M3 Allocations - TD'!BF53)</f>
        <v>944687.32</v>
      </c>
      <c r="AU17" s="56">
        <f>IF(+'M3 Allocations - TD'!BG53="","",'M3 Allocations - TD'!BG53)</f>
        <v>830714.65</v>
      </c>
      <c r="AV17" s="56">
        <f>IF(+'M3 Allocations - TD'!BH53="","",'M3 Allocations - TD'!BH53)</f>
        <v>765733.92</v>
      </c>
      <c r="AW17" s="56">
        <f>IF(+'M3 Allocations - TD'!BI53="","",'M3 Allocations - TD'!BI53)</f>
        <v>816557.84</v>
      </c>
      <c r="AX17" s="56">
        <f>IF(+'M3 Allocations - TD'!BJ53="","",'M3 Allocations - TD'!BJ53)</f>
        <v>899820.37</v>
      </c>
      <c r="AY17" s="56">
        <f>IF(+'M3 Allocations - TD'!BK53="","",'M3 Allocations - TD'!BK53)</f>
        <v>678121.62</v>
      </c>
      <c r="AZ17" s="56">
        <f>IF(+'M3 Allocations - TD'!BL53="","",'M3 Allocations - TD'!BL53)</f>
        <v>394853.96</v>
      </c>
      <c r="BA17" s="56">
        <f>IF(+'M3 Allocations - TD'!BM53="","",'M3 Allocations - TD'!BM53)</f>
        <v>390347.84</v>
      </c>
      <c r="BB17" s="56">
        <f>IF(+'M3 Allocations - TD'!BN53="","",'M3 Allocations - TD'!BN53)</f>
        <v>392311.86</v>
      </c>
      <c r="BC17" s="56">
        <f>IF(+'M3 Allocations - TD'!BO53="","",'M3 Allocations - TD'!BO53)</f>
        <v>444401.89</v>
      </c>
      <c r="BD17" s="56">
        <f>IF(+'M3 Allocations - TD'!BP53="","",'M3 Allocations - TD'!BP53)</f>
        <v>501845.24</v>
      </c>
      <c r="BE17" s="56">
        <f>IF(+'M3 Allocations - TD'!BQ53="","",'M3 Allocations - TD'!BQ53)</f>
        <v>470958.47</v>
      </c>
      <c r="BF17" s="56">
        <f>IF(+'M3 Allocations - TD'!BR53="","",'M3 Allocations - TD'!BR53)</f>
        <v>471187.07</v>
      </c>
      <c r="BG17" s="56">
        <f>IF(+'M3 Allocations - TD'!BS53="","",'M3 Allocations - TD'!BS53)</f>
        <v>420272.21</v>
      </c>
      <c r="BH17" s="56">
        <f>IF(+'M3 Allocations - TD'!BT53="","",'M3 Allocations - TD'!BT53)</f>
        <v>384054.89</v>
      </c>
      <c r="BI17" s="56">
        <f>IF(+'M3 Allocations - TD'!BU53="","",'M3 Allocations - TD'!BU53)</f>
        <v>420308.5</v>
      </c>
      <c r="BJ17" s="56">
        <f>IF(+'M3 Allocations - TD'!BV53="","",'M3 Allocations - TD'!BV53)</f>
        <v>461466.22</v>
      </c>
      <c r="BK17" s="56">
        <f>IF(+'M3 Allocations - TD'!BW53="","",'M3 Allocations - TD'!BW53)</f>
        <v>272202.73</v>
      </c>
      <c r="BL17" s="275"/>
    </row>
    <row r="18" spans="1:64" x14ac:dyDescent="0.25">
      <c r="A18" s="281"/>
      <c r="B18" s="64" t="s">
        <v>49</v>
      </c>
      <c r="C18" s="102">
        <v>2.4889105871721853E-4</v>
      </c>
      <c r="D18" s="79">
        <f t="shared" ref="D18:BJ19" si="170">IF(D17="","",C18)</f>
        <v>2.4889105871721853E-4</v>
      </c>
      <c r="E18" s="79">
        <f t="shared" si="170"/>
        <v>2.4889105871721853E-4</v>
      </c>
      <c r="F18" s="79">
        <f t="shared" si="170"/>
        <v>2.4889105871721853E-4</v>
      </c>
      <c r="G18" s="79">
        <f t="shared" si="170"/>
        <v>2.4889105871721853E-4</v>
      </c>
      <c r="H18" s="79">
        <f t="shared" si="170"/>
        <v>2.4889105871721853E-4</v>
      </c>
      <c r="I18" s="79">
        <f t="shared" si="170"/>
        <v>2.4889105871721853E-4</v>
      </c>
      <c r="J18" s="79">
        <f t="shared" si="170"/>
        <v>2.4889105871721853E-4</v>
      </c>
      <c r="K18" s="79">
        <f t="shared" si="170"/>
        <v>2.4889105871721853E-4</v>
      </c>
      <c r="L18" s="79">
        <f t="shared" si="170"/>
        <v>2.4889105871721853E-4</v>
      </c>
      <c r="M18" s="79">
        <f t="shared" si="170"/>
        <v>2.4889105871721853E-4</v>
      </c>
      <c r="N18" s="79">
        <f t="shared" si="170"/>
        <v>2.4889105871721853E-4</v>
      </c>
      <c r="O18" s="103">
        <v>9.6618899912876528E-4</v>
      </c>
      <c r="P18" s="79">
        <f t="shared" si="170"/>
        <v>9.6618899912876528E-4</v>
      </c>
      <c r="Q18" s="79">
        <f t="shared" si="170"/>
        <v>9.6618899912876528E-4</v>
      </c>
      <c r="R18" s="79">
        <f t="shared" si="170"/>
        <v>9.6618899912876528E-4</v>
      </c>
      <c r="S18" s="79">
        <f t="shared" si="170"/>
        <v>9.6618899912876528E-4</v>
      </c>
      <c r="T18" s="79">
        <f t="shared" si="170"/>
        <v>9.6618899912876528E-4</v>
      </c>
      <c r="U18" s="79">
        <f t="shared" si="170"/>
        <v>9.6618899912876528E-4</v>
      </c>
      <c r="V18" s="79">
        <f t="shared" si="170"/>
        <v>9.6618899912876528E-4</v>
      </c>
      <c r="W18" s="79">
        <f t="shared" si="170"/>
        <v>9.6618899912876528E-4</v>
      </c>
      <c r="X18" s="79">
        <f t="shared" si="170"/>
        <v>9.6618899912876528E-4</v>
      </c>
      <c r="Y18" s="79">
        <f t="shared" si="170"/>
        <v>9.6618899912876528E-4</v>
      </c>
      <c r="Z18" s="79">
        <f t="shared" si="170"/>
        <v>9.6618899912876528E-4</v>
      </c>
      <c r="AA18" s="103">
        <v>6.0468274277493688E-4</v>
      </c>
      <c r="AB18" s="79">
        <f t="shared" si="170"/>
        <v>6.0468274277493688E-4</v>
      </c>
      <c r="AC18" s="79">
        <f t="shared" si="170"/>
        <v>6.0468274277493688E-4</v>
      </c>
      <c r="AD18" s="79">
        <f t="shared" si="170"/>
        <v>6.0468274277493688E-4</v>
      </c>
      <c r="AE18" s="79">
        <f t="shared" si="170"/>
        <v>6.0468274277493688E-4</v>
      </c>
      <c r="AF18" s="79">
        <f t="shared" si="170"/>
        <v>6.0468274277493688E-4</v>
      </c>
      <c r="AG18" s="79">
        <f t="shared" si="170"/>
        <v>6.0468274277493688E-4</v>
      </c>
      <c r="AH18" s="79">
        <f t="shared" si="170"/>
        <v>6.0468274277493688E-4</v>
      </c>
      <c r="AI18" s="79">
        <f t="shared" si="170"/>
        <v>6.0468274277493688E-4</v>
      </c>
      <c r="AJ18" s="79">
        <f t="shared" si="170"/>
        <v>6.0468274277493688E-4</v>
      </c>
      <c r="AK18" s="79">
        <f t="shared" si="170"/>
        <v>6.0468274277493688E-4</v>
      </c>
      <c r="AL18" s="79">
        <f t="shared" si="170"/>
        <v>6.0468274277493688E-4</v>
      </c>
      <c r="AM18" s="103">
        <v>1.1096507899411036E-3</v>
      </c>
      <c r="AN18" s="79">
        <f t="shared" si="170"/>
        <v>1.1096507899411036E-3</v>
      </c>
      <c r="AO18" s="79">
        <f t="shared" si="170"/>
        <v>1.1096507899411036E-3</v>
      </c>
      <c r="AP18" s="79">
        <f t="shared" si="170"/>
        <v>1.1096507899411036E-3</v>
      </c>
      <c r="AQ18" s="79">
        <f t="shared" si="170"/>
        <v>1.1096507899411036E-3</v>
      </c>
      <c r="AR18" s="79">
        <f t="shared" si="170"/>
        <v>1.1096507899411036E-3</v>
      </c>
      <c r="AS18" s="79">
        <f t="shared" si="170"/>
        <v>1.1096507899411036E-3</v>
      </c>
      <c r="AT18" s="79">
        <f t="shared" si="170"/>
        <v>1.1096507899411036E-3</v>
      </c>
      <c r="AU18" s="79">
        <f t="shared" si="170"/>
        <v>1.1096507899411036E-3</v>
      </c>
      <c r="AV18" s="79">
        <f t="shared" si="170"/>
        <v>1.1096507899411036E-3</v>
      </c>
      <c r="AW18" s="79">
        <f t="shared" si="170"/>
        <v>1.1096507899411036E-3</v>
      </c>
      <c r="AX18" s="79">
        <f t="shared" si="170"/>
        <v>1.1096507899411036E-3</v>
      </c>
      <c r="AY18" s="103">
        <f>0.000963361385939882+0</f>
        <v>9.6336138593988198E-4</v>
      </c>
      <c r="AZ18" s="79">
        <f t="shared" si="170"/>
        <v>9.6336138593988198E-4</v>
      </c>
      <c r="BA18" s="79">
        <f t="shared" si="170"/>
        <v>9.6336138593988198E-4</v>
      </c>
      <c r="BB18" s="79">
        <f t="shared" si="170"/>
        <v>9.6336138593988198E-4</v>
      </c>
      <c r="BC18" s="79">
        <f t="shared" si="170"/>
        <v>9.6336138593988198E-4</v>
      </c>
      <c r="BD18" s="79">
        <f t="shared" si="170"/>
        <v>9.6336138593988198E-4</v>
      </c>
      <c r="BE18" s="79">
        <f t="shared" si="170"/>
        <v>9.6336138593988198E-4</v>
      </c>
      <c r="BF18" s="79">
        <f t="shared" si="170"/>
        <v>9.6336138593988198E-4</v>
      </c>
      <c r="BG18" s="79">
        <f t="shared" si="170"/>
        <v>9.6336138593988198E-4</v>
      </c>
      <c r="BH18" s="79">
        <f t="shared" si="170"/>
        <v>9.6336138593988198E-4</v>
      </c>
      <c r="BI18" s="79">
        <f t="shared" si="170"/>
        <v>9.6336138593988198E-4</v>
      </c>
      <c r="BJ18" s="79">
        <f t="shared" si="170"/>
        <v>9.6336138593988198E-4</v>
      </c>
      <c r="BK18" s="79">
        <v>2.1594830290567934E-4</v>
      </c>
      <c r="BL18" s="79"/>
    </row>
    <row r="19" spans="1:64" x14ac:dyDescent="0.25">
      <c r="A19" s="281"/>
      <c r="B19" s="64" t="s">
        <v>48</v>
      </c>
      <c r="C19" s="103">
        <v>-6.7783107808315319E-5</v>
      </c>
      <c r="D19" s="79">
        <f t="shared" si="170"/>
        <v>-6.7783107808315319E-5</v>
      </c>
      <c r="E19" s="79">
        <f t="shared" si="170"/>
        <v>-6.7783107808315319E-5</v>
      </c>
      <c r="F19" s="79">
        <f t="shared" si="170"/>
        <v>-6.7783107808315319E-5</v>
      </c>
      <c r="G19" s="79">
        <f t="shared" si="170"/>
        <v>-6.7783107808315319E-5</v>
      </c>
      <c r="H19" s="79">
        <f t="shared" si="170"/>
        <v>-6.7783107808315319E-5</v>
      </c>
      <c r="I19" s="79">
        <f t="shared" si="170"/>
        <v>-6.7783107808315319E-5</v>
      </c>
      <c r="J19" s="79">
        <f t="shared" si="170"/>
        <v>-6.7783107808315319E-5</v>
      </c>
      <c r="K19" s="79">
        <f t="shared" si="170"/>
        <v>-6.7783107808315319E-5</v>
      </c>
      <c r="L19" s="79">
        <f t="shared" si="170"/>
        <v>-6.7783107808315319E-5</v>
      </c>
      <c r="M19" s="79">
        <f t="shared" si="170"/>
        <v>-6.7783107808315319E-5</v>
      </c>
      <c r="N19" s="79">
        <f t="shared" si="170"/>
        <v>-6.7783107808315319E-5</v>
      </c>
      <c r="O19" s="103">
        <v>8.6183052517347037E-5</v>
      </c>
      <c r="P19" s="79">
        <f t="shared" si="170"/>
        <v>8.6183052517347037E-5</v>
      </c>
      <c r="Q19" s="79">
        <f t="shared" si="170"/>
        <v>8.6183052517347037E-5</v>
      </c>
      <c r="R19" s="79">
        <f t="shared" si="170"/>
        <v>8.6183052517347037E-5</v>
      </c>
      <c r="S19" s="79">
        <f t="shared" si="170"/>
        <v>8.6183052517347037E-5</v>
      </c>
      <c r="T19" s="79">
        <f t="shared" si="170"/>
        <v>8.6183052517347037E-5</v>
      </c>
      <c r="U19" s="79">
        <f t="shared" si="170"/>
        <v>8.6183052517347037E-5</v>
      </c>
      <c r="V19" s="79">
        <f t="shared" si="170"/>
        <v>8.6183052517347037E-5</v>
      </c>
      <c r="W19" s="79">
        <f t="shared" si="170"/>
        <v>8.6183052517347037E-5</v>
      </c>
      <c r="X19" s="79">
        <f t="shared" si="170"/>
        <v>8.6183052517347037E-5</v>
      </c>
      <c r="Y19" s="79">
        <f t="shared" si="170"/>
        <v>8.6183052517347037E-5</v>
      </c>
      <c r="Z19" s="79">
        <f t="shared" si="170"/>
        <v>8.6183052517347037E-5</v>
      </c>
      <c r="AA19" s="103">
        <v>-4.2938209831744348E-5</v>
      </c>
      <c r="AB19" s="79">
        <f t="shared" si="170"/>
        <v>-4.2938209831744348E-5</v>
      </c>
      <c r="AC19" s="79">
        <f t="shared" si="170"/>
        <v>-4.2938209831744348E-5</v>
      </c>
      <c r="AD19" s="79">
        <f t="shared" si="170"/>
        <v>-4.2938209831744348E-5</v>
      </c>
      <c r="AE19" s="79">
        <f t="shared" si="170"/>
        <v>-4.2938209831744348E-5</v>
      </c>
      <c r="AF19" s="79">
        <f t="shared" si="170"/>
        <v>-4.2938209831744348E-5</v>
      </c>
      <c r="AG19" s="79">
        <f t="shared" si="170"/>
        <v>-4.2938209831744348E-5</v>
      </c>
      <c r="AH19" s="79">
        <f t="shared" si="170"/>
        <v>-4.2938209831744348E-5</v>
      </c>
      <c r="AI19" s="79">
        <f t="shared" si="170"/>
        <v>-4.2938209831744348E-5</v>
      </c>
      <c r="AJ19" s="79">
        <f t="shared" si="170"/>
        <v>-4.2938209831744348E-5</v>
      </c>
      <c r="AK19" s="79">
        <f t="shared" si="170"/>
        <v>-4.2938209831744348E-5</v>
      </c>
      <c r="AL19" s="79">
        <f t="shared" si="170"/>
        <v>-4.2938209831744348E-5</v>
      </c>
      <c r="AM19" s="103">
        <v>4.2852071559616349E-4</v>
      </c>
      <c r="AN19" s="79">
        <f t="shared" si="170"/>
        <v>4.2852071559616349E-4</v>
      </c>
      <c r="AO19" s="79">
        <f t="shared" si="170"/>
        <v>4.2852071559616349E-4</v>
      </c>
      <c r="AP19" s="79">
        <f t="shared" si="170"/>
        <v>4.2852071559616349E-4</v>
      </c>
      <c r="AQ19" s="79">
        <f t="shared" si="170"/>
        <v>4.2852071559616349E-4</v>
      </c>
      <c r="AR19" s="79">
        <f t="shared" si="170"/>
        <v>4.2852071559616349E-4</v>
      </c>
      <c r="AS19" s="79">
        <f t="shared" si="170"/>
        <v>4.2852071559616349E-4</v>
      </c>
      <c r="AT19" s="79">
        <f t="shared" si="170"/>
        <v>4.2852071559616349E-4</v>
      </c>
      <c r="AU19" s="79">
        <f t="shared" si="170"/>
        <v>4.2852071559616349E-4</v>
      </c>
      <c r="AV19" s="79">
        <f t="shared" si="170"/>
        <v>4.2852071559616349E-4</v>
      </c>
      <c r="AW19" s="79">
        <f t="shared" si="170"/>
        <v>4.2852071559616349E-4</v>
      </c>
      <c r="AX19" s="79">
        <f t="shared" si="170"/>
        <v>4.2852071559616349E-4</v>
      </c>
      <c r="AY19" s="103">
        <f>-0.000174799874621917+3.51942720492386E-06</f>
        <v>-1.7128044741699313E-4</v>
      </c>
      <c r="AZ19" s="79">
        <f t="shared" si="170"/>
        <v>-1.7128044741699313E-4</v>
      </c>
      <c r="BA19" s="79">
        <f t="shared" si="170"/>
        <v>-1.7128044741699313E-4</v>
      </c>
      <c r="BB19" s="79">
        <f t="shared" si="170"/>
        <v>-1.7128044741699313E-4</v>
      </c>
      <c r="BC19" s="79">
        <f t="shared" si="170"/>
        <v>-1.7128044741699313E-4</v>
      </c>
      <c r="BD19" s="79">
        <f t="shared" si="170"/>
        <v>-1.7128044741699313E-4</v>
      </c>
      <c r="BE19" s="79">
        <f t="shared" si="170"/>
        <v>-1.7128044741699313E-4</v>
      </c>
      <c r="BF19" s="79">
        <f t="shared" si="170"/>
        <v>-1.7128044741699313E-4</v>
      </c>
      <c r="BG19" s="79">
        <f t="shared" si="170"/>
        <v>-1.7128044741699313E-4</v>
      </c>
      <c r="BH19" s="79">
        <f t="shared" si="170"/>
        <v>-1.7128044741699313E-4</v>
      </c>
      <c r="BI19" s="79">
        <f t="shared" si="170"/>
        <v>-1.7128044741699313E-4</v>
      </c>
      <c r="BJ19" s="79">
        <f t="shared" si="170"/>
        <v>-1.7128044741699313E-4</v>
      </c>
      <c r="BK19" s="79">
        <v>-1.9661414341718263E-4</v>
      </c>
      <c r="BL19" s="79"/>
    </row>
    <row r="20" spans="1:64" x14ac:dyDescent="0.25">
      <c r="A20" s="281"/>
      <c r="B20" s="64" t="s">
        <v>56</v>
      </c>
      <c r="C20" s="55">
        <f t="shared" ref="C20:D20" si="171">IF(C17="","",SUM(C18:C19))</f>
        <v>1.8110795090890323E-4</v>
      </c>
      <c r="D20" s="55">
        <f t="shared" si="171"/>
        <v>1.8110795090890323E-4</v>
      </c>
      <c r="E20" s="55">
        <f t="shared" ref="E20:F20" si="172">IF(E17="","",SUM(E18:E19))</f>
        <v>1.8110795090890323E-4</v>
      </c>
      <c r="F20" s="55">
        <f t="shared" si="172"/>
        <v>1.8110795090890323E-4</v>
      </c>
      <c r="G20" s="55">
        <f t="shared" ref="G20:H20" si="173">IF(G17="","",SUM(G18:G19))</f>
        <v>1.8110795090890323E-4</v>
      </c>
      <c r="H20" s="55">
        <f t="shared" si="173"/>
        <v>1.8110795090890323E-4</v>
      </c>
      <c r="I20" s="55">
        <f t="shared" ref="I20:J20" si="174">IF(I17="","",SUM(I18:I19))</f>
        <v>1.8110795090890323E-4</v>
      </c>
      <c r="J20" s="55">
        <f t="shared" si="174"/>
        <v>1.8110795090890323E-4</v>
      </c>
      <c r="K20" s="55">
        <f t="shared" ref="K20:L20" si="175">IF(K17="","",SUM(K18:K19))</f>
        <v>1.8110795090890323E-4</v>
      </c>
      <c r="L20" s="55">
        <f t="shared" si="175"/>
        <v>1.8110795090890323E-4</v>
      </c>
      <c r="M20" s="55">
        <f t="shared" ref="M20:N20" si="176">IF(M17="","",SUM(M18:M19))</f>
        <v>1.8110795090890323E-4</v>
      </c>
      <c r="N20" s="55">
        <f t="shared" si="176"/>
        <v>1.8110795090890323E-4</v>
      </c>
      <c r="O20" s="55">
        <f t="shared" ref="O20:P20" si="177">IF(O17="","",SUM(O18:O19))</f>
        <v>1.0523720516461123E-3</v>
      </c>
      <c r="P20" s="55">
        <f t="shared" si="177"/>
        <v>1.0523720516461123E-3</v>
      </c>
      <c r="Q20" s="55">
        <f t="shared" ref="Q20:R20" si="178">IF(Q17="","",SUM(Q18:Q19))</f>
        <v>1.0523720516461123E-3</v>
      </c>
      <c r="R20" s="55">
        <f t="shared" si="178"/>
        <v>1.0523720516461123E-3</v>
      </c>
      <c r="S20" s="55">
        <f t="shared" ref="S20:T20" si="179">IF(S17="","",SUM(S18:S19))</f>
        <v>1.0523720516461123E-3</v>
      </c>
      <c r="T20" s="55">
        <f t="shared" si="179"/>
        <v>1.0523720516461123E-3</v>
      </c>
      <c r="U20" s="55">
        <f t="shared" ref="U20:V20" si="180">IF(U17="","",SUM(U18:U19))</f>
        <v>1.0523720516461123E-3</v>
      </c>
      <c r="V20" s="55">
        <f t="shared" si="180"/>
        <v>1.0523720516461123E-3</v>
      </c>
      <c r="W20" s="55">
        <f t="shared" ref="W20:X20" si="181">IF(W17="","",SUM(W18:W19))</f>
        <v>1.0523720516461123E-3</v>
      </c>
      <c r="X20" s="55">
        <f t="shared" si="181"/>
        <v>1.0523720516461123E-3</v>
      </c>
      <c r="Y20" s="55">
        <f t="shared" ref="Y20:Z20" si="182">IF(Y17="","",SUM(Y18:Y19))</f>
        <v>1.0523720516461123E-3</v>
      </c>
      <c r="Z20" s="55">
        <f t="shared" si="182"/>
        <v>1.0523720516461123E-3</v>
      </c>
      <c r="AA20" s="55">
        <f t="shared" ref="AA20:AB20" si="183">IF(AA17="","",SUM(AA18:AA19))</f>
        <v>5.6174453294319249E-4</v>
      </c>
      <c r="AB20" s="55">
        <f t="shared" si="183"/>
        <v>5.6174453294319249E-4</v>
      </c>
      <c r="AC20" s="55">
        <f t="shared" ref="AC20:AD20" si="184">IF(AC17="","",SUM(AC18:AC19))</f>
        <v>5.6174453294319249E-4</v>
      </c>
      <c r="AD20" s="55">
        <f t="shared" si="184"/>
        <v>5.6174453294319249E-4</v>
      </c>
      <c r="AE20" s="55">
        <f t="shared" ref="AE20:AF20" si="185">IF(AE17="","",SUM(AE18:AE19))</f>
        <v>5.6174453294319249E-4</v>
      </c>
      <c r="AF20" s="55">
        <f t="shared" si="185"/>
        <v>5.6174453294319249E-4</v>
      </c>
      <c r="AG20" s="55">
        <f t="shared" ref="AG20:AH20" si="186">IF(AG17="","",SUM(AG18:AG19))</f>
        <v>5.6174453294319249E-4</v>
      </c>
      <c r="AH20" s="55">
        <f t="shared" si="186"/>
        <v>5.6174453294319249E-4</v>
      </c>
      <c r="AI20" s="55">
        <f t="shared" ref="AI20:AJ20" si="187">IF(AI17="","",SUM(AI18:AI19))</f>
        <v>5.6174453294319249E-4</v>
      </c>
      <c r="AJ20" s="55">
        <f t="shared" si="187"/>
        <v>5.6174453294319249E-4</v>
      </c>
      <c r="AK20" s="55">
        <f t="shared" ref="AK20:AL20" si="188">IF(AK17="","",SUM(AK18:AK19))</f>
        <v>5.6174453294319249E-4</v>
      </c>
      <c r="AL20" s="55">
        <f t="shared" si="188"/>
        <v>5.6174453294319249E-4</v>
      </c>
      <c r="AM20" s="55">
        <f t="shared" ref="AM20:AN20" si="189">IF(AM17="","",SUM(AM18:AM19))</f>
        <v>1.5381715055372671E-3</v>
      </c>
      <c r="AN20" s="55">
        <f t="shared" si="189"/>
        <v>1.5381715055372671E-3</v>
      </c>
      <c r="AO20" s="55">
        <f t="shared" ref="AO20:AP20" si="190">IF(AO17="","",SUM(AO18:AO19))</f>
        <v>1.5381715055372671E-3</v>
      </c>
      <c r="AP20" s="55">
        <f t="shared" si="190"/>
        <v>1.5381715055372671E-3</v>
      </c>
      <c r="AQ20" s="55">
        <f t="shared" ref="AQ20:AR20" si="191">IF(AQ17="","",SUM(AQ18:AQ19))</f>
        <v>1.5381715055372671E-3</v>
      </c>
      <c r="AR20" s="55">
        <f t="shared" si="191"/>
        <v>1.5381715055372671E-3</v>
      </c>
      <c r="AS20" s="55">
        <f t="shared" ref="AS20:AT20" si="192">IF(AS17="","",SUM(AS18:AS19))</f>
        <v>1.5381715055372671E-3</v>
      </c>
      <c r="AT20" s="55">
        <f t="shared" si="192"/>
        <v>1.5381715055372671E-3</v>
      </c>
      <c r="AU20" s="55">
        <f t="shared" ref="AU20:AV20" si="193">IF(AU17="","",SUM(AU18:AU19))</f>
        <v>1.5381715055372671E-3</v>
      </c>
      <c r="AV20" s="55">
        <f t="shared" si="193"/>
        <v>1.5381715055372671E-3</v>
      </c>
      <c r="AW20" s="55">
        <f t="shared" ref="AW20:AX20" si="194">IF(AW17="","",SUM(AW18:AW19))</f>
        <v>1.5381715055372671E-3</v>
      </c>
      <c r="AX20" s="55">
        <f t="shared" si="194"/>
        <v>1.5381715055372671E-3</v>
      </c>
      <c r="AY20" s="55">
        <f t="shared" ref="AY20:AZ20" si="195">IF(AY17="","",SUM(AY18:AY19))</f>
        <v>7.9208093852288887E-4</v>
      </c>
      <c r="AZ20" s="55">
        <f t="shared" si="195"/>
        <v>7.9208093852288887E-4</v>
      </c>
      <c r="BA20" s="55">
        <f t="shared" ref="BA20:BB20" si="196">IF(BA17="","",SUM(BA18:BA19))</f>
        <v>7.9208093852288887E-4</v>
      </c>
      <c r="BB20" s="55">
        <f t="shared" si="196"/>
        <v>7.9208093852288887E-4</v>
      </c>
      <c r="BC20" s="55">
        <f t="shared" ref="BC20:BD20" si="197">IF(BC17="","",SUM(BC18:BC19))</f>
        <v>7.9208093852288887E-4</v>
      </c>
      <c r="BD20" s="55">
        <f t="shared" si="197"/>
        <v>7.9208093852288887E-4</v>
      </c>
      <c r="BE20" s="55">
        <f t="shared" ref="BE20:BF20" si="198">IF(BE17="","",SUM(BE18:BE19))</f>
        <v>7.9208093852288887E-4</v>
      </c>
      <c r="BF20" s="55">
        <f t="shared" si="198"/>
        <v>7.9208093852288887E-4</v>
      </c>
      <c r="BG20" s="55">
        <f t="shared" ref="BG20:BH20" si="199">IF(BG17="","",SUM(BG18:BG19))</f>
        <v>7.9208093852288887E-4</v>
      </c>
      <c r="BH20" s="55">
        <f t="shared" si="199"/>
        <v>7.9208093852288887E-4</v>
      </c>
      <c r="BI20" s="55">
        <f t="shared" ref="BI20:BJ20" si="200">IF(BI17="","",SUM(BI18:BI19))</f>
        <v>7.9208093852288887E-4</v>
      </c>
      <c r="BJ20" s="55">
        <f t="shared" si="200"/>
        <v>7.9208093852288887E-4</v>
      </c>
      <c r="BK20" s="55">
        <f t="shared" ref="BK20:BL20" si="201">IF(BK17="","",SUM(BK18:BK19))</f>
        <v>1.9334159488496711E-5</v>
      </c>
      <c r="BL20" s="55" t="str">
        <f t="shared" si="201"/>
        <v/>
      </c>
    </row>
    <row r="21" spans="1:64" x14ac:dyDescent="0.25">
      <c r="A21" s="281"/>
      <c r="B21" s="64" t="s">
        <v>50</v>
      </c>
      <c r="C21" s="59">
        <f t="shared" ref="C21:D21" si="202">IF(C17="","",IFERROR(C19/C20,""))</f>
        <v>-0.37426908906064554</v>
      </c>
      <c r="D21" s="59">
        <f t="shared" si="202"/>
        <v>-0.37426908906064554</v>
      </c>
      <c r="E21" s="59">
        <f t="shared" ref="E21:F21" si="203">IF(E17="","",IFERROR(E19/E20,""))</f>
        <v>-0.37426908906064554</v>
      </c>
      <c r="F21" s="59">
        <f t="shared" si="203"/>
        <v>-0.37426908906064554</v>
      </c>
      <c r="G21" s="59">
        <f t="shared" ref="G21:H21" si="204">IF(G17="","",IFERROR(G19/G20,""))</f>
        <v>-0.37426908906064554</v>
      </c>
      <c r="H21" s="59">
        <f t="shared" si="204"/>
        <v>-0.37426908906064554</v>
      </c>
      <c r="I21" s="59">
        <f t="shared" ref="I21:J21" si="205">IF(I17="","",IFERROR(I19/I20,""))</f>
        <v>-0.37426908906064554</v>
      </c>
      <c r="J21" s="59">
        <f t="shared" si="205"/>
        <v>-0.37426908906064554</v>
      </c>
      <c r="K21" s="59">
        <f t="shared" ref="K21:L21" si="206">IF(K17="","",IFERROR(K19/K20,""))</f>
        <v>-0.37426908906064554</v>
      </c>
      <c r="L21" s="59">
        <f t="shared" si="206"/>
        <v>-0.37426908906064554</v>
      </c>
      <c r="M21" s="59">
        <f t="shared" ref="M21:N21" si="207">IF(M17="","",IFERROR(M19/M20,""))</f>
        <v>-0.37426908906064554</v>
      </c>
      <c r="N21" s="59">
        <f t="shared" si="207"/>
        <v>-0.37426908906064554</v>
      </c>
      <c r="O21" s="59">
        <f t="shared" ref="O21:P21" si="208">IF(O17="","",IFERROR(O19/O20,""))</f>
        <v>8.189409095627366E-2</v>
      </c>
      <c r="P21" s="59">
        <f t="shared" si="208"/>
        <v>8.189409095627366E-2</v>
      </c>
      <c r="Q21" s="59">
        <f t="shared" ref="Q21:R21" si="209">IF(Q17="","",IFERROR(Q19/Q20,""))</f>
        <v>8.189409095627366E-2</v>
      </c>
      <c r="R21" s="59">
        <f t="shared" si="209"/>
        <v>8.189409095627366E-2</v>
      </c>
      <c r="S21" s="59">
        <f t="shared" ref="S21:T21" si="210">IF(S17="","",IFERROR(S19/S20,""))</f>
        <v>8.189409095627366E-2</v>
      </c>
      <c r="T21" s="59">
        <f t="shared" si="210"/>
        <v>8.189409095627366E-2</v>
      </c>
      <c r="U21" s="59">
        <f t="shared" ref="U21:V21" si="211">IF(U17="","",IFERROR(U19/U20,""))</f>
        <v>8.189409095627366E-2</v>
      </c>
      <c r="V21" s="59">
        <f t="shared" si="211"/>
        <v>8.189409095627366E-2</v>
      </c>
      <c r="W21" s="59">
        <f t="shared" ref="W21:X21" si="212">IF(W17="","",IFERROR(W19/W20,""))</f>
        <v>8.189409095627366E-2</v>
      </c>
      <c r="X21" s="59">
        <f t="shared" si="212"/>
        <v>8.189409095627366E-2</v>
      </c>
      <c r="Y21" s="59">
        <f t="shared" ref="Y21:Z21" si="213">IF(Y17="","",IFERROR(Y19/Y20,""))</f>
        <v>8.189409095627366E-2</v>
      </c>
      <c r="Z21" s="59">
        <f t="shared" si="213"/>
        <v>8.189409095627366E-2</v>
      </c>
      <c r="AA21" s="59">
        <f t="shared" ref="AA21:AB21" si="214">IF(AA17="","",IFERROR(AA19/AA20,""))</f>
        <v>-7.643725450566434E-2</v>
      </c>
      <c r="AB21" s="59">
        <f t="shared" si="214"/>
        <v>-7.643725450566434E-2</v>
      </c>
      <c r="AC21" s="59">
        <f t="shared" ref="AC21:AD21" si="215">IF(AC17="","",IFERROR(AC19/AC20,""))</f>
        <v>-7.643725450566434E-2</v>
      </c>
      <c r="AD21" s="59">
        <f t="shared" si="215"/>
        <v>-7.643725450566434E-2</v>
      </c>
      <c r="AE21" s="59">
        <f t="shared" ref="AE21:AF21" si="216">IF(AE17="","",IFERROR(AE19/AE20,""))</f>
        <v>-7.643725450566434E-2</v>
      </c>
      <c r="AF21" s="59">
        <f t="shared" si="216"/>
        <v>-7.643725450566434E-2</v>
      </c>
      <c r="AG21" s="59">
        <f t="shared" ref="AG21:AH21" si="217">IF(AG17="","",IFERROR(AG19/AG20,""))</f>
        <v>-7.643725450566434E-2</v>
      </c>
      <c r="AH21" s="59">
        <f t="shared" si="217"/>
        <v>-7.643725450566434E-2</v>
      </c>
      <c r="AI21" s="59">
        <f t="shared" ref="AI21:AJ21" si="218">IF(AI17="","",IFERROR(AI19/AI20,""))</f>
        <v>-7.643725450566434E-2</v>
      </c>
      <c r="AJ21" s="59">
        <f t="shared" si="218"/>
        <v>-7.643725450566434E-2</v>
      </c>
      <c r="AK21" s="59">
        <f t="shared" ref="AK21:AL21" si="219">IF(AK17="","",IFERROR(AK19/AK20,""))</f>
        <v>-7.643725450566434E-2</v>
      </c>
      <c r="AL21" s="59">
        <f t="shared" si="219"/>
        <v>-7.643725450566434E-2</v>
      </c>
      <c r="AM21" s="59">
        <f t="shared" ref="AM21:AN21" si="220">IF(AM17="","",IFERROR(AM19/AM20,""))</f>
        <v>0.27859098550033645</v>
      </c>
      <c r="AN21" s="59">
        <f t="shared" si="220"/>
        <v>0.27859098550033645</v>
      </c>
      <c r="AO21" s="59">
        <f t="shared" ref="AO21:AP21" si="221">IF(AO17="","",IFERROR(AO19/AO20,""))</f>
        <v>0.27859098550033645</v>
      </c>
      <c r="AP21" s="59">
        <f t="shared" si="221"/>
        <v>0.27859098550033645</v>
      </c>
      <c r="AQ21" s="59">
        <f t="shared" ref="AQ21:AR21" si="222">IF(AQ17="","",IFERROR(AQ19/AQ20,""))</f>
        <v>0.27859098550033645</v>
      </c>
      <c r="AR21" s="59">
        <f t="shared" si="222"/>
        <v>0.27859098550033645</v>
      </c>
      <c r="AS21" s="59">
        <f t="shared" ref="AS21:AT21" si="223">IF(AS17="","",IFERROR(AS19/AS20,""))</f>
        <v>0.27859098550033645</v>
      </c>
      <c r="AT21" s="59">
        <f t="shared" si="223"/>
        <v>0.27859098550033645</v>
      </c>
      <c r="AU21" s="59">
        <f t="shared" ref="AU21:AV21" si="224">IF(AU17="","",IFERROR(AU19/AU20,""))</f>
        <v>0.27859098550033645</v>
      </c>
      <c r="AV21" s="59">
        <f t="shared" si="224"/>
        <v>0.27859098550033645</v>
      </c>
      <c r="AW21" s="59">
        <f t="shared" ref="AW21:AX21" si="225">IF(AW17="","",IFERROR(AW19/AW20,""))</f>
        <v>0.27859098550033645</v>
      </c>
      <c r="AX21" s="59">
        <f t="shared" si="225"/>
        <v>0.27859098550033645</v>
      </c>
      <c r="AY21" s="59">
        <f t="shared" ref="AY21:AZ21" si="226">IF(AY17="","",IFERROR(AY19/AY20,""))</f>
        <v>-0.21624109240200282</v>
      </c>
      <c r="AZ21" s="59">
        <f t="shared" si="226"/>
        <v>-0.21624109240200282</v>
      </c>
      <c r="BA21" s="59">
        <f t="shared" ref="BA21:BB21" si="227">IF(BA17="","",IFERROR(BA19/BA20,""))</f>
        <v>-0.21624109240200282</v>
      </c>
      <c r="BB21" s="59">
        <f t="shared" si="227"/>
        <v>-0.21624109240200282</v>
      </c>
      <c r="BC21" s="59">
        <f t="shared" ref="BC21:BD21" si="228">IF(BC17="","",IFERROR(BC19/BC20,""))</f>
        <v>-0.21624109240200282</v>
      </c>
      <c r="BD21" s="59">
        <f t="shared" si="228"/>
        <v>-0.21624109240200282</v>
      </c>
      <c r="BE21" s="59">
        <f t="shared" ref="BE21:BF21" si="229">IF(BE17="","",IFERROR(BE19/BE20,""))</f>
        <v>-0.21624109240200282</v>
      </c>
      <c r="BF21" s="59">
        <f t="shared" si="229"/>
        <v>-0.21624109240200282</v>
      </c>
      <c r="BG21" s="59">
        <f t="shared" ref="BG21:BH21" si="230">IF(BG17="","",IFERROR(BG19/BG20,""))</f>
        <v>-0.21624109240200282</v>
      </c>
      <c r="BH21" s="59">
        <f t="shared" si="230"/>
        <v>-0.21624109240200282</v>
      </c>
      <c r="BI21" s="59">
        <f t="shared" ref="BI21:BJ21" si="231">IF(BI17="","",IFERROR(BI19/BI20,""))</f>
        <v>-0.21624109240200282</v>
      </c>
      <c r="BJ21" s="59">
        <f t="shared" si="231"/>
        <v>-0.21624109240200282</v>
      </c>
      <c r="BK21" s="251">
        <f t="shared" ref="BK21:BL21" si="232">IF(BK17="","",IFERROR(BK19/BK20,""))</f>
        <v>-10.169262518712674</v>
      </c>
      <c r="BL21" s="59" t="str">
        <f t="shared" si="232"/>
        <v/>
      </c>
    </row>
    <row r="22" spans="1:64" x14ac:dyDescent="0.25">
      <c r="A22" s="281"/>
      <c r="B22" s="65" t="s">
        <v>51</v>
      </c>
      <c r="C22" s="57">
        <f t="shared" ref="C22:D22" si="233">IF(C17="","",ROUND(C21*C17,2))</f>
        <v>-40612.01</v>
      </c>
      <c r="D22" s="57">
        <f t="shared" si="233"/>
        <v>-38351.11</v>
      </c>
      <c r="E22" s="57">
        <f t="shared" ref="E22:F22" si="234">IF(E17="","",ROUND(E21*E17,2))</f>
        <v>-32774.379999999997</v>
      </c>
      <c r="F22" s="57">
        <f t="shared" si="234"/>
        <v>-30569.17</v>
      </c>
      <c r="G22" s="57">
        <f t="shared" ref="G22:H22" si="235">IF(G17="","",ROUND(G21*G17,2))</f>
        <v>-36225.06</v>
      </c>
      <c r="H22" s="57">
        <f t="shared" si="235"/>
        <v>-42295.91</v>
      </c>
      <c r="I22" s="57">
        <f t="shared" ref="I22:J22" si="236">IF(I17="","",ROUND(I21*I17,2))</f>
        <v>-42141.33</v>
      </c>
      <c r="J22" s="57">
        <f t="shared" si="236"/>
        <v>-41942.74</v>
      </c>
      <c r="K22" s="57">
        <f t="shared" ref="K22:L22" si="237">IF(K17="","",ROUND(K21*K17,2))</f>
        <v>-35788.269999999997</v>
      </c>
      <c r="L22" s="57">
        <f t="shared" si="237"/>
        <v>-34863.54</v>
      </c>
      <c r="M22" s="57">
        <f t="shared" ref="M22:N22" si="238">IF(M17="","",ROUND(M21*M17,2))</f>
        <v>-37469.9</v>
      </c>
      <c r="N22" s="57">
        <f t="shared" si="238"/>
        <v>-40157.82</v>
      </c>
      <c r="O22" s="57">
        <f t="shared" ref="O22:P22" si="239">IF(O17="","",ROUND(O21*O17,2))</f>
        <v>26804.880000000001</v>
      </c>
      <c r="P22" s="57">
        <f t="shared" si="239"/>
        <v>46741.51</v>
      </c>
      <c r="Q22" s="57">
        <f t="shared" ref="Q22:R22" si="240">IF(Q17="","",ROUND(Q21*Q17,2))</f>
        <v>41624.800000000003</v>
      </c>
      <c r="R22" s="57">
        <f t="shared" si="240"/>
        <v>42397.51</v>
      </c>
      <c r="S22" s="57">
        <f t="shared" ref="S22:T22" si="241">IF(S17="","",ROUND(S21*S17,2))</f>
        <v>47114.93</v>
      </c>
      <c r="T22" s="57">
        <f t="shared" si="241"/>
        <v>55182.37</v>
      </c>
      <c r="U22" s="57">
        <f t="shared" ref="U22:V22" si="242">IF(U17="","",ROUND(U21*U17,2))</f>
        <v>54689.09</v>
      </c>
      <c r="V22" s="57">
        <f t="shared" si="242"/>
        <v>55739.85</v>
      </c>
      <c r="W22" s="57">
        <f t="shared" ref="W22:X22" si="243">IF(W17="","",ROUND(W21*W17,2))</f>
        <v>48995.69</v>
      </c>
      <c r="X22" s="57">
        <f t="shared" si="243"/>
        <v>43533.32</v>
      </c>
      <c r="Y22" s="57">
        <f t="shared" ref="Y22:Z22" si="244">IF(Y17="","",ROUND(Y21*Y17,2))</f>
        <v>47580.19</v>
      </c>
      <c r="Z22" s="57">
        <f t="shared" si="244"/>
        <v>50865.22</v>
      </c>
      <c r="AA22" s="57">
        <f t="shared" ref="AA22:AB22" si="245">IF(AA17="","",ROUND(AA21*AA17,2))</f>
        <v>-38543.78</v>
      </c>
      <c r="AB22" s="57">
        <f t="shared" si="245"/>
        <v>-23075.85</v>
      </c>
      <c r="AC22" s="57">
        <f t="shared" ref="AC22:AD22" si="246">IF(AC17="","",ROUND(AC21*AC17,2))</f>
        <v>-21444.13</v>
      </c>
      <c r="AD22" s="57">
        <f t="shared" si="246"/>
        <v>-22179.41</v>
      </c>
      <c r="AE22" s="57">
        <f t="shared" ref="AE22:AF22" si="247">IF(AE17="","",ROUND(AE21*AE17,2))</f>
        <v>-24889.02</v>
      </c>
      <c r="AF22" s="57">
        <f t="shared" si="247"/>
        <v>-27910.6</v>
      </c>
      <c r="AG22" s="57">
        <f t="shared" ref="AG22:AH22" si="248">IF(AG17="","",ROUND(AG21*AG17,2))</f>
        <v>-27712.27</v>
      </c>
      <c r="AH22" s="57">
        <f t="shared" si="248"/>
        <v>-26504</v>
      </c>
      <c r="AI22" s="57">
        <f t="shared" ref="AI22:AJ22" si="249">IF(AI17="","",ROUND(AI21*AI17,2))</f>
        <v>-22775.33</v>
      </c>
      <c r="AJ22" s="57">
        <f t="shared" si="249"/>
        <v>-22147.35</v>
      </c>
      <c r="AK22" s="57">
        <f t="shared" ref="AK22:AL22" si="250">IF(AK17="","",ROUND(AK21*AK17,2))</f>
        <v>-24687.83</v>
      </c>
      <c r="AL22" s="57">
        <f t="shared" si="250"/>
        <v>-25625.98</v>
      </c>
      <c r="AM22" s="57">
        <f t="shared" ref="AM22:AN22" si="251">IF(AM17="","",ROUND(AM21*AM17,2))</f>
        <v>140314.01</v>
      </c>
      <c r="AN22" s="57">
        <f t="shared" si="251"/>
        <v>219033.77</v>
      </c>
      <c r="AO22" s="57">
        <f t="shared" ref="AO22:AP22" si="252">IF(AO17="","",ROUND(AO21*AO17,2))</f>
        <v>209918.87</v>
      </c>
      <c r="AP22" s="57">
        <f t="shared" si="252"/>
        <v>208910.7</v>
      </c>
      <c r="AQ22" s="57">
        <f t="shared" ref="AQ22:AR22" si="253">IF(AQ17="","",ROUND(AQ21*AQ17,2))</f>
        <v>235701.66</v>
      </c>
      <c r="AR22" s="57">
        <f t="shared" si="253"/>
        <v>253779.93</v>
      </c>
      <c r="AS22" s="57">
        <f t="shared" ref="AS22:AT22" si="254">IF(AS17="","",ROUND(AS21*AS17,2))</f>
        <v>262841.98</v>
      </c>
      <c r="AT22" s="57">
        <f t="shared" si="254"/>
        <v>263181.37</v>
      </c>
      <c r="AU22" s="57">
        <f t="shared" ref="AU22:AV22" si="255">IF(AU17="","",ROUND(AU21*AU17,2))</f>
        <v>231429.61</v>
      </c>
      <c r="AV22" s="57">
        <f t="shared" si="255"/>
        <v>213326.57</v>
      </c>
      <c r="AW22" s="57">
        <f t="shared" ref="AW22:AX22" si="256">IF(AW17="","",ROUND(AW21*AW17,2))</f>
        <v>227485.65</v>
      </c>
      <c r="AX22" s="57">
        <f t="shared" si="256"/>
        <v>250681.84</v>
      </c>
      <c r="AY22" s="57">
        <f t="shared" ref="AY22:AZ22" si="257">IF(AY17="","",ROUND(AY21*AY17,2))</f>
        <v>-146637.76000000001</v>
      </c>
      <c r="AZ22" s="57">
        <f t="shared" si="257"/>
        <v>-85383.65</v>
      </c>
      <c r="BA22" s="57">
        <f t="shared" ref="BA22:BB22" si="258">IF(BA17="","",ROUND(BA21*BA17,2))</f>
        <v>-84409.24</v>
      </c>
      <c r="BB22" s="57">
        <f t="shared" si="258"/>
        <v>-84833.95</v>
      </c>
      <c r="BC22" s="57">
        <f t="shared" ref="BC22:BD22" si="259">IF(BC17="","",ROUND(BC21*BC17,2))</f>
        <v>-96097.95</v>
      </c>
      <c r="BD22" s="57">
        <f t="shared" si="259"/>
        <v>-108519.56</v>
      </c>
      <c r="BE22" s="57">
        <f t="shared" ref="BE22:BF22" si="260">IF(BE17="","",ROUND(BE21*BE17,2))</f>
        <v>-101840.57</v>
      </c>
      <c r="BF22" s="57">
        <f t="shared" si="260"/>
        <v>-101890.01</v>
      </c>
      <c r="BG22" s="57">
        <f t="shared" ref="BG22:BH22" si="261">IF(BG17="","",ROUND(BG21*BG17,2))</f>
        <v>-90880.12</v>
      </c>
      <c r="BH22" s="57">
        <f t="shared" si="261"/>
        <v>-83048.45</v>
      </c>
      <c r="BI22" s="57">
        <f t="shared" ref="BI22:BJ22" si="262">IF(BI17="","",ROUND(BI21*BI17,2))</f>
        <v>-90887.97</v>
      </c>
      <c r="BJ22" s="57">
        <f t="shared" si="262"/>
        <v>-99787.96</v>
      </c>
      <c r="BK22" s="252">
        <f t="shared" ref="BK22" si="263">IF(BK17="","",ROUND(BK21*BK17,2))</f>
        <v>-2768101.02</v>
      </c>
      <c r="BL22" s="57">
        <f>-1328743.927462/12</f>
        <v>-110728.66062183333</v>
      </c>
    </row>
    <row r="23" spans="1:64" x14ac:dyDescent="0.25">
      <c r="A23" s="68"/>
      <c r="B23" s="66"/>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64" x14ac:dyDescent="0.25">
      <c r="A24" s="281" t="s">
        <v>35</v>
      </c>
      <c r="B24" s="64" t="s">
        <v>47</v>
      </c>
      <c r="C24" s="56">
        <f>IF(+'M3 Allocations - TD'!O54="","",'M3 Allocations - TD'!O54)</f>
        <v>45259.54</v>
      </c>
      <c r="D24" s="56">
        <f>IF(+'M3 Allocations - TD'!P54="","",'M3 Allocations - TD'!P54)</f>
        <v>39182.19</v>
      </c>
      <c r="E24" s="56">
        <f>IF(+'M3 Allocations - TD'!Q54="","",'M3 Allocations - TD'!Q54)</f>
        <v>38273.29</v>
      </c>
      <c r="F24" s="56">
        <f>IF(+'M3 Allocations - TD'!R54="","",'M3 Allocations - TD'!R54)</f>
        <v>36030.870000000003</v>
      </c>
      <c r="G24" s="56">
        <f>IF(+'M3 Allocations - TD'!S54="","",'M3 Allocations - TD'!S54)</f>
        <v>41962.67</v>
      </c>
      <c r="H24" s="56">
        <f>IF(+'M3 Allocations - TD'!T54="","",'M3 Allocations - TD'!T54)</f>
        <v>44167.05</v>
      </c>
      <c r="I24" s="56">
        <f>IF(+'M3 Allocations - TD'!U54="","",'M3 Allocations - TD'!U54)</f>
        <v>46294.41</v>
      </c>
      <c r="J24" s="56">
        <f>IF(+'M3 Allocations - TD'!V54="","",'M3 Allocations - TD'!V54)</f>
        <v>46306.19</v>
      </c>
      <c r="K24" s="56">
        <f>IF(+'M3 Allocations - TD'!W54="","",'M3 Allocations - TD'!W54)</f>
        <v>41160.14</v>
      </c>
      <c r="L24" s="56">
        <f>IF(+'M3 Allocations - TD'!X54="","",'M3 Allocations - TD'!X54)</f>
        <v>40868.620000000003</v>
      </c>
      <c r="M24" s="56">
        <f>IF(+'M3 Allocations - TD'!Y54="","",'M3 Allocations - TD'!Y54)</f>
        <v>42762.14</v>
      </c>
      <c r="N24" s="56">
        <f>IF(+'M3 Allocations - TD'!Z54="","",'M3 Allocations - TD'!Z54)</f>
        <v>41986.66</v>
      </c>
      <c r="O24" s="56">
        <f>IF(+'M3 Allocations - TD'!AA54="","",'M3 Allocations - TD'!AA54)</f>
        <v>113037.43</v>
      </c>
      <c r="P24" s="56">
        <f>IF(+'M3 Allocations - TD'!AB54="","",'M3 Allocations - TD'!AB54)</f>
        <v>187949.41</v>
      </c>
      <c r="Q24" s="56">
        <f>IF(+'M3 Allocations - TD'!AC54="","",'M3 Allocations - TD'!AC54)</f>
        <v>188602.4</v>
      </c>
      <c r="R24" s="56">
        <f>IF(+'M3 Allocations - TD'!AD54="","",'M3 Allocations - TD'!AD54)</f>
        <v>195382.67</v>
      </c>
      <c r="S24" s="56">
        <f>IF(+'M3 Allocations - TD'!AE54="","",'M3 Allocations - TD'!AE54)</f>
        <v>188207.84</v>
      </c>
      <c r="T24" s="56">
        <f>IF(+'M3 Allocations - TD'!AF54="","",'M3 Allocations - TD'!AF54)</f>
        <v>251615.09</v>
      </c>
      <c r="U24" s="56">
        <f>IF(+'M3 Allocations - TD'!AG54="","",'M3 Allocations - TD'!AG54)</f>
        <v>231015.31</v>
      </c>
      <c r="V24" s="56">
        <f>IF(+'M3 Allocations - TD'!AH54="","",'M3 Allocations - TD'!AH54)</f>
        <v>233947.55</v>
      </c>
      <c r="W24" s="56">
        <f>IF(+'M3 Allocations - TD'!AI54="","",'M3 Allocations - TD'!AI54)</f>
        <v>202010.25</v>
      </c>
      <c r="X24" s="56">
        <f>IF(+'M3 Allocations - TD'!AJ54="","",'M3 Allocations - TD'!AJ54)</f>
        <v>176212.48000000001</v>
      </c>
      <c r="Y24" s="56">
        <f>IF(+'M3 Allocations - TD'!AK54="","",'M3 Allocations - TD'!AK54)</f>
        <v>231619.08</v>
      </c>
      <c r="Z24" s="56">
        <f>IF(+'M3 Allocations - TD'!AL54="","",'M3 Allocations - TD'!AL54)</f>
        <v>223678.57</v>
      </c>
      <c r="AA24" s="56">
        <f>IF(+'M3 Allocations - TD'!AM54="","",'M3 Allocations - TD'!AM54)</f>
        <v>167453.84</v>
      </c>
      <c r="AB24" s="56">
        <f>IF(+'M3 Allocations - TD'!AN54="","",'M3 Allocations - TD'!AN54)</f>
        <v>87280.08</v>
      </c>
      <c r="AC24" s="56">
        <f>IF(+'M3 Allocations - TD'!AO54="","",'M3 Allocations - TD'!AO54)</f>
        <v>74518.28</v>
      </c>
      <c r="AD24" s="56">
        <f>IF(+'M3 Allocations - TD'!AP54="","",'M3 Allocations - TD'!AP54)</f>
        <v>87009.31</v>
      </c>
      <c r="AE24" s="56">
        <f>IF(+'M3 Allocations - TD'!AQ54="","",'M3 Allocations - TD'!AQ54)</f>
        <v>99059.55</v>
      </c>
      <c r="AF24" s="56">
        <f>IF(+'M3 Allocations - TD'!AR54="","",'M3 Allocations - TD'!AR54)</f>
        <v>102989.08</v>
      </c>
      <c r="AG24" s="56">
        <f>IF(+'M3 Allocations - TD'!AS54="","",'M3 Allocations - TD'!AS54)</f>
        <v>102162.93</v>
      </c>
      <c r="AH24" s="56">
        <f>IF(+'M3 Allocations - TD'!AT54="","",'M3 Allocations - TD'!AT54)</f>
        <v>99521.61</v>
      </c>
      <c r="AI24" s="56">
        <f>IF(+'M3 Allocations - TD'!AU54="","",'M3 Allocations - TD'!AU54)</f>
        <v>88233.75</v>
      </c>
      <c r="AJ24" s="56">
        <f>IF(+'M3 Allocations - TD'!AV54="","",'M3 Allocations - TD'!AV54)</f>
        <v>89104.03</v>
      </c>
      <c r="AK24" s="56">
        <f>IF(+'M3 Allocations - TD'!AW54="","",'M3 Allocations - TD'!AW54)</f>
        <v>92492.2</v>
      </c>
      <c r="AL24" s="56">
        <f>IF(+'M3 Allocations - TD'!AX54="","",'M3 Allocations - TD'!AX54)</f>
        <v>88054.05</v>
      </c>
      <c r="AM24" s="56">
        <f>IF(+'M3 Allocations - TD'!AY54="","",'M3 Allocations - TD'!AY54)</f>
        <v>120533.48</v>
      </c>
      <c r="AN24" s="56">
        <f>IF(+'M3 Allocations - TD'!AZ54="","",'M3 Allocations - TD'!AZ54)</f>
        <v>193175.07</v>
      </c>
      <c r="AO24" s="56">
        <f>IF(+'M3 Allocations - TD'!BA54="","",'M3 Allocations - TD'!BA54)</f>
        <v>200125.64</v>
      </c>
      <c r="AP24" s="56">
        <f>IF(+'M3 Allocations - TD'!BB54="","",'M3 Allocations - TD'!BB54)</f>
        <v>199975.26</v>
      </c>
      <c r="AQ24" s="56">
        <f>IF(+'M3 Allocations - TD'!BC54="","",'M3 Allocations - TD'!BC54)</f>
        <v>209103.63</v>
      </c>
      <c r="AR24" s="56">
        <f>IF(+'M3 Allocations - TD'!BD54="","",'M3 Allocations - TD'!BD54)</f>
        <v>214447.91</v>
      </c>
      <c r="AS24" s="56">
        <f>IF(+'M3 Allocations - TD'!BE54="","",'M3 Allocations - TD'!BE54)</f>
        <v>242601.69</v>
      </c>
      <c r="AT24" s="56">
        <f>IF(+'M3 Allocations - TD'!BF54="","",'M3 Allocations - TD'!BF54)</f>
        <v>231833.74</v>
      </c>
      <c r="AU24" s="56">
        <f>IF(+'M3 Allocations - TD'!BG54="","",'M3 Allocations - TD'!BG54)</f>
        <v>201281.09</v>
      </c>
      <c r="AV24" s="56">
        <f>IF(+'M3 Allocations - TD'!BH54="","",'M3 Allocations - TD'!BH54)</f>
        <v>202710.95</v>
      </c>
      <c r="AW24" s="56">
        <f>IF(+'M3 Allocations - TD'!BI54="","",'M3 Allocations - TD'!BI54)</f>
        <v>199303.11</v>
      </c>
      <c r="AX24" s="56">
        <f>IF(+'M3 Allocations - TD'!BJ54="","",'M3 Allocations - TD'!BJ54)</f>
        <v>210550.35</v>
      </c>
      <c r="AY24" s="56">
        <f>IF(+'M3 Allocations - TD'!BK54="","",'M3 Allocations - TD'!BK54)</f>
        <v>168623.56</v>
      </c>
      <c r="AZ24" s="56">
        <f>IF(+'M3 Allocations - TD'!BL54="","",'M3 Allocations - TD'!BL54)</f>
        <v>84037.78</v>
      </c>
      <c r="BA24" s="56">
        <f>IF(+'M3 Allocations - TD'!BM54="","",'M3 Allocations - TD'!BM54)</f>
        <v>76596.08</v>
      </c>
      <c r="BB24" s="56">
        <f>IF(+'M3 Allocations - TD'!BN54="","",'M3 Allocations - TD'!BN54)</f>
        <v>80331.31</v>
      </c>
      <c r="BC24" s="56">
        <f>IF(+'M3 Allocations - TD'!BO54="","",'M3 Allocations - TD'!BO54)</f>
        <v>87580.99</v>
      </c>
      <c r="BD24" s="56">
        <f>IF(+'M3 Allocations - TD'!BP54="","",'M3 Allocations - TD'!BP54)</f>
        <v>94051.1</v>
      </c>
      <c r="BE24" s="56">
        <f>IF(+'M3 Allocations - TD'!BQ54="","",'M3 Allocations - TD'!BQ54)</f>
        <v>88881.49</v>
      </c>
      <c r="BF24" s="56">
        <f>IF(+'M3 Allocations - TD'!BR54="","",'M3 Allocations - TD'!BR54)</f>
        <v>87211.46</v>
      </c>
      <c r="BG24" s="56">
        <f>IF(+'M3 Allocations - TD'!BS54="","",'M3 Allocations - TD'!BS54)</f>
        <v>85590.09</v>
      </c>
      <c r="BH24" s="56">
        <f>IF(+'M3 Allocations - TD'!BT54="","",'M3 Allocations - TD'!BT54)</f>
        <v>75721.740000000005</v>
      </c>
      <c r="BI24" s="56">
        <f>IF(+'M3 Allocations - TD'!BU54="","",'M3 Allocations - TD'!BU54)</f>
        <v>79950.48</v>
      </c>
      <c r="BJ24" s="56">
        <f>IF(+'M3 Allocations - TD'!BV54="","",'M3 Allocations - TD'!BV54)</f>
        <v>82986.16</v>
      </c>
      <c r="BK24" s="56">
        <f>IF(+'M3 Allocations - TD'!BW54="","",'M3 Allocations - TD'!BW54)</f>
        <v>64363.3</v>
      </c>
      <c r="BL24" s="275"/>
    </row>
    <row r="25" spans="1:64" x14ac:dyDescent="0.25">
      <c r="A25" s="281"/>
      <c r="B25" s="64" t="s">
        <v>49</v>
      </c>
      <c r="C25" s="102">
        <v>2.5367471035843018E-4</v>
      </c>
      <c r="D25" s="79">
        <f t="shared" ref="D25:BJ26" si="264">IF(D24="","",C25)</f>
        <v>2.5367471035843018E-4</v>
      </c>
      <c r="E25" s="79">
        <f t="shared" si="264"/>
        <v>2.5367471035843018E-4</v>
      </c>
      <c r="F25" s="79">
        <f t="shared" si="264"/>
        <v>2.5367471035843018E-4</v>
      </c>
      <c r="G25" s="79">
        <f t="shared" si="264"/>
        <v>2.5367471035843018E-4</v>
      </c>
      <c r="H25" s="79">
        <f t="shared" si="264"/>
        <v>2.5367471035843018E-4</v>
      </c>
      <c r="I25" s="79">
        <f t="shared" si="264"/>
        <v>2.5367471035843018E-4</v>
      </c>
      <c r="J25" s="79">
        <f t="shared" si="264"/>
        <v>2.5367471035843018E-4</v>
      </c>
      <c r="K25" s="79">
        <f t="shared" si="264"/>
        <v>2.5367471035843018E-4</v>
      </c>
      <c r="L25" s="79">
        <f t="shared" si="264"/>
        <v>2.5367471035843018E-4</v>
      </c>
      <c r="M25" s="79">
        <f t="shared" si="264"/>
        <v>2.5367471035843018E-4</v>
      </c>
      <c r="N25" s="79">
        <f t="shared" si="264"/>
        <v>2.5367471035843018E-4</v>
      </c>
      <c r="O25" s="103">
        <v>8.3774060384398373E-4</v>
      </c>
      <c r="P25" s="79">
        <f t="shared" si="264"/>
        <v>8.3774060384398373E-4</v>
      </c>
      <c r="Q25" s="79">
        <f t="shared" si="264"/>
        <v>8.3774060384398373E-4</v>
      </c>
      <c r="R25" s="79">
        <f t="shared" si="264"/>
        <v>8.3774060384398373E-4</v>
      </c>
      <c r="S25" s="79">
        <f t="shared" si="264"/>
        <v>8.3774060384398373E-4</v>
      </c>
      <c r="T25" s="79">
        <f t="shared" si="264"/>
        <v>8.3774060384398373E-4</v>
      </c>
      <c r="U25" s="79">
        <f t="shared" si="264"/>
        <v>8.3774060384398373E-4</v>
      </c>
      <c r="V25" s="79">
        <f t="shared" si="264"/>
        <v>8.3774060384398373E-4</v>
      </c>
      <c r="W25" s="79">
        <f t="shared" si="264"/>
        <v>8.3774060384398373E-4</v>
      </c>
      <c r="X25" s="79">
        <f t="shared" si="264"/>
        <v>8.3774060384398373E-4</v>
      </c>
      <c r="Y25" s="79">
        <f t="shared" si="264"/>
        <v>8.3774060384398373E-4</v>
      </c>
      <c r="Z25" s="79">
        <f t="shared" si="264"/>
        <v>8.3774060384398373E-4</v>
      </c>
      <c r="AA25" s="103">
        <v>5.200153279680842E-4</v>
      </c>
      <c r="AB25" s="79">
        <f t="shared" si="264"/>
        <v>5.200153279680842E-4</v>
      </c>
      <c r="AC25" s="79">
        <f t="shared" si="264"/>
        <v>5.200153279680842E-4</v>
      </c>
      <c r="AD25" s="79">
        <f t="shared" si="264"/>
        <v>5.200153279680842E-4</v>
      </c>
      <c r="AE25" s="79">
        <f t="shared" si="264"/>
        <v>5.200153279680842E-4</v>
      </c>
      <c r="AF25" s="79">
        <f t="shared" si="264"/>
        <v>5.200153279680842E-4</v>
      </c>
      <c r="AG25" s="79">
        <f t="shared" si="264"/>
        <v>5.200153279680842E-4</v>
      </c>
      <c r="AH25" s="79">
        <f t="shared" si="264"/>
        <v>5.200153279680842E-4</v>
      </c>
      <c r="AI25" s="79">
        <f t="shared" si="264"/>
        <v>5.200153279680842E-4</v>
      </c>
      <c r="AJ25" s="79">
        <f t="shared" si="264"/>
        <v>5.200153279680842E-4</v>
      </c>
      <c r="AK25" s="79">
        <f t="shared" si="264"/>
        <v>5.200153279680842E-4</v>
      </c>
      <c r="AL25" s="79">
        <f t="shared" si="264"/>
        <v>5.200153279680842E-4</v>
      </c>
      <c r="AM25" s="103">
        <v>9.0916157952495972E-4</v>
      </c>
      <c r="AN25" s="79">
        <f t="shared" si="264"/>
        <v>9.0916157952495972E-4</v>
      </c>
      <c r="AO25" s="79">
        <f t="shared" si="264"/>
        <v>9.0916157952495972E-4</v>
      </c>
      <c r="AP25" s="79">
        <f t="shared" si="264"/>
        <v>9.0916157952495972E-4</v>
      </c>
      <c r="AQ25" s="79">
        <f t="shared" si="264"/>
        <v>9.0916157952495972E-4</v>
      </c>
      <c r="AR25" s="79">
        <f t="shared" si="264"/>
        <v>9.0916157952495972E-4</v>
      </c>
      <c r="AS25" s="79">
        <f t="shared" si="264"/>
        <v>9.0916157952495972E-4</v>
      </c>
      <c r="AT25" s="79">
        <f t="shared" si="264"/>
        <v>9.0916157952495972E-4</v>
      </c>
      <c r="AU25" s="79">
        <f t="shared" si="264"/>
        <v>9.0916157952495972E-4</v>
      </c>
      <c r="AV25" s="79">
        <f t="shared" si="264"/>
        <v>9.0916157952495972E-4</v>
      </c>
      <c r="AW25" s="79">
        <f t="shared" si="264"/>
        <v>9.0916157952495972E-4</v>
      </c>
      <c r="AX25" s="79">
        <f t="shared" si="264"/>
        <v>9.0916157952495972E-4</v>
      </c>
      <c r="AY25" s="103">
        <f>0.000714971559034161+0</f>
        <v>7.1497155903416099E-4</v>
      </c>
      <c r="AZ25" s="79">
        <f t="shared" si="264"/>
        <v>7.1497155903416099E-4</v>
      </c>
      <c r="BA25" s="79">
        <f t="shared" si="264"/>
        <v>7.1497155903416099E-4</v>
      </c>
      <c r="BB25" s="79">
        <f t="shared" si="264"/>
        <v>7.1497155903416099E-4</v>
      </c>
      <c r="BC25" s="79">
        <f t="shared" si="264"/>
        <v>7.1497155903416099E-4</v>
      </c>
      <c r="BD25" s="79">
        <f t="shared" si="264"/>
        <v>7.1497155903416099E-4</v>
      </c>
      <c r="BE25" s="79">
        <f t="shared" si="264"/>
        <v>7.1497155903416099E-4</v>
      </c>
      <c r="BF25" s="79">
        <f t="shared" si="264"/>
        <v>7.1497155903416099E-4</v>
      </c>
      <c r="BG25" s="79">
        <f t="shared" si="264"/>
        <v>7.1497155903416099E-4</v>
      </c>
      <c r="BH25" s="79">
        <f t="shared" si="264"/>
        <v>7.1497155903416099E-4</v>
      </c>
      <c r="BI25" s="79">
        <f t="shared" si="264"/>
        <v>7.1497155903416099E-4</v>
      </c>
      <c r="BJ25" s="79">
        <f t="shared" si="264"/>
        <v>7.1497155903416099E-4</v>
      </c>
      <c r="BK25" s="79">
        <v>1.7129903031426675E-4</v>
      </c>
      <c r="BL25" s="79"/>
    </row>
    <row r="26" spans="1:64" x14ac:dyDescent="0.25">
      <c r="A26" s="281"/>
      <c r="B26" s="64" t="s">
        <v>48</v>
      </c>
      <c r="C26" s="103">
        <v>-7.9632920155371304E-5</v>
      </c>
      <c r="D26" s="79">
        <f t="shared" si="264"/>
        <v>-7.9632920155371304E-5</v>
      </c>
      <c r="E26" s="79">
        <f t="shared" si="264"/>
        <v>-7.9632920155371304E-5</v>
      </c>
      <c r="F26" s="79">
        <f t="shared" si="264"/>
        <v>-7.9632920155371304E-5</v>
      </c>
      <c r="G26" s="79">
        <f t="shared" si="264"/>
        <v>-7.9632920155371304E-5</v>
      </c>
      <c r="H26" s="79">
        <f t="shared" si="264"/>
        <v>-7.9632920155371304E-5</v>
      </c>
      <c r="I26" s="79">
        <f t="shared" si="264"/>
        <v>-7.9632920155371304E-5</v>
      </c>
      <c r="J26" s="79">
        <f t="shared" si="264"/>
        <v>-7.9632920155371304E-5</v>
      </c>
      <c r="K26" s="79">
        <f t="shared" si="264"/>
        <v>-7.9632920155371304E-5</v>
      </c>
      <c r="L26" s="79">
        <f t="shared" si="264"/>
        <v>-7.9632920155371304E-5</v>
      </c>
      <c r="M26" s="79">
        <f t="shared" si="264"/>
        <v>-7.9632920155371304E-5</v>
      </c>
      <c r="N26" s="79">
        <f t="shared" si="264"/>
        <v>-7.9632920155371304E-5</v>
      </c>
      <c r="O26" s="103">
        <v>4.0604417384412134E-5</v>
      </c>
      <c r="P26" s="79">
        <f t="shared" si="264"/>
        <v>4.0604417384412134E-5</v>
      </c>
      <c r="Q26" s="79">
        <f t="shared" si="264"/>
        <v>4.0604417384412134E-5</v>
      </c>
      <c r="R26" s="79">
        <f t="shared" si="264"/>
        <v>4.0604417384412134E-5</v>
      </c>
      <c r="S26" s="79">
        <f t="shared" si="264"/>
        <v>4.0604417384412134E-5</v>
      </c>
      <c r="T26" s="79">
        <f t="shared" si="264"/>
        <v>4.0604417384412134E-5</v>
      </c>
      <c r="U26" s="79">
        <f t="shared" si="264"/>
        <v>4.0604417384412134E-5</v>
      </c>
      <c r="V26" s="79">
        <f t="shared" si="264"/>
        <v>4.0604417384412134E-5</v>
      </c>
      <c r="W26" s="79">
        <f t="shared" si="264"/>
        <v>4.0604417384412134E-5</v>
      </c>
      <c r="X26" s="79">
        <f t="shared" si="264"/>
        <v>4.0604417384412134E-5</v>
      </c>
      <c r="Y26" s="79">
        <f t="shared" si="264"/>
        <v>4.0604417384412134E-5</v>
      </c>
      <c r="Z26" s="79">
        <f t="shared" si="264"/>
        <v>4.0604417384412134E-5</v>
      </c>
      <c r="AA26" s="103">
        <v>-1.3502250027566654E-4</v>
      </c>
      <c r="AB26" s="79">
        <f t="shared" si="264"/>
        <v>-1.3502250027566654E-4</v>
      </c>
      <c r="AC26" s="79">
        <f t="shared" si="264"/>
        <v>-1.3502250027566654E-4</v>
      </c>
      <c r="AD26" s="79">
        <f t="shared" si="264"/>
        <v>-1.3502250027566654E-4</v>
      </c>
      <c r="AE26" s="79">
        <f t="shared" si="264"/>
        <v>-1.3502250027566654E-4</v>
      </c>
      <c r="AF26" s="79">
        <f t="shared" si="264"/>
        <v>-1.3502250027566654E-4</v>
      </c>
      <c r="AG26" s="79">
        <f t="shared" si="264"/>
        <v>-1.3502250027566654E-4</v>
      </c>
      <c r="AH26" s="79">
        <f t="shared" si="264"/>
        <v>-1.3502250027566654E-4</v>
      </c>
      <c r="AI26" s="79">
        <f t="shared" si="264"/>
        <v>-1.3502250027566654E-4</v>
      </c>
      <c r="AJ26" s="79">
        <f t="shared" si="264"/>
        <v>-1.3502250027566654E-4</v>
      </c>
      <c r="AK26" s="79">
        <f t="shared" si="264"/>
        <v>-1.3502250027566654E-4</v>
      </c>
      <c r="AL26" s="79">
        <f t="shared" si="264"/>
        <v>-1.3502250027566654E-4</v>
      </c>
      <c r="AM26" s="103">
        <v>2.3817613824927264E-6</v>
      </c>
      <c r="AN26" s="79">
        <f t="shared" si="264"/>
        <v>2.3817613824927264E-6</v>
      </c>
      <c r="AO26" s="79">
        <f t="shared" si="264"/>
        <v>2.3817613824927264E-6</v>
      </c>
      <c r="AP26" s="79">
        <f t="shared" si="264"/>
        <v>2.3817613824927264E-6</v>
      </c>
      <c r="AQ26" s="79">
        <f t="shared" si="264"/>
        <v>2.3817613824927264E-6</v>
      </c>
      <c r="AR26" s="79">
        <f t="shared" si="264"/>
        <v>2.3817613824927264E-6</v>
      </c>
      <c r="AS26" s="79">
        <f t="shared" si="264"/>
        <v>2.3817613824927264E-6</v>
      </c>
      <c r="AT26" s="79">
        <f t="shared" si="264"/>
        <v>2.3817613824927264E-6</v>
      </c>
      <c r="AU26" s="79">
        <f t="shared" si="264"/>
        <v>2.3817613824927264E-6</v>
      </c>
      <c r="AV26" s="79">
        <f t="shared" si="264"/>
        <v>2.3817613824927264E-6</v>
      </c>
      <c r="AW26" s="79">
        <f t="shared" si="264"/>
        <v>2.3817613824927264E-6</v>
      </c>
      <c r="AX26" s="79">
        <f t="shared" si="264"/>
        <v>2.3817613824927264E-6</v>
      </c>
      <c r="AY26" s="103">
        <f>-0.000348692013101505+2.73870715851372E-06</f>
        <v>-3.4595330594299129E-4</v>
      </c>
      <c r="AZ26" s="79">
        <f t="shared" si="264"/>
        <v>-3.4595330594299129E-4</v>
      </c>
      <c r="BA26" s="79">
        <f t="shared" si="264"/>
        <v>-3.4595330594299129E-4</v>
      </c>
      <c r="BB26" s="79">
        <f t="shared" si="264"/>
        <v>-3.4595330594299129E-4</v>
      </c>
      <c r="BC26" s="79">
        <f t="shared" si="264"/>
        <v>-3.4595330594299129E-4</v>
      </c>
      <c r="BD26" s="79">
        <f t="shared" si="264"/>
        <v>-3.4595330594299129E-4</v>
      </c>
      <c r="BE26" s="79">
        <f t="shared" si="264"/>
        <v>-3.4595330594299129E-4</v>
      </c>
      <c r="BF26" s="79">
        <f t="shared" si="264"/>
        <v>-3.4595330594299129E-4</v>
      </c>
      <c r="BG26" s="79">
        <f t="shared" si="264"/>
        <v>-3.4595330594299129E-4</v>
      </c>
      <c r="BH26" s="79">
        <f t="shared" si="264"/>
        <v>-3.4595330594299129E-4</v>
      </c>
      <c r="BI26" s="79">
        <f t="shared" si="264"/>
        <v>-3.4595330594299129E-4</v>
      </c>
      <c r="BJ26" s="79">
        <f t="shared" si="264"/>
        <v>-3.4595330594299129E-4</v>
      </c>
      <c r="BK26" s="79">
        <v>-9.4380212747881934E-5</v>
      </c>
      <c r="BL26" s="79"/>
    </row>
    <row r="27" spans="1:64" x14ac:dyDescent="0.25">
      <c r="A27" s="281"/>
      <c r="B27" s="64" t="s">
        <v>56</v>
      </c>
      <c r="C27" s="55">
        <f t="shared" ref="C27:D27" si="265">IF(C24="","",SUM(C25:C26))</f>
        <v>1.7404179020305888E-4</v>
      </c>
      <c r="D27" s="55">
        <f t="shared" si="265"/>
        <v>1.7404179020305888E-4</v>
      </c>
      <c r="E27" s="55">
        <f t="shared" ref="E27:F27" si="266">IF(E24="","",SUM(E25:E26))</f>
        <v>1.7404179020305888E-4</v>
      </c>
      <c r="F27" s="55">
        <f t="shared" si="266"/>
        <v>1.7404179020305888E-4</v>
      </c>
      <c r="G27" s="55">
        <f t="shared" ref="G27:H27" si="267">IF(G24="","",SUM(G25:G26))</f>
        <v>1.7404179020305888E-4</v>
      </c>
      <c r="H27" s="55">
        <f t="shared" si="267"/>
        <v>1.7404179020305888E-4</v>
      </c>
      <c r="I27" s="55">
        <f t="shared" ref="I27:J27" si="268">IF(I24="","",SUM(I25:I26))</f>
        <v>1.7404179020305888E-4</v>
      </c>
      <c r="J27" s="55">
        <f t="shared" si="268"/>
        <v>1.7404179020305888E-4</v>
      </c>
      <c r="K27" s="55">
        <f t="shared" ref="K27:L27" si="269">IF(K24="","",SUM(K25:K26))</f>
        <v>1.7404179020305888E-4</v>
      </c>
      <c r="L27" s="55">
        <f t="shared" si="269"/>
        <v>1.7404179020305888E-4</v>
      </c>
      <c r="M27" s="55">
        <f t="shared" ref="M27:N27" si="270">IF(M24="","",SUM(M25:M26))</f>
        <v>1.7404179020305888E-4</v>
      </c>
      <c r="N27" s="55">
        <f t="shared" si="270"/>
        <v>1.7404179020305888E-4</v>
      </c>
      <c r="O27" s="55">
        <f t="shared" ref="O27:P27" si="271">IF(O24="","",SUM(O25:O26))</f>
        <v>8.7834502122839588E-4</v>
      </c>
      <c r="P27" s="55">
        <f t="shared" si="271"/>
        <v>8.7834502122839588E-4</v>
      </c>
      <c r="Q27" s="55">
        <f t="shared" ref="Q27:R27" si="272">IF(Q24="","",SUM(Q25:Q26))</f>
        <v>8.7834502122839588E-4</v>
      </c>
      <c r="R27" s="55">
        <f t="shared" si="272"/>
        <v>8.7834502122839588E-4</v>
      </c>
      <c r="S27" s="55">
        <f t="shared" ref="S27:T27" si="273">IF(S24="","",SUM(S25:S26))</f>
        <v>8.7834502122839588E-4</v>
      </c>
      <c r="T27" s="55">
        <f t="shared" si="273"/>
        <v>8.7834502122839588E-4</v>
      </c>
      <c r="U27" s="55">
        <f t="shared" ref="U27:V27" si="274">IF(U24="","",SUM(U25:U26))</f>
        <v>8.7834502122839588E-4</v>
      </c>
      <c r="V27" s="55">
        <f t="shared" si="274"/>
        <v>8.7834502122839588E-4</v>
      </c>
      <c r="W27" s="55">
        <f t="shared" ref="W27:X27" si="275">IF(W24="","",SUM(W25:W26))</f>
        <v>8.7834502122839588E-4</v>
      </c>
      <c r="X27" s="55">
        <f t="shared" si="275"/>
        <v>8.7834502122839588E-4</v>
      </c>
      <c r="Y27" s="55">
        <f t="shared" ref="Y27" si="276">IF(Y24="","",SUM(Y25:Y26))</f>
        <v>8.7834502122839588E-4</v>
      </c>
      <c r="Z27" s="55">
        <f>IF(Z24="","",SUM(Z25:Z26))</f>
        <v>8.7834502122839588E-4</v>
      </c>
      <c r="AA27" s="55">
        <f t="shared" ref="AA27:AB27" si="277">IF(AA24="","",SUM(AA25:AA26))</f>
        <v>3.8499282769241766E-4</v>
      </c>
      <c r="AB27" s="55">
        <f t="shared" si="277"/>
        <v>3.8499282769241766E-4</v>
      </c>
      <c r="AC27" s="55">
        <f t="shared" ref="AC27:AD27" si="278">IF(AC24="","",SUM(AC25:AC26))</f>
        <v>3.8499282769241766E-4</v>
      </c>
      <c r="AD27" s="55">
        <f t="shared" si="278"/>
        <v>3.8499282769241766E-4</v>
      </c>
      <c r="AE27" s="55">
        <f t="shared" ref="AE27:AF27" si="279">IF(AE24="","",SUM(AE25:AE26))</f>
        <v>3.8499282769241766E-4</v>
      </c>
      <c r="AF27" s="55">
        <f t="shared" si="279"/>
        <v>3.8499282769241766E-4</v>
      </c>
      <c r="AG27" s="55">
        <f t="shared" ref="AG27:AH27" si="280">IF(AG24="","",SUM(AG25:AG26))</f>
        <v>3.8499282769241766E-4</v>
      </c>
      <c r="AH27" s="55">
        <f t="shared" si="280"/>
        <v>3.8499282769241766E-4</v>
      </c>
      <c r="AI27" s="55">
        <f t="shared" ref="AI27:AJ27" si="281">IF(AI24="","",SUM(AI25:AI26))</f>
        <v>3.8499282769241766E-4</v>
      </c>
      <c r="AJ27" s="55">
        <f t="shared" si="281"/>
        <v>3.8499282769241766E-4</v>
      </c>
      <c r="AK27" s="55">
        <f t="shared" ref="AK27:AL27" si="282">IF(AK24="","",SUM(AK25:AK26))</f>
        <v>3.8499282769241766E-4</v>
      </c>
      <c r="AL27" s="55">
        <f t="shared" si="282"/>
        <v>3.8499282769241766E-4</v>
      </c>
      <c r="AM27" s="55">
        <f t="shared" ref="AM27:AN27" si="283">IF(AM24="","",SUM(AM25:AM26))</f>
        <v>9.1154334090745245E-4</v>
      </c>
      <c r="AN27" s="55">
        <f t="shared" si="283"/>
        <v>9.1154334090745245E-4</v>
      </c>
      <c r="AO27" s="55">
        <f t="shared" ref="AO27:AP27" si="284">IF(AO24="","",SUM(AO25:AO26))</f>
        <v>9.1154334090745245E-4</v>
      </c>
      <c r="AP27" s="55">
        <f t="shared" si="284"/>
        <v>9.1154334090745245E-4</v>
      </c>
      <c r="AQ27" s="55">
        <f t="shared" ref="AQ27:AR27" si="285">IF(AQ24="","",SUM(AQ25:AQ26))</f>
        <v>9.1154334090745245E-4</v>
      </c>
      <c r="AR27" s="55">
        <f t="shared" si="285"/>
        <v>9.1154334090745245E-4</v>
      </c>
      <c r="AS27" s="55">
        <f t="shared" ref="AS27:AT27" si="286">IF(AS24="","",SUM(AS25:AS26))</f>
        <v>9.1154334090745245E-4</v>
      </c>
      <c r="AT27" s="55">
        <f t="shared" si="286"/>
        <v>9.1154334090745245E-4</v>
      </c>
      <c r="AU27" s="55">
        <f t="shared" ref="AU27:AV27" si="287">IF(AU24="","",SUM(AU25:AU26))</f>
        <v>9.1154334090745245E-4</v>
      </c>
      <c r="AV27" s="55">
        <f t="shared" si="287"/>
        <v>9.1154334090745245E-4</v>
      </c>
      <c r="AW27" s="55">
        <f t="shared" ref="AW27:AX27" si="288">IF(AW24="","",SUM(AW25:AW26))</f>
        <v>9.1154334090745245E-4</v>
      </c>
      <c r="AX27" s="55">
        <f t="shared" si="288"/>
        <v>9.1154334090745245E-4</v>
      </c>
      <c r="AY27" s="55">
        <f t="shared" ref="AY27:AZ27" si="289">IF(AY24="","",SUM(AY25:AY26))</f>
        <v>3.690182530911697E-4</v>
      </c>
      <c r="AZ27" s="55">
        <f t="shared" si="289"/>
        <v>3.690182530911697E-4</v>
      </c>
      <c r="BA27" s="55">
        <f t="shared" ref="BA27:BB27" si="290">IF(BA24="","",SUM(BA25:BA26))</f>
        <v>3.690182530911697E-4</v>
      </c>
      <c r="BB27" s="55">
        <f t="shared" si="290"/>
        <v>3.690182530911697E-4</v>
      </c>
      <c r="BC27" s="55">
        <f t="shared" ref="BC27:BD27" si="291">IF(BC24="","",SUM(BC25:BC26))</f>
        <v>3.690182530911697E-4</v>
      </c>
      <c r="BD27" s="55">
        <f t="shared" si="291"/>
        <v>3.690182530911697E-4</v>
      </c>
      <c r="BE27" s="55">
        <f t="shared" ref="BE27:BF27" si="292">IF(BE24="","",SUM(BE25:BE26))</f>
        <v>3.690182530911697E-4</v>
      </c>
      <c r="BF27" s="55">
        <f t="shared" si="292"/>
        <v>3.690182530911697E-4</v>
      </c>
      <c r="BG27" s="55">
        <f t="shared" ref="BG27:BH27" si="293">IF(BG24="","",SUM(BG25:BG26))</f>
        <v>3.690182530911697E-4</v>
      </c>
      <c r="BH27" s="55">
        <f t="shared" si="293"/>
        <v>3.690182530911697E-4</v>
      </c>
      <c r="BI27" s="55">
        <f t="shared" ref="BI27:BJ27" si="294">IF(BI24="","",SUM(BI25:BI26))</f>
        <v>3.690182530911697E-4</v>
      </c>
      <c r="BJ27" s="55">
        <f t="shared" si="294"/>
        <v>3.690182530911697E-4</v>
      </c>
      <c r="BK27" s="55">
        <f t="shared" ref="BK27:BL27" si="295">IF(BK24="","",SUM(BK25:BK26))</f>
        <v>7.6918817566384815E-5</v>
      </c>
      <c r="BL27" s="55" t="str">
        <f t="shared" si="295"/>
        <v/>
      </c>
    </row>
    <row r="28" spans="1:64" x14ac:dyDescent="0.25">
      <c r="A28" s="281"/>
      <c r="B28" s="64" t="s">
        <v>50</v>
      </c>
      <c r="C28" s="59">
        <f t="shared" ref="C28:D28" si="296">IF(C24="","",IFERROR(C26/C27,""))</f>
        <v>-0.45755056910447539</v>
      </c>
      <c r="D28" s="59">
        <f t="shared" si="296"/>
        <v>-0.45755056910447539</v>
      </c>
      <c r="E28" s="59">
        <f t="shared" ref="E28:F28" si="297">IF(E24="","",IFERROR(E26/E27,""))</f>
        <v>-0.45755056910447539</v>
      </c>
      <c r="F28" s="59">
        <f t="shared" si="297"/>
        <v>-0.45755056910447539</v>
      </c>
      <c r="G28" s="59">
        <f t="shared" ref="G28:H28" si="298">IF(G24="","",IFERROR(G26/G27,""))</f>
        <v>-0.45755056910447539</v>
      </c>
      <c r="H28" s="59">
        <f t="shared" si="298"/>
        <v>-0.45755056910447539</v>
      </c>
      <c r="I28" s="59">
        <f t="shared" ref="I28:J28" si="299">IF(I24="","",IFERROR(I26/I27,""))</f>
        <v>-0.45755056910447539</v>
      </c>
      <c r="J28" s="59">
        <f t="shared" si="299"/>
        <v>-0.45755056910447539</v>
      </c>
      <c r="K28" s="59">
        <f t="shared" ref="K28:L28" si="300">IF(K24="","",IFERROR(K26/K27,""))</f>
        <v>-0.45755056910447539</v>
      </c>
      <c r="L28" s="59">
        <f t="shared" si="300"/>
        <v>-0.45755056910447539</v>
      </c>
      <c r="M28" s="59">
        <f t="shared" ref="M28:N28" si="301">IF(M24="","",IFERROR(M26/M27,""))</f>
        <v>-0.45755056910447539</v>
      </c>
      <c r="N28" s="59">
        <f t="shared" si="301"/>
        <v>-0.45755056910447539</v>
      </c>
      <c r="O28" s="59">
        <f t="shared" ref="O28:P28" si="302">IF(O24="","",IFERROR(O26/O27,""))</f>
        <v>4.6228323042835098E-2</v>
      </c>
      <c r="P28" s="59">
        <f t="shared" si="302"/>
        <v>4.6228323042835098E-2</v>
      </c>
      <c r="Q28" s="59">
        <f t="shared" ref="Q28:R28" si="303">IF(Q24="","",IFERROR(Q26/Q27,""))</f>
        <v>4.6228323042835098E-2</v>
      </c>
      <c r="R28" s="59">
        <f t="shared" si="303"/>
        <v>4.6228323042835098E-2</v>
      </c>
      <c r="S28" s="59">
        <f t="shared" ref="S28:T28" si="304">IF(S24="","",IFERROR(S26/S27,""))</f>
        <v>4.6228323042835098E-2</v>
      </c>
      <c r="T28" s="59">
        <f t="shared" si="304"/>
        <v>4.6228323042835098E-2</v>
      </c>
      <c r="U28" s="59">
        <f t="shared" ref="U28:V28" si="305">IF(U24="","",IFERROR(U26/U27,""))</f>
        <v>4.6228323042835098E-2</v>
      </c>
      <c r="V28" s="59">
        <f t="shared" si="305"/>
        <v>4.6228323042835098E-2</v>
      </c>
      <c r="W28" s="59">
        <f t="shared" ref="W28:X28" si="306">IF(W24="","",IFERROR(W26/W27,""))</f>
        <v>4.6228323042835098E-2</v>
      </c>
      <c r="X28" s="59">
        <f t="shared" si="306"/>
        <v>4.6228323042835098E-2</v>
      </c>
      <c r="Y28" s="59">
        <f t="shared" ref="Y28:Z28" si="307">IF(Y24="","",IFERROR(Y26/Y27,""))</f>
        <v>4.6228323042835098E-2</v>
      </c>
      <c r="Z28" s="59">
        <f t="shared" si="307"/>
        <v>4.6228323042835098E-2</v>
      </c>
      <c r="AA28" s="59">
        <f t="shared" ref="AA28:AB28" si="308">IF(AA24="","",IFERROR(AA26/AA27,""))</f>
        <v>-0.35071432651088263</v>
      </c>
      <c r="AB28" s="59">
        <f t="shared" si="308"/>
        <v>-0.35071432651088263</v>
      </c>
      <c r="AC28" s="59">
        <f t="shared" ref="AC28:AD28" si="309">IF(AC24="","",IFERROR(AC26/AC27,""))</f>
        <v>-0.35071432651088263</v>
      </c>
      <c r="AD28" s="59">
        <f t="shared" si="309"/>
        <v>-0.35071432651088263</v>
      </c>
      <c r="AE28" s="59">
        <f t="shared" ref="AE28:AF28" si="310">IF(AE24="","",IFERROR(AE26/AE27,""))</f>
        <v>-0.35071432651088263</v>
      </c>
      <c r="AF28" s="59">
        <f t="shared" si="310"/>
        <v>-0.35071432651088263</v>
      </c>
      <c r="AG28" s="59">
        <f t="shared" ref="AG28:AH28" si="311">IF(AG24="","",IFERROR(AG26/AG27,""))</f>
        <v>-0.35071432651088263</v>
      </c>
      <c r="AH28" s="59">
        <f t="shared" si="311"/>
        <v>-0.35071432651088263</v>
      </c>
      <c r="AI28" s="59">
        <f t="shared" ref="AI28:AJ28" si="312">IF(AI24="","",IFERROR(AI26/AI27,""))</f>
        <v>-0.35071432651088263</v>
      </c>
      <c r="AJ28" s="59">
        <f t="shared" si="312"/>
        <v>-0.35071432651088263</v>
      </c>
      <c r="AK28" s="59">
        <f t="shared" ref="AK28:AL28" si="313">IF(AK24="","",IFERROR(AK26/AK27,""))</f>
        <v>-0.35071432651088263</v>
      </c>
      <c r="AL28" s="59">
        <f t="shared" si="313"/>
        <v>-0.35071432651088263</v>
      </c>
      <c r="AM28" s="59">
        <f t="shared" ref="AM28:AN28" si="314">IF(AM24="","",IFERROR(AM26/AM27,""))</f>
        <v>2.6128887959640558E-3</v>
      </c>
      <c r="AN28" s="59">
        <f t="shared" si="314"/>
        <v>2.6128887959640558E-3</v>
      </c>
      <c r="AO28" s="59">
        <f t="shared" ref="AO28:AP28" si="315">IF(AO24="","",IFERROR(AO26/AO27,""))</f>
        <v>2.6128887959640558E-3</v>
      </c>
      <c r="AP28" s="59">
        <f t="shared" si="315"/>
        <v>2.6128887959640558E-3</v>
      </c>
      <c r="AQ28" s="59">
        <f t="shared" ref="AQ28:AR28" si="316">IF(AQ24="","",IFERROR(AQ26/AQ27,""))</f>
        <v>2.6128887959640558E-3</v>
      </c>
      <c r="AR28" s="59">
        <f t="shared" si="316"/>
        <v>2.6128887959640558E-3</v>
      </c>
      <c r="AS28" s="59">
        <f t="shared" ref="AS28:AT28" si="317">IF(AS24="","",IFERROR(AS26/AS27,""))</f>
        <v>2.6128887959640558E-3</v>
      </c>
      <c r="AT28" s="59">
        <f t="shared" si="317"/>
        <v>2.6128887959640558E-3</v>
      </c>
      <c r="AU28" s="59">
        <f t="shared" ref="AU28:AV28" si="318">IF(AU24="","",IFERROR(AU26/AU27,""))</f>
        <v>2.6128887959640558E-3</v>
      </c>
      <c r="AV28" s="59">
        <f t="shared" si="318"/>
        <v>2.6128887959640558E-3</v>
      </c>
      <c r="AW28" s="59">
        <f t="shared" ref="AW28:AX28" si="319">IF(AW24="","",IFERROR(AW26/AW27,""))</f>
        <v>2.6128887959640558E-3</v>
      </c>
      <c r="AX28" s="59">
        <f t="shared" si="319"/>
        <v>2.6128887959640558E-3</v>
      </c>
      <c r="AY28" s="59">
        <f t="shared" ref="AY28:AZ28" si="320">IF(AY24="","",IFERROR(AY26/AY27,""))</f>
        <v>-0.93749645998546316</v>
      </c>
      <c r="AZ28" s="59">
        <f t="shared" si="320"/>
        <v>-0.93749645998546316</v>
      </c>
      <c r="BA28" s="59">
        <f t="shared" ref="BA28:BB28" si="321">IF(BA24="","",IFERROR(BA26/BA27,""))</f>
        <v>-0.93749645998546316</v>
      </c>
      <c r="BB28" s="59">
        <f t="shared" si="321"/>
        <v>-0.93749645998546316</v>
      </c>
      <c r="BC28" s="59">
        <f t="shared" ref="BC28:BD28" si="322">IF(BC24="","",IFERROR(BC26/BC27,""))</f>
        <v>-0.93749645998546316</v>
      </c>
      <c r="BD28" s="59">
        <f t="shared" si="322"/>
        <v>-0.93749645998546316</v>
      </c>
      <c r="BE28" s="59">
        <f t="shared" ref="BE28:BF28" si="323">IF(BE24="","",IFERROR(BE26/BE27,""))</f>
        <v>-0.93749645998546316</v>
      </c>
      <c r="BF28" s="59">
        <f t="shared" si="323"/>
        <v>-0.93749645998546316</v>
      </c>
      <c r="BG28" s="59">
        <f t="shared" ref="BG28:BH28" si="324">IF(BG24="","",IFERROR(BG26/BG27,""))</f>
        <v>-0.93749645998546316</v>
      </c>
      <c r="BH28" s="59">
        <f t="shared" si="324"/>
        <v>-0.93749645998546316</v>
      </c>
      <c r="BI28" s="59">
        <f t="shared" ref="BI28:BJ28" si="325">IF(BI24="","",IFERROR(BI26/BI27,""))</f>
        <v>-0.93749645998546316</v>
      </c>
      <c r="BJ28" s="59">
        <f t="shared" si="325"/>
        <v>-0.93749645998546316</v>
      </c>
      <c r="BK28" s="59">
        <f t="shared" ref="BK28:BL28" si="326">IF(BK24="","",IFERROR(BK26/BK27,""))</f>
        <v>-1.2270107073139425</v>
      </c>
      <c r="BL28" s="59" t="str">
        <f t="shared" si="326"/>
        <v/>
      </c>
    </row>
    <row r="29" spans="1:64" x14ac:dyDescent="0.25">
      <c r="A29" s="281"/>
      <c r="B29" s="65" t="s">
        <v>51</v>
      </c>
      <c r="C29" s="57">
        <f t="shared" ref="C29:D29" si="327">IF(C24="","",ROUND(C28*C24,2))</f>
        <v>-20708.53</v>
      </c>
      <c r="D29" s="57">
        <f t="shared" si="327"/>
        <v>-17927.830000000002</v>
      </c>
      <c r="E29" s="57">
        <f t="shared" ref="E29:F29" si="328">IF(E24="","",ROUND(E28*E24,2))</f>
        <v>-17511.97</v>
      </c>
      <c r="F29" s="57">
        <f t="shared" si="328"/>
        <v>-16485.95</v>
      </c>
      <c r="G29" s="57">
        <f t="shared" ref="G29:H29" si="329">IF(G24="","",ROUND(G28*G24,2))</f>
        <v>-19200.04</v>
      </c>
      <c r="H29" s="57">
        <f t="shared" si="329"/>
        <v>-20208.66</v>
      </c>
      <c r="I29" s="57">
        <f t="shared" ref="I29:J29" si="330">IF(I24="","",ROUND(I28*I24,2))</f>
        <v>-21182.03</v>
      </c>
      <c r="J29" s="57">
        <f t="shared" si="330"/>
        <v>-21187.42</v>
      </c>
      <c r="K29" s="57">
        <f t="shared" ref="K29:L29" si="331">IF(K24="","",ROUND(K28*K24,2))</f>
        <v>-18832.849999999999</v>
      </c>
      <c r="L29" s="57">
        <f t="shared" si="331"/>
        <v>-18699.46</v>
      </c>
      <c r="M29" s="57">
        <f t="shared" ref="M29:N29" si="332">IF(M24="","",ROUND(M28*M24,2))</f>
        <v>-19565.84</v>
      </c>
      <c r="N29" s="57">
        <f t="shared" si="332"/>
        <v>-19211.02</v>
      </c>
      <c r="O29" s="57">
        <f t="shared" ref="O29:P29" si="333">IF(O24="","",ROUND(O28*O24,2))</f>
        <v>5225.53</v>
      </c>
      <c r="P29" s="57">
        <f t="shared" si="333"/>
        <v>8688.59</v>
      </c>
      <c r="Q29" s="57">
        <f t="shared" ref="Q29:R29" si="334">IF(Q24="","",ROUND(Q28*Q24,2))</f>
        <v>8718.77</v>
      </c>
      <c r="R29" s="57">
        <f t="shared" si="334"/>
        <v>9032.2099999999991</v>
      </c>
      <c r="S29" s="57">
        <f t="shared" ref="S29:T29" si="335">IF(S24="","",ROUND(S28*S24,2))</f>
        <v>8700.5300000000007</v>
      </c>
      <c r="T29" s="57">
        <f t="shared" si="335"/>
        <v>11631.74</v>
      </c>
      <c r="U29" s="57">
        <f t="shared" ref="U29:V29" si="336">IF(U24="","",ROUND(U28*U24,2))</f>
        <v>10679.45</v>
      </c>
      <c r="V29" s="57">
        <f t="shared" si="336"/>
        <v>10815</v>
      </c>
      <c r="W29" s="57">
        <f t="shared" ref="W29:X29" si="337">IF(W24="","",ROUND(W28*W24,2))</f>
        <v>9338.6</v>
      </c>
      <c r="X29" s="57">
        <f t="shared" si="337"/>
        <v>8146.01</v>
      </c>
      <c r="Y29" s="57">
        <f t="shared" ref="Y29:Z29" si="338">IF(Y24="","",ROUND(Y28*Y24,2))</f>
        <v>10707.36</v>
      </c>
      <c r="Z29" s="57">
        <f t="shared" si="338"/>
        <v>10340.290000000001</v>
      </c>
      <c r="AA29" s="57">
        <f t="shared" ref="AA29:AB29" si="339">IF(AA24="","",ROUND(AA28*AA24,2))</f>
        <v>-58728.46</v>
      </c>
      <c r="AB29" s="57">
        <f t="shared" si="339"/>
        <v>-30610.37</v>
      </c>
      <c r="AC29" s="57">
        <f t="shared" ref="AC29:AD29" si="340">IF(AC24="","",ROUND(AC28*AC24,2))</f>
        <v>-26134.63</v>
      </c>
      <c r="AD29" s="57">
        <f t="shared" si="340"/>
        <v>-30515.41</v>
      </c>
      <c r="AE29" s="57">
        <f t="shared" ref="AE29:AF29" si="341">IF(AE24="","",ROUND(AE28*AE24,2))</f>
        <v>-34741.599999999999</v>
      </c>
      <c r="AF29" s="57">
        <f t="shared" si="341"/>
        <v>-36119.75</v>
      </c>
      <c r="AG29" s="57">
        <f t="shared" ref="AG29:AH29" si="342">IF(AG24="","",ROUND(AG28*AG24,2))</f>
        <v>-35830</v>
      </c>
      <c r="AH29" s="57">
        <f t="shared" si="342"/>
        <v>-34903.65</v>
      </c>
      <c r="AI29" s="57">
        <f t="shared" ref="AI29:AJ29" si="343">IF(AI24="","",ROUND(AI28*AI24,2))</f>
        <v>-30944.84</v>
      </c>
      <c r="AJ29" s="57">
        <f t="shared" si="343"/>
        <v>-31250.06</v>
      </c>
      <c r="AK29" s="57">
        <f t="shared" ref="AK29:AL29" si="344">IF(AK24="","",ROUND(AK28*AK24,2))</f>
        <v>-32438.34</v>
      </c>
      <c r="AL29" s="57">
        <f t="shared" si="344"/>
        <v>-30881.82</v>
      </c>
      <c r="AM29" s="57">
        <f t="shared" ref="AM29:AN29" si="345">IF(AM24="","",ROUND(AM28*AM24,2))</f>
        <v>314.94</v>
      </c>
      <c r="AN29" s="57">
        <f t="shared" si="345"/>
        <v>504.74</v>
      </c>
      <c r="AO29" s="57">
        <f t="shared" ref="AO29:AP29" si="346">IF(AO24="","",ROUND(AO28*AO24,2))</f>
        <v>522.91</v>
      </c>
      <c r="AP29" s="57">
        <f t="shared" si="346"/>
        <v>522.51</v>
      </c>
      <c r="AQ29" s="57">
        <f t="shared" ref="AQ29:AR29" si="347">IF(AQ24="","",ROUND(AQ28*AQ24,2))</f>
        <v>546.36</v>
      </c>
      <c r="AR29" s="57">
        <f t="shared" si="347"/>
        <v>560.33000000000004</v>
      </c>
      <c r="AS29" s="57">
        <f t="shared" ref="AS29:AT29" si="348">IF(AS24="","",ROUND(AS28*AS24,2))</f>
        <v>633.89</v>
      </c>
      <c r="AT29" s="57">
        <f t="shared" si="348"/>
        <v>605.76</v>
      </c>
      <c r="AU29" s="57">
        <f t="shared" ref="AU29:AV29" si="349">IF(AU24="","",ROUND(AU28*AU24,2))</f>
        <v>525.92999999999995</v>
      </c>
      <c r="AV29" s="57">
        <f t="shared" si="349"/>
        <v>529.66</v>
      </c>
      <c r="AW29" s="57">
        <f t="shared" ref="AW29:AX29" si="350">IF(AW24="","",ROUND(AW28*AW24,2))</f>
        <v>520.76</v>
      </c>
      <c r="AX29" s="57">
        <f t="shared" si="350"/>
        <v>550.14</v>
      </c>
      <c r="AY29" s="57">
        <f t="shared" ref="AY29:AZ29" si="351">IF(AY24="","",ROUND(AY28*AY24,2))</f>
        <v>-158083.99</v>
      </c>
      <c r="AZ29" s="57">
        <f t="shared" si="351"/>
        <v>-78785.119999999995</v>
      </c>
      <c r="BA29" s="57">
        <f t="shared" ref="BA29:BB29" si="352">IF(BA24="","",ROUND(BA28*BA24,2))</f>
        <v>-71808.55</v>
      </c>
      <c r="BB29" s="57">
        <f t="shared" si="352"/>
        <v>-75310.320000000007</v>
      </c>
      <c r="BC29" s="57">
        <f t="shared" ref="BC29:BD29" si="353">IF(BC24="","",ROUND(BC28*BC24,2))</f>
        <v>-82106.87</v>
      </c>
      <c r="BD29" s="57">
        <f t="shared" si="353"/>
        <v>-88172.57</v>
      </c>
      <c r="BE29" s="57">
        <f t="shared" ref="BE29:BF29" si="354">IF(BE24="","",ROUND(BE28*BE24,2))</f>
        <v>-83326.080000000002</v>
      </c>
      <c r="BF29" s="57">
        <f t="shared" si="354"/>
        <v>-81760.44</v>
      </c>
      <c r="BG29" s="57">
        <f t="shared" ref="BG29:BH29" si="355">IF(BG24="","",ROUND(BG28*BG24,2))</f>
        <v>-80240.41</v>
      </c>
      <c r="BH29" s="57">
        <f t="shared" si="355"/>
        <v>-70988.86</v>
      </c>
      <c r="BI29" s="57">
        <f t="shared" ref="BI29:BJ29" si="356">IF(BI24="","",ROUND(BI28*BI24,2))</f>
        <v>-74953.289999999994</v>
      </c>
      <c r="BJ29" s="57">
        <f t="shared" si="356"/>
        <v>-77799.23</v>
      </c>
      <c r="BK29" s="57">
        <f t="shared" ref="BK29" si="357">IF(BK24="","",ROUND(BK28*BK24,2))</f>
        <v>-78974.460000000006</v>
      </c>
      <c r="BL29" s="57">
        <f>-271170.365324194/12</f>
        <v>-22597.530443682834</v>
      </c>
    </row>
    <row r="30" spans="1:64" x14ac:dyDescent="0.25">
      <c r="A30" s="68"/>
      <c r="B30" s="66"/>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row>
    <row r="31" spans="1:64" x14ac:dyDescent="0.25">
      <c r="A31" s="281" t="s">
        <v>36</v>
      </c>
      <c r="B31" s="64" t="s">
        <v>47</v>
      </c>
      <c r="C31" s="56">
        <f>IF(+'M3 Allocations - TD'!O55="","",'M3 Allocations - TD'!O55)</f>
        <v>11571.12</v>
      </c>
      <c r="D31" s="56">
        <f>IF(+'M3 Allocations - TD'!P55="","",'M3 Allocations - TD'!P55)</f>
        <v>19931.79</v>
      </c>
      <c r="E31" s="56">
        <f>IF(+'M3 Allocations - TD'!Q55="","",'M3 Allocations - TD'!Q55)</f>
        <v>21827.09</v>
      </c>
      <c r="F31" s="56">
        <f>IF(+'M3 Allocations - TD'!R55="","",'M3 Allocations - TD'!R55)</f>
        <v>22161.01</v>
      </c>
      <c r="G31" s="56">
        <f>IF(+'M3 Allocations - TD'!S55="","",'M3 Allocations - TD'!S55)</f>
        <v>17306.599999999999</v>
      </c>
      <c r="H31" s="56">
        <f>IF(+'M3 Allocations - TD'!T55="","",'M3 Allocations - TD'!T55)</f>
        <v>24911.24</v>
      </c>
      <c r="I31" s="56">
        <f>IF(+'M3 Allocations - TD'!U55="","",'M3 Allocations - TD'!U55)</f>
        <v>25659.02</v>
      </c>
      <c r="J31" s="56">
        <f>IF(+'M3 Allocations - TD'!V55="","",'M3 Allocations - TD'!V55)</f>
        <v>26024.15</v>
      </c>
      <c r="K31" s="56">
        <f>IF(+'M3 Allocations - TD'!W55="","",'M3 Allocations - TD'!W55)</f>
        <v>22923.1</v>
      </c>
      <c r="L31" s="56">
        <f>IF(+'M3 Allocations - TD'!X55="","",'M3 Allocations - TD'!X55)</f>
        <v>22483.33</v>
      </c>
      <c r="M31" s="56">
        <f>IF(+'M3 Allocations - TD'!Y55="","",'M3 Allocations - TD'!Y55)</f>
        <v>22959.24</v>
      </c>
      <c r="N31" s="56">
        <f>IF(+'M3 Allocations - TD'!Z55="","",'M3 Allocations - TD'!Z55)</f>
        <v>20997.32</v>
      </c>
      <c r="O31" s="56">
        <f>IF(+'M3 Allocations - TD'!AA55="","",'M3 Allocations - TD'!AA55)</f>
        <v>34921.4</v>
      </c>
      <c r="P31" s="56">
        <f>IF(+'M3 Allocations - TD'!AB55="","",'M3 Allocations - TD'!AB55)</f>
        <v>24946.880000000001</v>
      </c>
      <c r="Q31" s="56">
        <f>IF(+'M3 Allocations - TD'!AC55="","",'M3 Allocations - TD'!AC55)</f>
        <v>42288.49</v>
      </c>
      <c r="R31" s="56">
        <f>IF(+'M3 Allocations - TD'!AD55="","",'M3 Allocations - TD'!AD55)</f>
        <v>42963.199999999997</v>
      </c>
      <c r="S31" s="56">
        <f>IF(+'M3 Allocations - TD'!AE55="","",'M3 Allocations - TD'!AE55)</f>
        <v>41464.47</v>
      </c>
      <c r="T31" s="56">
        <f>IF(+'M3 Allocations - TD'!AF55="","",'M3 Allocations - TD'!AF55)</f>
        <v>52916.49</v>
      </c>
      <c r="U31" s="56">
        <f>IF(+'M3 Allocations - TD'!AG55="","",'M3 Allocations - TD'!AG55)</f>
        <v>50374.33</v>
      </c>
      <c r="V31" s="56">
        <f>IF(+'M3 Allocations - TD'!AH55="","",'M3 Allocations - TD'!AH55)</f>
        <v>54469.919999999998</v>
      </c>
      <c r="W31" s="56">
        <f>IF(+'M3 Allocations - TD'!AI55="","",'M3 Allocations - TD'!AI55)</f>
        <v>49925.55</v>
      </c>
      <c r="X31" s="56">
        <f>IF(+'M3 Allocations - TD'!AJ55="","",'M3 Allocations - TD'!AJ55)</f>
        <v>33144.800000000003</v>
      </c>
      <c r="Y31" s="56">
        <f>IF(+'M3 Allocations - TD'!AK55="","",'M3 Allocations - TD'!AK55)</f>
        <v>46471.67</v>
      </c>
      <c r="Z31" s="56">
        <f>IF(+'M3 Allocations - TD'!AL55="","",'M3 Allocations - TD'!AL55)</f>
        <v>43301.11</v>
      </c>
      <c r="AA31" s="56">
        <f>IF(+'M3 Allocations - TD'!AM55="","",'M3 Allocations - TD'!AM55)</f>
        <v>35959.279999999999</v>
      </c>
      <c r="AB31" s="56">
        <f>IF(+'M3 Allocations - TD'!AN55="","",'M3 Allocations - TD'!AN55)</f>
        <v>6497.26</v>
      </c>
      <c r="AC31" s="56">
        <f>IF(+'M3 Allocations - TD'!AO55="","",'M3 Allocations - TD'!AO55)</f>
        <v>-22925.25</v>
      </c>
      <c r="AD31" s="56">
        <f>IF(+'M3 Allocations - TD'!AP55="","",'M3 Allocations - TD'!AP55)</f>
        <v>5065.87</v>
      </c>
      <c r="AE31" s="56">
        <f>IF(+'M3 Allocations - TD'!AQ55="","",'M3 Allocations - TD'!AQ55)</f>
        <v>6175.37</v>
      </c>
      <c r="AF31" s="56">
        <f>IF(+'M3 Allocations - TD'!AR55="","",'M3 Allocations - TD'!AR55)</f>
        <v>7084.63</v>
      </c>
      <c r="AG31" s="56">
        <f>IF(+'M3 Allocations - TD'!AS55="","",'M3 Allocations - TD'!AS55)</f>
        <v>7005.11</v>
      </c>
      <c r="AH31" s="56">
        <f>IF(+'M3 Allocations - TD'!AT55="","",'M3 Allocations - TD'!AT55)</f>
        <v>7302.95</v>
      </c>
      <c r="AI31" s="56">
        <f>IF(+'M3 Allocations - TD'!AU55="","",'M3 Allocations - TD'!AU55)</f>
        <v>6273.92</v>
      </c>
      <c r="AJ31" s="56">
        <f>IF(+'M3 Allocations - TD'!AV55="","",'M3 Allocations - TD'!AV55)</f>
        <v>6266.68</v>
      </c>
      <c r="AK31" s="56">
        <f>IF(+'M3 Allocations - TD'!AW55="","",'M3 Allocations - TD'!AW55)</f>
        <v>6152.05</v>
      </c>
      <c r="AL31" s="56">
        <f>IF(+'M3 Allocations - TD'!AX55="","",'M3 Allocations - TD'!AX55)</f>
        <v>5193.43</v>
      </c>
      <c r="AM31" s="56">
        <f>IF(+'M3 Allocations - TD'!AY55="","",'M3 Allocations - TD'!AY55)</f>
        <v>7679.01</v>
      </c>
      <c r="AN31" s="56">
        <f>IF(+'M3 Allocations - TD'!AZ55="","",'M3 Allocations - TD'!AZ55)</f>
        <v>21723.21</v>
      </c>
      <c r="AO31" s="56">
        <f>IF(+'M3 Allocations - TD'!BA55="","",'M3 Allocations - TD'!BA55)</f>
        <v>21854.95</v>
      </c>
      <c r="AP31" s="56">
        <f>IF(+'M3 Allocations - TD'!BB55="","",'M3 Allocations - TD'!BB55)</f>
        <v>22860.41</v>
      </c>
      <c r="AQ31" s="56">
        <f>IF(+'M3 Allocations - TD'!BC55="","",'M3 Allocations - TD'!BC55)</f>
        <v>27496.560000000001</v>
      </c>
      <c r="AR31" s="56">
        <f>IF(+'M3 Allocations - TD'!BD55="","",'M3 Allocations - TD'!BD55)</f>
        <v>25753.58</v>
      </c>
      <c r="AS31" s="56">
        <f>IF(+'M3 Allocations - TD'!BE55="","",'M3 Allocations - TD'!BE55)</f>
        <v>29526.94</v>
      </c>
      <c r="AT31" s="56">
        <f>IF(+'M3 Allocations - TD'!BF55="","",'M3 Allocations - TD'!BF55)</f>
        <v>32202.720000000001</v>
      </c>
      <c r="AU31" s="56">
        <f>IF(+'M3 Allocations - TD'!BG55="","",'M3 Allocations - TD'!BG55)</f>
        <v>32474.48</v>
      </c>
      <c r="AV31" s="56">
        <f>IF(+'M3 Allocations - TD'!BH55="","",'M3 Allocations - TD'!BH55)</f>
        <v>28952.26</v>
      </c>
      <c r="AW31" s="56">
        <f>IF(+'M3 Allocations - TD'!BI55="","",'M3 Allocations - TD'!BI55)</f>
        <v>32597.200000000001</v>
      </c>
      <c r="AX31" s="56">
        <f>IF(+'M3 Allocations - TD'!BJ55="","",'M3 Allocations - TD'!BJ55)</f>
        <v>28562.54</v>
      </c>
      <c r="AY31" s="56">
        <f>IF(+'M3 Allocations - TD'!BK55="","",'M3 Allocations - TD'!BK55)</f>
        <v>20444.849999999999</v>
      </c>
      <c r="AZ31" s="56">
        <f>IF(+'M3 Allocations - TD'!BL55="","",'M3 Allocations - TD'!BL55)</f>
        <v>14661.1</v>
      </c>
      <c r="BA31" s="56">
        <f>IF(+'M3 Allocations - TD'!BM55="","",'M3 Allocations - TD'!BM55)</f>
        <v>14188.33</v>
      </c>
      <c r="BB31" s="56">
        <f>IF(+'M3 Allocations - TD'!BN55="","",'M3 Allocations - TD'!BN55)</f>
        <v>17263.419999999998</v>
      </c>
      <c r="BC31" s="56">
        <f>IF(+'M3 Allocations - TD'!BO55="","",'M3 Allocations - TD'!BO55)</f>
        <v>17504.25</v>
      </c>
      <c r="BD31" s="56">
        <f>IF(+'M3 Allocations - TD'!BP55="","",'M3 Allocations - TD'!BP55)</f>
        <v>20201.560000000001</v>
      </c>
      <c r="BE31" s="56">
        <f>IF(+'M3 Allocations - TD'!BQ55="","",'M3 Allocations - TD'!BQ55)</f>
        <v>19905.560000000001</v>
      </c>
      <c r="BF31" s="56">
        <f>IF(+'M3 Allocations - TD'!BR55="","",'M3 Allocations - TD'!BR55)</f>
        <v>17391.68</v>
      </c>
      <c r="BG31" s="56">
        <f>IF(+'M3 Allocations - TD'!BS55="","",'M3 Allocations - TD'!BS55)</f>
        <v>17371.310000000001</v>
      </c>
      <c r="BH31" s="56">
        <f>IF(+'M3 Allocations - TD'!BT55="","",'M3 Allocations - TD'!BT55)</f>
        <v>16689.669999999998</v>
      </c>
      <c r="BI31" s="56">
        <f>IF(+'M3 Allocations - TD'!BU55="","",'M3 Allocations - TD'!BU55)</f>
        <v>13860.53</v>
      </c>
      <c r="BJ31" s="56">
        <f>IF(+'M3 Allocations - TD'!BV55="","",'M3 Allocations - TD'!BV55)</f>
        <v>17198.009999999998</v>
      </c>
      <c r="BK31" s="56">
        <f>IF(+'M3 Allocations - TD'!BW55="","",'M3 Allocations - TD'!BW55)</f>
        <v>14843</v>
      </c>
      <c r="BL31" s="275"/>
    </row>
    <row r="32" spans="1:64" x14ac:dyDescent="0.25">
      <c r="A32" s="281"/>
      <c r="B32" s="64" t="s">
        <v>49</v>
      </c>
      <c r="C32" s="102">
        <v>2.6814564034692313E-4</v>
      </c>
      <c r="D32" s="79">
        <f t="shared" ref="D32:BJ33" si="358">IF(D31="","",C32)</f>
        <v>2.6814564034692313E-4</v>
      </c>
      <c r="E32" s="79">
        <f t="shared" si="358"/>
        <v>2.6814564034692313E-4</v>
      </c>
      <c r="F32" s="79">
        <f t="shared" si="358"/>
        <v>2.6814564034692313E-4</v>
      </c>
      <c r="G32" s="79">
        <f t="shared" si="358"/>
        <v>2.6814564034692313E-4</v>
      </c>
      <c r="H32" s="79">
        <f t="shared" si="358"/>
        <v>2.6814564034692313E-4</v>
      </c>
      <c r="I32" s="79">
        <f t="shared" si="358"/>
        <v>2.6814564034692313E-4</v>
      </c>
      <c r="J32" s="79">
        <f t="shared" si="358"/>
        <v>2.6814564034692313E-4</v>
      </c>
      <c r="K32" s="79">
        <f t="shared" si="358"/>
        <v>2.6814564034692313E-4</v>
      </c>
      <c r="L32" s="79">
        <f t="shared" si="358"/>
        <v>2.6814564034692313E-4</v>
      </c>
      <c r="M32" s="79">
        <f t="shared" si="358"/>
        <v>2.6814564034692313E-4</v>
      </c>
      <c r="N32" s="79">
        <f t="shared" si="358"/>
        <v>2.6814564034692313E-4</v>
      </c>
      <c r="O32" s="103">
        <v>5.2795056041353157E-4</v>
      </c>
      <c r="P32" s="79">
        <f t="shared" si="358"/>
        <v>5.2795056041353157E-4</v>
      </c>
      <c r="Q32" s="79">
        <f t="shared" si="358"/>
        <v>5.2795056041353157E-4</v>
      </c>
      <c r="R32" s="79">
        <f t="shared" si="358"/>
        <v>5.2795056041353157E-4</v>
      </c>
      <c r="S32" s="79">
        <f t="shared" si="358"/>
        <v>5.2795056041353157E-4</v>
      </c>
      <c r="T32" s="79">
        <f t="shared" si="358"/>
        <v>5.2795056041353157E-4</v>
      </c>
      <c r="U32" s="79">
        <f t="shared" si="358"/>
        <v>5.2795056041353157E-4</v>
      </c>
      <c r="V32" s="79">
        <f t="shared" si="358"/>
        <v>5.2795056041353157E-4</v>
      </c>
      <c r="W32" s="79">
        <f t="shared" si="358"/>
        <v>5.2795056041353157E-4</v>
      </c>
      <c r="X32" s="79">
        <f t="shared" si="358"/>
        <v>5.2795056041353157E-4</v>
      </c>
      <c r="Y32" s="79">
        <f t="shared" si="358"/>
        <v>5.2795056041353157E-4</v>
      </c>
      <c r="Z32" s="79">
        <f t="shared" si="358"/>
        <v>5.2795056041353157E-4</v>
      </c>
      <c r="AA32" s="103">
        <v>2.1982208585506456E-4</v>
      </c>
      <c r="AB32" s="79">
        <f t="shared" si="358"/>
        <v>2.1982208585506456E-4</v>
      </c>
      <c r="AC32" s="79">
        <f t="shared" si="358"/>
        <v>2.1982208585506456E-4</v>
      </c>
      <c r="AD32" s="79">
        <f t="shared" si="358"/>
        <v>2.1982208585506456E-4</v>
      </c>
      <c r="AE32" s="79">
        <f t="shared" si="358"/>
        <v>2.1982208585506456E-4</v>
      </c>
      <c r="AF32" s="79">
        <f t="shared" si="358"/>
        <v>2.1982208585506456E-4</v>
      </c>
      <c r="AG32" s="79">
        <f t="shared" si="358"/>
        <v>2.1982208585506456E-4</v>
      </c>
      <c r="AH32" s="79">
        <f t="shared" si="358"/>
        <v>2.1982208585506456E-4</v>
      </c>
      <c r="AI32" s="79">
        <f t="shared" si="358"/>
        <v>2.1982208585506456E-4</v>
      </c>
      <c r="AJ32" s="79">
        <f t="shared" si="358"/>
        <v>2.1982208585506456E-4</v>
      </c>
      <c r="AK32" s="79">
        <f t="shared" si="358"/>
        <v>2.1982208585506456E-4</v>
      </c>
      <c r="AL32" s="79">
        <f t="shared" si="358"/>
        <v>2.1982208585506456E-4</v>
      </c>
      <c r="AM32" s="103">
        <v>3.849686811407282E-4</v>
      </c>
      <c r="AN32" s="79">
        <f t="shared" si="358"/>
        <v>3.849686811407282E-4</v>
      </c>
      <c r="AO32" s="79">
        <f t="shared" si="358"/>
        <v>3.849686811407282E-4</v>
      </c>
      <c r="AP32" s="79">
        <f t="shared" si="358"/>
        <v>3.849686811407282E-4</v>
      </c>
      <c r="AQ32" s="79">
        <f t="shared" si="358"/>
        <v>3.849686811407282E-4</v>
      </c>
      <c r="AR32" s="79">
        <f t="shared" si="358"/>
        <v>3.849686811407282E-4</v>
      </c>
      <c r="AS32" s="79">
        <f t="shared" si="358"/>
        <v>3.849686811407282E-4</v>
      </c>
      <c r="AT32" s="79">
        <f t="shared" si="358"/>
        <v>3.849686811407282E-4</v>
      </c>
      <c r="AU32" s="79">
        <f t="shared" si="358"/>
        <v>3.849686811407282E-4</v>
      </c>
      <c r="AV32" s="79">
        <f t="shared" si="358"/>
        <v>3.849686811407282E-4</v>
      </c>
      <c r="AW32" s="79">
        <f t="shared" si="358"/>
        <v>3.849686811407282E-4</v>
      </c>
      <c r="AX32" s="79">
        <f t="shared" si="358"/>
        <v>3.849686811407282E-4</v>
      </c>
      <c r="AY32" s="103">
        <f>0.000337043112509332+0</f>
        <v>3.3704311250933202E-4</v>
      </c>
      <c r="AZ32" s="79">
        <f t="shared" si="358"/>
        <v>3.3704311250933202E-4</v>
      </c>
      <c r="BA32" s="79">
        <f t="shared" si="358"/>
        <v>3.3704311250933202E-4</v>
      </c>
      <c r="BB32" s="79">
        <f t="shared" si="358"/>
        <v>3.3704311250933202E-4</v>
      </c>
      <c r="BC32" s="79">
        <f t="shared" si="358"/>
        <v>3.3704311250933202E-4</v>
      </c>
      <c r="BD32" s="79">
        <f t="shared" si="358"/>
        <v>3.3704311250933202E-4</v>
      </c>
      <c r="BE32" s="79">
        <f t="shared" si="358"/>
        <v>3.3704311250933202E-4</v>
      </c>
      <c r="BF32" s="79">
        <f t="shared" si="358"/>
        <v>3.3704311250933202E-4</v>
      </c>
      <c r="BG32" s="79">
        <f t="shared" si="358"/>
        <v>3.3704311250933202E-4</v>
      </c>
      <c r="BH32" s="79">
        <f t="shared" si="358"/>
        <v>3.3704311250933202E-4</v>
      </c>
      <c r="BI32" s="79">
        <f t="shared" si="358"/>
        <v>3.3704311250933202E-4</v>
      </c>
      <c r="BJ32" s="79">
        <f t="shared" si="358"/>
        <v>3.3704311250933202E-4</v>
      </c>
      <c r="BK32" s="79">
        <v>1.0219552560666811E-4</v>
      </c>
      <c r="BL32" s="79"/>
    </row>
    <row r="33" spans="1:64" x14ac:dyDescent="0.25">
      <c r="A33" s="281"/>
      <c r="B33" s="64" t="s">
        <v>48</v>
      </c>
      <c r="C33" s="103">
        <v>-3.0856536516336082E-5</v>
      </c>
      <c r="D33" s="79">
        <f t="shared" si="358"/>
        <v>-3.0856536516336082E-5</v>
      </c>
      <c r="E33" s="79">
        <f t="shared" si="358"/>
        <v>-3.0856536516336082E-5</v>
      </c>
      <c r="F33" s="79">
        <f t="shared" si="358"/>
        <v>-3.0856536516336082E-5</v>
      </c>
      <c r="G33" s="79">
        <f t="shared" si="358"/>
        <v>-3.0856536516336082E-5</v>
      </c>
      <c r="H33" s="79">
        <f t="shared" si="358"/>
        <v>-3.0856536516336082E-5</v>
      </c>
      <c r="I33" s="79">
        <f t="shared" si="358"/>
        <v>-3.0856536516336082E-5</v>
      </c>
      <c r="J33" s="79">
        <f t="shared" si="358"/>
        <v>-3.0856536516336082E-5</v>
      </c>
      <c r="K33" s="79">
        <f t="shared" si="358"/>
        <v>-3.0856536516336082E-5</v>
      </c>
      <c r="L33" s="79">
        <f t="shared" si="358"/>
        <v>-3.0856536516336082E-5</v>
      </c>
      <c r="M33" s="79">
        <f t="shared" si="358"/>
        <v>-3.0856536516336082E-5</v>
      </c>
      <c r="N33" s="79">
        <f t="shared" si="358"/>
        <v>-3.0856536516336082E-5</v>
      </c>
      <c r="O33" s="103">
        <v>-5.3003111271666544E-5</v>
      </c>
      <c r="P33" s="79">
        <f t="shared" si="358"/>
        <v>-5.3003111271666544E-5</v>
      </c>
      <c r="Q33" s="79">
        <f t="shared" si="358"/>
        <v>-5.3003111271666544E-5</v>
      </c>
      <c r="R33" s="79">
        <f t="shared" si="358"/>
        <v>-5.3003111271666544E-5</v>
      </c>
      <c r="S33" s="79">
        <f t="shared" si="358"/>
        <v>-5.3003111271666544E-5</v>
      </c>
      <c r="T33" s="79">
        <f t="shared" si="358"/>
        <v>-5.3003111271666544E-5</v>
      </c>
      <c r="U33" s="79">
        <f t="shared" si="358"/>
        <v>-5.3003111271666544E-5</v>
      </c>
      <c r="V33" s="79">
        <f t="shared" si="358"/>
        <v>-5.3003111271666544E-5</v>
      </c>
      <c r="W33" s="79">
        <f t="shared" si="358"/>
        <v>-5.3003111271666544E-5</v>
      </c>
      <c r="X33" s="79">
        <f t="shared" si="358"/>
        <v>-5.3003111271666544E-5</v>
      </c>
      <c r="Y33" s="79">
        <f t="shared" si="358"/>
        <v>-5.3003111271666544E-5</v>
      </c>
      <c r="Z33" s="79">
        <f t="shared" si="358"/>
        <v>-5.3003111271666544E-5</v>
      </c>
      <c r="AA33" s="103">
        <v>-1.488660565499755E-4</v>
      </c>
      <c r="AB33" s="79">
        <f t="shared" si="358"/>
        <v>-1.488660565499755E-4</v>
      </c>
      <c r="AC33" s="79">
        <f t="shared" si="358"/>
        <v>-1.488660565499755E-4</v>
      </c>
      <c r="AD33" s="79">
        <f t="shared" si="358"/>
        <v>-1.488660565499755E-4</v>
      </c>
      <c r="AE33" s="79">
        <f t="shared" si="358"/>
        <v>-1.488660565499755E-4</v>
      </c>
      <c r="AF33" s="79">
        <f t="shared" si="358"/>
        <v>-1.488660565499755E-4</v>
      </c>
      <c r="AG33" s="79">
        <f t="shared" si="358"/>
        <v>-1.488660565499755E-4</v>
      </c>
      <c r="AH33" s="79">
        <f t="shared" si="358"/>
        <v>-1.488660565499755E-4</v>
      </c>
      <c r="AI33" s="79">
        <f t="shared" si="358"/>
        <v>-1.488660565499755E-4</v>
      </c>
      <c r="AJ33" s="79">
        <f t="shared" si="358"/>
        <v>-1.488660565499755E-4</v>
      </c>
      <c r="AK33" s="79">
        <f t="shared" si="358"/>
        <v>-1.488660565499755E-4</v>
      </c>
      <c r="AL33" s="79">
        <f t="shared" si="358"/>
        <v>-1.488660565499755E-4</v>
      </c>
      <c r="AM33" s="103">
        <v>-4.6945712688070091E-5</v>
      </c>
      <c r="AN33" s="79">
        <f t="shared" si="358"/>
        <v>-4.6945712688070091E-5</v>
      </c>
      <c r="AO33" s="79">
        <f t="shared" si="358"/>
        <v>-4.6945712688070091E-5</v>
      </c>
      <c r="AP33" s="79">
        <f t="shared" si="358"/>
        <v>-4.6945712688070091E-5</v>
      </c>
      <c r="AQ33" s="79">
        <f t="shared" si="358"/>
        <v>-4.6945712688070091E-5</v>
      </c>
      <c r="AR33" s="79">
        <f t="shared" si="358"/>
        <v>-4.6945712688070091E-5</v>
      </c>
      <c r="AS33" s="79">
        <f t="shared" si="358"/>
        <v>-4.6945712688070091E-5</v>
      </c>
      <c r="AT33" s="79">
        <f t="shared" si="358"/>
        <v>-4.6945712688070091E-5</v>
      </c>
      <c r="AU33" s="79">
        <f t="shared" si="358"/>
        <v>-4.6945712688070091E-5</v>
      </c>
      <c r="AV33" s="79">
        <f t="shared" si="358"/>
        <v>-4.6945712688070091E-5</v>
      </c>
      <c r="AW33" s="79">
        <f t="shared" si="358"/>
        <v>-4.6945712688070091E-5</v>
      </c>
      <c r="AX33" s="79">
        <f t="shared" si="358"/>
        <v>-4.6945712688070091E-5</v>
      </c>
      <c r="AY33" s="103">
        <f>-0.0000901106048026424+1.49484145884353E-06</f>
        <v>-8.8615763343798874E-5</v>
      </c>
      <c r="AZ33" s="79">
        <f t="shared" si="358"/>
        <v>-8.8615763343798874E-5</v>
      </c>
      <c r="BA33" s="79">
        <f t="shared" si="358"/>
        <v>-8.8615763343798874E-5</v>
      </c>
      <c r="BB33" s="79">
        <f t="shared" si="358"/>
        <v>-8.8615763343798874E-5</v>
      </c>
      <c r="BC33" s="79">
        <f t="shared" si="358"/>
        <v>-8.8615763343798874E-5</v>
      </c>
      <c r="BD33" s="79">
        <f t="shared" si="358"/>
        <v>-8.8615763343798874E-5</v>
      </c>
      <c r="BE33" s="79">
        <f t="shared" si="358"/>
        <v>-8.8615763343798874E-5</v>
      </c>
      <c r="BF33" s="79">
        <f t="shared" si="358"/>
        <v>-8.8615763343798874E-5</v>
      </c>
      <c r="BG33" s="79">
        <f t="shared" si="358"/>
        <v>-8.8615763343798874E-5</v>
      </c>
      <c r="BH33" s="79">
        <f t="shared" si="358"/>
        <v>-8.8615763343798874E-5</v>
      </c>
      <c r="BI33" s="79">
        <f t="shared" si="358"/>
        <v>-8.8615763343798874E-5</v>
      </c>
      <c r="BJ33" s="79">
        <f t="shared" si="358"/>
        <v>-8.8615763343798874E-5</v>
      </c>
      <c r="BK33" s="79">
        <v>1.1187253738237927E-4</v>
      </c>
      <c r="BL33" s="79"/>
    </row>
    <row r="34" spans="1:64" x14ac:dyDescent="0.25">
      <c r="A34" s="281"/>
      <c r="B34" s="64" t="s">
        <v>56</v>
      </c>
      <c r="C34" s="55">
        <f t="shared" ref="C34:D34" si="359">IF(C31="","",SUM(C32:C33))</f>
        <v>2.3728910383058704E-4</v>
      </c>
      <c r="D34" s="55">
        <f t="shared" si="359"/>
        <v>2.3728910383058704E-4</v>
      </c>
      <c r="E34" s="55">
        <f t="shared" ref="E34:F34" si="360">IF(E31="","",SUM(E32:E33))</f>
        <v>2.3728910383058704E-4</v>
      </c>
      <c r="F34" s="55">
        <f t="shared" si="360"/>
        <v>2.3728910383058704E-4</v>
      </c>
      <c r="G34" s="55">
        <f t="shared" ref="G34:H34" si="361">IF(G31="","",SUM(G32:G33))</f>
        <v>2.3728910383058704E-4</v>
      </c>
      <c r="H34" s="55">
        <f t="shared" si="361"/>
        <v>2.3728910383058704E-4</v>
      </c>
      <c r="I34" s="55">
        <f t="shared" ref="I34:J34" si="362">IF(I31="","",SUM(I32:I33))</f>
        <v>2.3728910383058704E-4</v>
      </c>
      <c r="J34" s="55">
        <f t="shared" si="362"/>
        <v>2.3728910383058704E-4</v>
      </c>
      <c r="K34" s="55">
        <f t="shared" ref="K34:L34" si="363">IF(K31="","",SUM(K32:K33))</f>
        <v>2.3728910383058704E-4</v>
      </c>
      <c r="L34" s="55">
        <f t="shared" si="363"/>
        <v>2.3728910383058704E-4</v>
      </c>
      <c r="M34" s="55">
        <f t="shared" ref="M34:N34" si="364">IF(M31="","",SUM(M32:M33))</f>
        <v>2.3728910383058704E-4</v>
      </c>
      <c r="N34" s="55">
        <f t="shared" si="364"/>
        <v>2.3728910383058704E-4</v>
      </c>
      <c r="O34" s="55">
        <f t="shared" ref="O34:P34" si="365">IF(O31="","",SUM(O32:O33))</f>
        <v>4.7494744914186501E-4</v>
      </c>
      <c r="P34" s="55">
        <f t="shared" si="365"/>
        <v>4.7494744914186501E-4</v>
      </c>
      <c r="Q34" s="55">
        <f t="shared" ref="Q34:R34" si="366">IF(Q31="","",SUM(Q32:Q33))</f>
        <v>4.7494744914186501E-4</v>
      </c>
      <c r="R34" s="55">
        <f t="shared" si="366"/>
        <v>4.7494744914186501E-4</v>
      </c>
      <c r="S34" s="55">
        <f t="shared" ref="S34:T34" si="367">IF(S31="","",SUM(S32:S33))</f>
        <v>4.7494744914186501E-4</v>
      </c>
      <c r="T34" s="55">
        <f t="shared" si="367"/>
        <v>4.7494744914186501E-4</v>
      </c>
      <c r="U34" s="55">
        <f t="shared" ref="U34:V34" si="368">IF(U31="","",SUM(U32:U33))</f>
        <v>4.7494744914186501E-4</v>
      </c>
      <c r="V34" s="55">
        <f t="shared" si="368"/>
        <v>4.7494744914186501E-4</v>
      </c>
      <c r="W34" s="55">
        <f t="shared" ref="W34:X34" si="369">IF(W31="","",SUM(W32:W33))</f>
        <v>4.7494744914186501E-4</v>
      </c>
      <c r="X34" s="55">
        <f t="shared" si="369"/>
        <v>4.7494744914186501E-4</v>
      </c>
      <c r="Y34" s="55">
        <f t="shared" ref="Y34:Z34" si="370">IF(Y31="","",SUM(Y32:Y33))</f>
        <v>4.7494744914186501E-4</v>
      </c>
      <c r="Z34" s="55">
        <f t="shared" si="370"/>
        <v>4.7494744914186501E-4</v>
      </c>
      <c r="AA34" s="55">
        <f t="shared" ref="AA34:AB34" si="371">IF(AA31="","",SUM(AA32:AA33))</f>
        <v>7.0956029305089066E-5</v>
      </c>
      <c r="AB34" s="55">
        <f t="shared" si="371"/>
        <v>7.0956029305089066E-5</v>
      </c>
      <c r="AC34" s="55">
        <f t="shared" ref="AC34:AD34" si="372">IF(AC31="","",SUM(AC32:AC33))</f>
        <v>7.0956029305089066E-5</v>
      </c>
      <c r="AD34" s="55">
        <f t="shared" si="372"/>
        <v>7.0956029305089066E-5</v>
      </c>
      <c r="AE34" s="55">
        <f t="shared" ref="AE34:AF34" si="373">IF(AE31="","",SUM(AE32:AE33))</f>
        <v>7.0956029305089066E-5</v>
      </c>
      <c r="AF34" s="55">
        <f t="shared" si="373"/>
        <v>7.0956029305089066E-5</v>
      </c>
      <c r="AG34" s="55">
        <f t="shared" ref="AG34:AH34" si="374">IF(AG31="","",SUM(AG32:AG33))</f>
        <v>7.0956029305089066E-5</v>
      </c>
      <c r="AH34" s="55">
        <f t="shared" si="374"/>
        <v>7.0956029305089066E-5</v>
      </c>
      <c r="AI34" s="55">
        <f t="shared" ref="AI34:AJ34" si="375">IF(AI31="","",SUM(AI32:AI33))</f>
        <v>7.0956029305089066E-5</v>
      </c>
      <c r="AJ34" s="55">
        <f t="shared" si="375"/>
        <v>7.0956029305089066E-5</v>
      </c>
      <c r="AK34" s="55">
        <f t="shared" ref="AK34:AL34" si="376">IF(AK31="","",SUM(AK32:AK33))</f>
        <v>7.0956029305089066E-5</v>
      </c>
      <c r="AL34" s="55">
        <f t="shared" si="376"/>
        <v>7.0956029305089066E-5</v>
      </c>
      <c r="AM34" s="55">
        <f t="shared" ref="AM34:AN34" si="377">IF(AM31="","",SUM(AM32:AM33))</f>
        <v>3.3802296845265813E-4</v>
      </c>
      <c r="AN34" s="55">
        <f t="shared" si="377"/>
        <v>3.3802296845265813E-4</v>
      </c>
      <c r="AO34" s="55">
        <f t="shared" ref="AO34:AP34" si="378">IF(AO31="","",SUM(AO32:AO33))</f>
        <v>3.3802296845265813E-4</v>
      </c>
      <c r="AP34" s="55">
        <f t="shared" si="378"/>
        <v>3.3802296845265813E-4</v>
      </c>
      <c r="AQ34" s="55">
        <f t="shared" ref="AQ34:AR34" si="379">IF(AQ31="","",SUM(AQ32:AQ33))</f>
        <v>3.3802296845265813E-4</v>
      </c>
      <c r="AR34" s="55">
        <f t="shared" si="379"/>
        <v>3.3802296845265813E-4</v>
      </c>
      <c r="AS34" s="55">
        <f t="shared" ref="AS34:AT34" si="380">IF(AS31="","",SUM(AS32:AS33))</f>
        <v>3.3802296845265813E-4</v>
      </c>
      <c r="AT34" s="55">
        <f t="shared" si="380"/>
        <v>3.3802296845265813E-4</v>
      </c>
      <c r="AU34" s="55">
        <f t="shared" ref="AU34:AV34" si="381">IF(AU31="","",SUM(AU32:AU33))</f>
        <v>3.3802296845265813E-4</v>
      </c>
      <c r="AV34" s="55">
        <f t="shared" si="381"/>
        <v>3.3802296845265813E-4</v>
      </c>
      <c r="AW34" s="55">
        <f t="shared" ref="AW34:AX34" si="382">IF(AW31="","",SUM(AW32:AW33))</f>
        <v>3.3802296845265813E-4</v>
      </c>
      <c r="AX34" s="55">
        <f t="shared" si="382"/>
        <v>3.3802296845265813E-4</v>
      </c>
      <c r="AY34" s="55">
        <f t="shared" ref="AY34:AZ34" si="383">IF(AY31="","",SUM(AY32:AY33))</f>
        <v>2.4842734916553314E-4</v>
      </c>
      <c r="AZ34" s="55">
        <f t="shared" si="383"/>
        <v>2.4842734916553314E-4</v>
      </c>
      <c r="BA34" s="55">
        <f t="shared" ref="BA34:BB34" si="384">IF(BA31="","",SUM(BA32:BA33))</f>
        <v>2.4842734916553314E-4</v>
      </c>
      <c r="BB34" s="55">
        <f t="shared" si="384"/>
        <v>2.4842734916553314E-4</v>
      </c>
      <c r="BC34" s="55">
        <f t="shared" ref="BC34:BD34" si="385">IF(BC31="","",SUM(BC32:BC33))</f>
        <v>2.4842734916553314E-4</v>
      </c>
      <c r="BD34" s="55">
        <f t="shared" si="385"/>
        <v>2.4842734916553314E-4</v>
      </c>
      <c r="BE34" s="55">
        <f t="shared" ref="BE34:BF34" si="386">IF(BE31="","",SUM(BE32:BE33))</f>
        <v>2.4842734916553314E-4</v>
      </c>
      <c r="BF34" s="55">
        <f t="shared" si="386"/>
        <v>2.4842734916553314E-4</v>
      </c>
      <c r="BG34" s="55">
        <f t="shared" ref="BG34:BH34" si="387">IF(BG31="","",SUM(BG32:BG33))</f>
        <v>2.4842734916553314E-4</v>
      </c>
      <c r="BH34" s="55">
        <f t="shared" si="387"/>
        <v>2.4842734916553314E-4</v>
      </c>
      <c r="BI34" s="55">
        <f t="shared" ref="BI34:BJ34" si="388">IF(BI31="","",SUM(BI32:BI33))</f>
        <v>2.4842734916553314E-4</v>
      </c>
      <c r="BJ34" s="55">
        <f t="shared" si="388"/>
        <v>2.4842734916553314E-4</v>
      </c>
      <c r="BK34" s="55">
        <f t="shared" ref="BK34:BL34" si="389">IF(BK31="","",SUM(BK32:BK33))</f>
        <v>2.1406806298904739E-4</v>
      </c>
      <c r="BL34" s="55" t="str">
        <f t="shared" si="389"/>
        <v/>
      </c>
    </row>
    <row r="35" spans="1:64" x14ac:dyDescent="0.25">
      <c r="A35" s="281"/>
      <c r="B35" s="64" t="s">
        <v>50</v>
      </c>
      <c r="C35" s="59">
        <f t="shared" ref="C35:D35" si="390">IF(C31="","",IFERROR(C33/C34,""))</f>
        <v>-0.13003773042341699</v>
      </c>
      <c r="D35" s="59">
        <f t="shared" si="390"/>
        <v>-0.13003773042341699</v>
      </c>
      <c r="E35" s="59">
        <f t="shared" ref="E35:F35" si="391">IF(E31="","",IFERROR(E33/E34,""))</f>
        <v>-0.13003773042341699</v>
      </c>
      <c r="F35" s="59">
        <f t="shared" si="391"/>
        <v>-0.13003773042341699</v>
      </c>
      <c r="G35" s="59">
        <f t="shared" ref="G35:H35" si="392">IF(G31="","",IFERROR(G33/G34,""))</f>
        <v>-0.13003773042341699</v>
      </c>
      <c r="H35" s="59">
        <f t="shared" si="392"/>
        <v>-0.13003773042341699</v>
      </c>
      <c r="I35" s="59">
        <f t="shared" ref="I35:J35" si="393">IF(I31="","",IFERROR(I33/I34,""))</f>
        <v>-0.13003773042341699</v>
      </c>
      <c r="J35" s="59">
        <f t="shared" si="393"/>
        <v>-0.13003773042341699</v>
      </c>
      <c r="K35" s="59">
        <f t="shared" ref="K35:L35" si="394">IF(K31="","",IFERROR(K33/K34,""))</f>
        <v>-0.13003773042341699</v>
      </c>
      <c r="L35" s="59">
        <f t="shared" si="394"/>
        <v>-0.13003773042341699</v>
      </c>
      <c r="M35" s="59">
        <f t="shared" ref="M35:N35" si="395">IF(M31="","",IFERROR(M33/M34,""))</f>
        <v>-0.13003773042341699</v>
      </c>
      <c r="N35" s="59">
        <f t="shared" si="395"/>
        <v>-0.13003773042341699</v>
      </c>
      <c r="O35" s="59">
        <f t="shared" ref="O35:P35" si="396">IF(O31="","",IFERROR(O33/O34,""))</f>
        <v>-0.11159784386132099</v>
      </c>
      <c r="P35" s="59">
        <f t="shared" si="396"/>
        <v>-0.11159784386132099</v>
      </c>
      <c r="Q35" s="59">
        <f t="shared" ref="Q35:R35" si="397">IF(Q31="","",IFERROR(Q33/Q34,""))</f>
        <v>-0.11159784386132099</v>
      </c>
      <c r="R35" s="59">
        <f t="shared" si="397"/>
        <v>-0.11159784386132099</v>
      </c>
      <c r="S35" s="59">
        <f t="shared" ref="S35:T35" si="398">IF(S31="","",IFERROR(S33/S34,""))</f>
        <v>-0.11159784386132099</v>
      </c>
      <c r="T35" s="59">
        <f t="shared" si="398"/>
        <v>-0.11159784386132099</v>
      </c>
      <c r="U35" s="59">
        <f t="shared" ref="U35:V35" si="399">IF(U31="","",IFERROR(U33/U34,""))</f>
        <v>-0.11159784386132099</v>
      </c>
      <c r="V35" s="59">
        <f t="shared" si="399"/>
        <v>-0.11159784386132099</v>
      </c>
      <c r="W35" s="59">
        <f t="shared" ref="W35:X35" si="400">IF(W31="","",IFERROR(W33/W34,""))</f>
        <v>-0.11159784386132099</v>
      </c>
      <c r="X35" s="59">
        <f t="shared" si="400"/>
        <v>-0.11159784386132099</v>
      </c>
      <c r="Y35" s="59">
        <f t="shared" ref="Y35:Z35" si="401">IF(Y31="","",IFERROR(Y33/Y34,""))</f>
        <v>-0.11159784386132099</v>
      </c>
      <c r="Z35" s="59">
        <f t="shared" si="401"/>
        <v>-0.11159784386132099</v>
      </c>
      <c r="AA35" s="248">
        <f t="shared" ref="AA35:AB35" si="402">IF(AA31="","",IFERROR(AA33/AA34,""))</f>
        <v>-2.098004327580075</v>
      </c>
      <c r="AB35" s="248">
        <f t="shared" si="402"/>
        <v>-2.098004327580075</v>
      </c>
      <c r="AC35" s="248">
        <f t="shared" ref="AC35:AD35" si="403">IF(AC31="","",IFERROR(AC33/AC34,""))</f>
        <v>-2.098004327580075</v>
      </c>
      <c r="AD35" s="248">
        <f t="shared" si="403"/>
        <v>-2.098004327580075</v>
      </c>
      <c r="AE35" s="248">
        <f t="shared" ref="AE35:AF35" si="404">IF(AE31="","",IFERROR(AE33/AE34,""))</f>
        <v>-2.098004327580075</v>
      </c>
      <c r="AF35" s="248">
        <f t="shared" si="404"/>
        <v>-2.098004327580075</v>
      </c>
      <c r="AG35" s="248">
        <f t="shared" ref="AG35:AH35" si="405">IF(AG31="","",IFERROR(AG33/AG34,""))</f>
        <v>-2.098004327580075</v>
      </c>
      <c r="AH35" s="248">
        <f t="shared" si="405"/>
        <v>-2.098004327580075</v>
      </c>
      <c r="AI35" s="248">
        <f t="shared" ref="AI35:AJ35" si="406">IF(AI31="","",IFERROR(AI33/AI34,""))</f>
        <v>-2.098004327580075</v>
      </c>
      <c r="AJ35" s="248">
        <f t="shared" si="406"/>
        <v>-2.098004327580075</v>
      </c>
      <c r="AK35" s="248">
        <f t="shared" ref="AK35:AL35" si="407">IF(AK31="","",IFERROR(AK33/AK34,""))</f>
        <v>-2.098004327580075</v>
      </c>
      <c r="AL35" s="248">
        <f t="shared" si="407"/>
        <v>-2.098004327580075</v>
      </c>
      <c r="AM35" s="59">
        <f t="shared" ref="AM35:AN35" si="408">IF(AM31="","",IFERROR(AM33/AM34,""))</f>
        <v>-0.13888320341948918</v>
      </c>
      <c r="AN35" s="59">
        <f t="shared" si="408"/>
        <v>-0.13888320341948918</v>
      </c>
      <c r="AO35" s="59">
        <f t="shared" ref="AO35:AP35" si="409">IF(AO31="","",IFERROR(AO33/AO34,""))</f>
        <v>-0.13888320341948918</v>
      </c>
      <c r="AP35" s="59">
        <f t="shared" si="409"/>
        <v>-0.13888320341948918</v>
      </c>
      <c r="AQ35" s="59">
        <f t="shared" ref="AQ35:AR35" si="410">IF(AQ31="","",IFERROR(AQ33/AQ34,""))</f>
        <v>-0.13888320341948918</v>
      </c>
      <c r="AR35" s="59">
        <f t="shared" si="410"/>
        <v>-0.13888320341948918</v>
      </c>
      <c r="AS35" s="59">
        <f t="shared" ref="AS35:AT35" si="411">IF(AS31="","",IFERROR(AS33/AS34,""))</f>
        <v>-0.13888320341948918</v>
      </c>
      <c r="AT35" s="59">
        <f t="shared" si="411"/>
        <v>-0.13888320341948918</v>
      </c>
      <c r="AU35" s="59">
        <f t="shared" ref="AU35:AV35" si="412">IF(AU31="","",IFERROR(AU33/AU34,""))</f>
        <v>-0.13888320341948918</v>
      </c>
      <c r="AV35" s="59">
        <f t="shared" si="412"/>
        <v>-0.13888320341948918</v>
      </c>
      <c r="AW35" s="59">
        <f t="shared" ref="AW35:AX35" si="413">IF(AW31="","",IFERROR(AW33/AW34,""))</f>
        <v>-0.13888320341948918</v>
      </c>
      <c r="AX35" s="59">
        <f t="shared" si="413"/>
        <v>-0.13888320341948918</v>
      </c>
      <c r="AY35" s="59">
        <f t="shared" ref="AY35:AZ35" si="414">IF(AY31="","",IFERROR(AY33/AY34,""))</f>
        <v>-0.35670695533909214</v>
      </c>
      <c r="AZ35" s="59">
        <f t="shared" si="414"/>
        <v>-0.35670695533909214</v>
      </c>
      <c r="BA35" s="59">
        <f t="shared" ref="BA35:BB35" si="415">IF(BA31="","",IFERROR(BA33/BA34,""))</f>
        <v>-0.35670695533909214</v>
      </c>
      <c r="BB35" s="59">
        <f t="shared" si="415"/>
        <v>-0.35670695533909214</v>
      </c>
      <c r="BC35" s="59">
        <f t="shared" ref="BC35:BD35" si="416">IF(BC31="","",IFERROR(BC33/BC34,""))</f>
        <v>-0.35670695533909214</v>
      </c>
      <c r="BD35" s="59">
        <f t="shared" si="416"/>
        <v>-0.35670695533909214</v>
      </c>
      <c r="BE35" s="59">
        <f t="shared" ref="BE35:BF35" si="417">IF(BE31="","",IFERROR(BE33/BE34,""))</f>
        <v>-0.35670695533909214</v>
      </c>
      <c r="BF35" s="59">
        <f t="shared" si="417"/>
        <v>-0.35670695533909214</v>
      </c>
      <c r="BG35" s="59">
        <f t="shared" ref="BG35:BH35" si="418">IF(BG31="","",IFERROR(BG33/BG34,""))</f>
        <v>-0.35670695533909214</v>
      </c>
      <c r="BH35" s="59">
        <f t="shared" si="418"/>
        <v>-0.35670695533909214</v>
      </c>
      <c r="BI35" s="59">
        <f t="shared" ref="BI35:BJ35" si="419">IF(BI31="","",IFERROR(BI33/BI34,""))</f>
        <v>-0.35670695533909214</v>
      </c>
      <c r="BJ35" s="59">
        <f t="shared" si="419"/>
        <v>-0.35670695533909214</v>
      </c>
      <c r="BK35" s="59">
        <f t="shared" ref="BK35:BL35" si="420">IF(BK31="","",IFERROR(BK33/BK34,""))</f>
        <v>0.52260265179352383</v>
      </c>
      <c r="BL35" s="59" t="str">
        <f t="shared" si="420"/>
        <v/>
      </c>
    </row>
    <row r="36" spans="1:64" x14ac:dyDescent="0.25">
      <c r="A36" s="281"/>
      <c r="B36" s="65" t="s">
        <v>51</v>
      </c>
      <c r="C36" s="57">
        <f t="shared" ref="C36:D36" si="421">IF(C31="","",ROUND(C35*C31,2))</f>
        <v>-1504.68</v>
      </c>
      <c r="D36" s="57">
        <f t="shared" si="421"/>
        <v>-2591.88</v>
      </c>
      <c r="E36" s="57">
        <f t="shared" ref="E36:F36" si="422">IF(E31="","",ROUND(E35*E31,2))</f>
        <v>-2838.35</v>
      </c>
      <c r="F36" s="57">
        <f t="shared" si="422"/>
        <v>-2881.77</v>
      </c>
      <c r="G36" s="57">
        <f t="shared" ref="G36:H36" si="423">IF(G31="","",ROUND(G35*G31,2))</f>
        <v>-2250.5100000000002</v>
      </c>
      <c r="H36" s="57">
        <f t="shared" si="423"/>
        <v>-3239.4</v>
      </c>
      <c r="I36" s="57">
        <f t="shared" ref="I36:J36" si="424">IF(I31="","",ROUND(I35*I31,2))</f>
        <v>-3336.64</v>
      </c>
      <c r="J36" s="57">
        <f t="shared" si="424"/>
        <v>-3384.12</v>
      </c>
      <c r="K36" s="57">
        <f t="shared" ref="K36:L36" si="425">IF(K31="","",ROUND(K35*K31,2))</f>
        <v>-2980.87</v>
      </c>
      <c r="L36" s="57">
        <f t="shared" si="425"/>
        <v>-2923.68</v>
      </c>
      <c r="M36" s="57">
        <f t="shared" ref="M36:N36" si="426">IF(M31="","",ROUND(M35*M31,2))</f>
        <v>-2985.57</v>
      </c>
      <c r="N36" s="57">
        <f t="shared" si="426"/>
        <v>-2730.44</v>
      </c>
      <c r="O36" s="57">
        <f t="shared" ref="O36:P36" si="427">IF(O31="","",ROUND(O35*O31,2))</f>
        <v>-3897.15</v>
      </c>
      <c r="P36" s="57">
        <f t="shared" si="427"/>
        <v>-2784.02</v>
      </c>
      <c r="Q36" s="57">
        <f t="shared" ref="Q36:R36" si="428">IF(Q31="","",ROUND(Q35*Q31,2))</f>
        <v>-4719.3</v>
      </c>
      <c r="R36" s="57">
        <f t="shared" si="428"/>
        <v>-4794.6000000000004</v>
      </c>
      <c r="S36" s="57">
        <f t="shared" ref="S36:T36" si="429">IF(S31="","",ROUND(S35*S31,2))</f>
        <v>-4627.3500000000004</v>
      </c>
      <c r="T36" s="57">
        <f t="shared" si="429"/>
        <v>-5905.37</v>
      </c>
      <c r="U36" s="57">
        <f t="shared" ref="U36:V36" si="430">IF(U31="","",ROUND(U35*U31,2))</f>
        <v>-5621.67</v>
      </c>
      <c r="V36" s="57">
        <f t="shared" si="430"/>
        <v>-6078.73</v>
      </c>
      <c r="W36" s="57">
        <f t="shared" ref="W36:X36" si="431">IF(W31="","",ROUND(W35*W31,2))</f>
        <v>-5571.58</v>
      </c>
      <c r="X36" s="57">
        <f t="shared" si="431"/>
        <v>-3698.89</v>
      </c>
      <c r="Y36" s="57">
        <f t="shared" ref="Y36:Z36" si="432">IF(Y31="","",ROUND(Y35*Y31,2))</f>
        <v>-5186.1400000000003</v>
      </c>
      <c r="Z36" s="57">
        <f t="shared" si="432"/>
        <v>-4832.3100000000004</v>
      </c>
      <c r="AA36" s="57">
        <f t="shared" ref="AA36:AB36" si="433">IF(AA31="","",ROUND(AA35*AA31,2))</f>
        <v>-75442.73</v>
      </c>
      <c r="AB36" s="57">
        <f t="shared" si="433"/>
        <v>-13631.28</v>
      </c>
      <c r="AC36" s="57">
        <f t="shared" ref="AC36:AD36" si="434">IF(AC31="","",ROUND(AC35*AC31,2))</f>
        <v>48097.27</v>
      </c>
      <c r="AD36" s="57">
        <f t="shared" si="434"/>
        <v>-10628.22</v>
      </c>
      <c r="AE36" s="57">
        <f t="shared" ref="AE36:AF36" si="435">IF(AE31="","",ROUND(AE35*AE31,2))</f>
        <v>-12955.95</v>
      </c>
      <c r="AF36" s="57">
        <f t="shared" si="435"/>
        <v>-14863.58</v>
      </c>
      <c r="AG36" s="57">
        <f t="shared" ref="AG36:AH36" si="436">IF(AG31="","",ROUND(AG35*AG31,2))</f>
        <v>-14696.75</v>
      </c>
      <c r="AH36" s="57">
        <f t="shared" si="436"/>
        <v>-15321.62</v>
      </c>
      <c r="AI36" s="57">
        <f t="shared" ref="AI36:AJ36" si="437">IF(AI31="","",ROUND(AI35*AI31,2))</f>
        <v>-13162.71</v>
      </c>
      <c r="AJ36" s="57">
        <f t="shared" si="437"/>
        <v>-13147.52</v>
      </c>
      <c r="AK36" s="57">
        <f t="shared" ref="AK36:AL36" si="438">IF(AK31="","",ROUND(AK35*AK31,2))</f>
        <v>-12907.03</v>
      </c>
      <c r="AL36" s="57">
        <f t="shared" si="438"/>
        <v>-10895.84</v>
      </c>
      <c r="AM36" s="57">
        <f t="shared" ref="AM36:AN36" si="439">IF(AM31="","",ROUND(AM35*AM31,2))</f>
        <v>-1066.49</v>
      </c>
      <c r="AN36" s="57">
        <f t="shared" si="439"/>
        <v>-3016.99</v>
      </c>
      <c r="AO36" s="57">
        <f t="shared" ref="AO36:AP36" si="440">IF(AO31="","",ROUND(AO35*AO31,2))</f>
        <v>-3035.29</v>
      </c>
      <c r="AP36" s="57">
        <f t="shared" si="440"/>
        <v>-3174.93</v>
      </c>
      <c r="AQ36" s="57">
        <f t="shared" ref="AQ36:AR36" si="441">IF(AQ31="","",ROUND(AQ35*AQ31,2))</f>
        <v>-3818.81</v>
      </c>
      <c r="AR36" s="57">
        <f t="shared" si="441"/>
        <v>-3576.74</v>
      </c>
      <c r="AS36" s="57">
        <f t="shared" ref="AS36:AT36" si="442">IF(AS31="","",ROUND(AS35*AS31,2))</f>
        <v>-4100.8</v>
      </c>
      <c r="AT36" s="57">
        <f t="shared" si="442"/>
        <v>-4472.42</v>
      </c>
      <c r="AU36" s="57">
        <f t="shared" ref="AU36:AV36" si="443">IF(AU31="","",ROUND(AU35*AU31,2))</f>
        <v>-4510.16</v>
      </c>
      <c r="AV36" s="57">
        <f t="shared" si="443"/>
        <v>-4020.98</v>
      </c>
      <c r="AW36" s="57">
        <f t="shared" ref="AW36:AX36" si="444">IF(AW31="","",ROUND(AW35*AW31,2))</f>
        <v>-4527.2</v>
      </c>
      <c r="AX36" s="57">
        <f t="shared" si="444"/>
        <v>-3966.86</v>
      </c>
      <c r="AY36" s="57">
        <f t="shared" ref="AY36:AZ36" si="445">IF(AY31="","",ROUND(AY35*AY31,2))</f>
        <v>-7292.82</v>
      </c>
      <c r="AZ36" s="57">
        <f t="shared" si="445"/>
        <v>-5229.72</v>
      </c>
      <c r="BA36" s="57">
        <f t="shared" ref="BA36:BB36" si="446">IF(BA31="","",ROUND(BA35*BA31,2))</f>
        <v>-5061.08</v>
      </c>
      <c r="BB36" s="57">
        <f t="shared" si="446"/>
        <v>-6157.98</v>
      </c>
      <c r="BC36" s="57">
        <f t="shared" ref="BC36:BD36" si="447">IF(BC31="","",ROUND(BC35*BC31,2))</f>
        <v>-6243.89</v>
      </c>
      <c r="BD36" s="57">
        <f t="shared" si="447"/>
        <v>-7206.04</v>
      </c>
      <c r="BE36" s="57">
        <f t="shared" ref="BE36:BF36" si="448">IF(BE31="","",ROUND(BE35*BE31,2))</f>
        <v>-7100.45</v>
      </c>
      <c r="BF36" s="57">
        <f t="shared" si="448"/>
        <v>-6203.73</v>
      </c>
      <c r="BG36" s="57">
        <f t="shared" ref="BG36:BH36" si="449">IF(BG31="","",ROUND(BG35*BG31,2))</f>
        <v>-6196.47</v>
      </c>
      <c r="BH36" s="57">
        <f t="shared" si="449"/>
        <v>-5953.32</v>
      </c>
      <c r="BI36" s="57">
        <f t="shared" ref="BI36:BJ36" si="450">IF(BI31="","",ROUND(BI35*BI31,2))</f>
        <v>-4944.1499999999996</v>
      </c>
      <c r="BJ36" s="57">
        <f t="shared" si="450"/>
        <v>-6134.65</v>
      </c>
      <c r="BK36" s="57">
        <f t="shared" ref="BK36" si="451">IF(BK31="","",ROUND(BK35*BK31,2))</f>
        <v>7756.99</v>
      </c>
      <c r="BL36" s="57">
        <f>97321.5485847686/12</f>
        <v>8110.1290487307169</v>
      </c>
    </row>
    <row r="37" spans="1:64" x14ac:dyDescent="0.25">
      <c r="A37" s="69"/>
      <c r="B37" s="67"/>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row>
    <row r="39" spans="1:64" ht="15.75" thickBot="1" x14ac:dyDescent="0.3"/>
    <row r="40" spans="1:64" ht="43.5" customHeight="1" x14ac:dyDescent="0.25">
      <c r="BG40" s="300" t="s">
        <v>133</v>
      </c>
      <c r="BH40" s="291" t="s">
        <v>149</v>
      </c>
      <c r="BI40" s="292"/>
      <c r="BJ40" s="292"/>
      <c r="BK40" s="292"/>
      <c r="BL40" s="293"/>
    </row>
    <row r="41" spans="1:64" ht="39.75" customHeight="1" x14ac:dyDescent="0.25">
      <c r="BG41" s="301"/>
      <c r="BH41" s="294"/>
      <c r="BI41" s="295"/>
      <c r="BJ41" s="295"/>
      <c r="BK41" s="295"/>
      <c r="BL41" s="296"/>
    </row>
    <row r="42" spans="1:64" ht="40.5" customHeight="1" x14ac:dyDescent="0.25">
      <c r="BG42" s="301"/>
      <c r="BH42" s="294"/>
      <c r="BI42" s="295"/>
      <c r="BJ42" s="295"/>
      <c r="BK42" s="295"/>
      <c r="BL42" s="296"/>
    </row>
    <row r="43" spans="1:64" ht="40.5" customHeight="1" x14ac:dyDescent="0.25">
      <c r="BG43" s="301"/>
      <c r="BH43" s="294"/>
      <c r="BI43" s="295"/>
      <c r="BJ43" s="295"/>
      <c r="BK43" s="295"/>
      <c r="BL43" s="296"/>
    </row>
    <row r="44" spans="1:64" ht="46.5" customHeight="1" thickBot="1" x14ac:dyDescent="0.3">
      <c r="BG44" s="302"/>
      <c r="BH44" s="297"/>
      <c r="BI44" s="298"/>
      <c r="BJ44" s="298"/>
      <c r="BK44" s="298"/>
      <c r="BL44" s="299"/>
    </row>
    <row r="45" spans="1:64" ht="15" customHeight="1" thickBot="1" x14ac:dyDescent="0.3"/>
    <row r="46" spans="1:64" ht="32.25" customHeight="1" thickBot="1" x14ac:dyDescent="0.3">
      <c r="BG46" s="253" t="s">
        <v>134</v>
      </c>
      <c r="BH46" s="303" t="s">
        <v>135</v>
      </c>
      <c r="BI46" s="304"/>
      <c r="BJ46" s="304"/>
      <c r="BK46" s="304"/>
      <c r="BL46" s="305"/>
    </row>
  </sheetData>
  <mergeCells count="8">
    <mergeCell ref="BH40:BL44"/>
    <mergeCell ref="BG40:BG44"/>
    <mergeCell ref="BH46:BL46"/>
    <mergeCell ref="A3:A8"/>
    <mergeCell ref="A10:A15"/>
    <mergeCell ref="A17:A22"/>
    <mergeCell ref="A24:A29"/>
    <mergeCell ref="A31:A36"/>
  </mergeCells>
  <printOptions headings="1"/>
  <pageMargins left="0.2" right="0.2" top="0.5" bottom="0.5" header="0.3" footer="0.3"/>
  <pageSetup scale="16" orientation="landscape" cellComments="asDisplayed" r:id="rId1"/>
  <headerFooter>
    <oddHeader>&amp;C&amp;A</oddHeader>
    <oddFooter>&amp;RSchedule JNG-D3</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omments xmlns="$ListId:Library;" xsi:nil="true"/>
  </documentManagement>
</p:properties>
</file>

<file path=customXml/itemProps1.xml><?xml version="1.0" encoding="utf-8"?>
<ds:datastoreItem xmlns:ds="http://schemas.openxmlformats.org/officeDocument/2006/customXml" ds:itemID="{89B4CCAA-8671-4113-8547-D2C93347025B}">
  <ds:schemaRefs>
    <ds:schemaRef ds:uri="http://schemas.microsoft.com/sharepoint/v3/contenttype/forms"/>
  </ds:schemaRefs>
</ds:datastoreItem>
</file>

<file path=customXml/itemProps2.xml><?xml version="1.0" encoding="utf-8"?>
<ds:datastoreItem xmlns:ds="http://schemas.openxmlformats.org/officeDocument/2006/customXml" ds:itemID="{390C1CFE-7A97-4D57-848A-A90FC360A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F07B67-19EB-4B96-A323-3D485BBA4FF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 ds:uri="$ListId:Libra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MEEIA 4 calcs</vt:lpstr>
      <vt:lpstr>M4 Allocations - TD</vt:lpstr>
      <vt:lpstr>M4 TD amort</vt:lpstr>
      <vt:lpstr>PAYS interest calculation</vt:lpstr>
      <vt:lpstr>MEEIA 3 calcs</vt:lpstr>
      <vt:lpstr>MEEIA 3 adjs</vt:lpstr>
      <vt:lpstr>M3 Allocations - TD</vt:lpstr>
      <vt:lpstr>M3 TD amort</vt:lpstr>
      <vt:lpstr>'MEEIA 3 adjs'!Print_Area</vt:lpstr>
      <vt:lpstr>'MEEIA 3 calcs'!Print_Area</vt:lpstr>
      <vt:lpstr>'MEEIA 4 calcs'!Print_Area</vt:lpstr>
    </vt:vector>
  </TitlesOfParts>
  <Company>Ameren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e21586</dc:creator>
  <cp:lastModifiedBy>Keenoy, Erin</cp:lastModifiedBy>
  <cp:lastPrinted>2025-12-01T17:24:38Z</cp:lastPrinted>
  <dcterms:created xsi:type="dcterms:W3CDTF">2013-01-09T19:50:07Z</dcterms:created>
  <dcterms:modified xsi:type="dcterms:W3CDTF">2025-12-01T17:24:42Z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