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6\"/>
    </mc:Choice>
  </mc:AlternateContent>
  <xr:revisionPtr revIDLastSave="0" documentId="13_ncr:1_{213B0FAD-0814-446A-B665-68640850EEC6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Monthly Cost Tracker AP8" sheetId="17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6" l="1"/>
  <c r="C29" i="17" l="1"/>
  <c r="C26" i="17"/>
  <c r="C4" i="17"/>
  <c r="D11" i="6"/>
  <c r="C29" i="16" l="1"/>
  <c r="C26" i="16" l="1"/>
  <c r="C26" i="15" l="1"/>
  <c r="C4" i="16"/>
  <c r="A5" i="5" l="1"/>
  <c r="F8" i="8" l="1"/>
  <c r="E57" i="6" l="1"/>
  <c r="D14" i="6" l="1"/>
  <c r="D12" i="6"/>
  <c r="E12" i="6" s="1"/>
  <c r="D15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4" i="15" l="1"/>
  <c r="C30" i="15"/>
  <c r="C20" i="16" l="1"/>
  <c r="C27" i="16" s="1"/>
  <c r="C30" i="16" s="1"/>
  <c r="C34" i="16" s="1"/>
  <c r="C20" i="17" l="1"/>
  <c r="C27" i="17" s="1"/>
  <c r="C30" i="17" s="1"/>
  <c r="C32" i="17" s="1"/>
</calcChain>
</file>

<file path=xl/sharedStrings.xml><?xml version="1.0" encoding="utf-8"?>
<sst xmlns="http://schemas.openxmlformats.org/spreadsheetml/2006/main" count="188" uniqueCount="89">
  <si>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</si>
  <si>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</si>
  <si>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</si>
  <si>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</si>
  <si>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</si>
  <si>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</si>
  <si>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</si>
  <si>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</si>
  <si>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</si>
  <si>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</si>
  <si>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</si>
  <si>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</si>
  <si>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</si>
  <si>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</si>
  <si>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</si>
  <si>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</si>
  <si>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</si>
  <si>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</si>
  <si>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</si>
  <si>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</si>
  <si>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</si>
  <si>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</si>
  <si>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</si>
  <si>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</si>
  <si>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</si>
  <si>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</si>
  <si>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</si>
  <si>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</si>
  <si>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</si>
  <si>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</si>
  <si>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</si>
  <si>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</si>
  <si>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</si>
  <si>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</si>
  <si>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</si>
  <si>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</si>
  <si>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</si>
  <si>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</si>
  <si>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</si>
  <si>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</si>
  <si>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</si>
  <si>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</si>
  <si>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</si>
  <si>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</si>
  <si>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</si>
  <si>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</si>
  <si>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</si>
  <si>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</si>
  <si>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</si>
  <si>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</si>
  <si>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</si>
  <si>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</si>
  <si>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</si>
  <si>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6</t>
  </si>
  <si>
    <t>RESRAM Amt in Base Rates/Test Year kWh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</si>
  <si>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</si>
  <si>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</si>
  <si>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</si>
  <si>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</si>
  <si>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</si>
  <si>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</si>
  <si>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</si>
  <si>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</si>
  <si>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</si>
  <si>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</si>
  <si>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</si>
  <si>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</si>
  <si>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</si>
  <si>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</si>
  <si>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</si>
  <si>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Billed kWh used to set rates in ER-2024-0319 rate case</t>
  </si>
  <si>
    <t>RESRAM Rebasing excerpt from File No. ER-2024-0319 Unanimous Stipulation and Agreement</t>
  </si>
  <si>
    <t>Residential</t>
  </si>
  <si>
    <t>Small General</t>
  </si>
  <si>
    <t>Large General</t>
  </si>
  <si>
    <t>Small Primary</t>
  </si>
  <si>
    <t>Large Primary</t>
  </si>
  <si>
    <t>Company Owned Lighting</t>
  </si>
  <si>
    <t>Customer Owned Lighting</t>
  </si>
  <si>
    <t>There were no significant factors affecting RESRAM billed revenues during this period.</t>
  </si>
  <si>
    <t>Final RESRAM Rate</t>
  </si>
  <si>
    <t>Wind REC Costs - 5553RW/557RWD</t>
  </si>
  <si>
    <t>Solar REC Costs - 5553RC/557RCS</t>
  </si>
  <si>
    <t>Biomass REC Costs - 5553RB/557RBM</t>
  </si>
  <si>
    <t>Hydro REC Costs - 5553RH/557RH2</t>
  </si>
  <si>
    <t>Non Customer Solar REC Costs - 5553RP/557RPS</t>
  </si>
  <si>
    <t>Solar Rebate Processing Costs - 557SRP</t>
  </si>
  <si>
    <t>Accumulation Period 8</t>
  </si>
  <si>
    <t>Reclass AP6 to AP7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</si>
</sst>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0" fontId="10" fillId="0" borderId="0" xfId="0" applyFont="1"/>
    <xf numFmtId="167" fontId="8" fillId="0" borderId="0" xfId="1" applyNumberFormat="1" applyFont="1" applyFill="1" applyBorder="1" applyAlignment="1"/>
    <xf numFmtId="169" fontId="14" fillId="0" borderId="0" xfId="5" applyNumberFormat="1" applyFont="1" applyFill="1"/>
    <xf numFmtId="169" fontId="0" fillId="0" borderId="0" xfId="4" applyNumberFormat="1" applyFont="1" applyFill="1"/>
    <xf numFmtId="169" fontId="0" fillId="0" borderId="4" xfId="0" applyNumberFormat="1" applyFill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114803</xdr:colOff>
      <xdr:row>72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FCF1-FE45-A98C-93D0-F6ECF7A2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3600953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1</xdr:col>
      <xdr:colOff>143098</xdr:colOff>
      <xdr:row>35</xdr:row>
      <xdr:rowOff>114370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97EF8-CCA6-611C-D59D-2EA9FD40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91300"/>
          <a:ext cx="1600423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296200</xdr:colOff>
      <xdr:row>32</xdr:row>
      <xdr:rowOff>181053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87665-1A04-F0E5-7618-CE0D3F33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29325"/>
          <a:ext cx="6630325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activeCell="L16" sqref="L16"/>
      <selection pane="bottomLeft" activeCell="G25" sqref="G25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46053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57</v>
      </c>
      <c r="B6" s="6"/>
      <c r="C6" s="40"/>
      <c r="D6" s="56"/>
      <c r="E6" s="57"/>
    </row>
    <row r="7" spans="1:13" x14ac:dyDescent="0.25">
      <c r="A7" s="5" t="s">
        <v>58</v>
      </c>
      <c r="B7" s="6"/>
      <c r="C7" s="40"/>
      <c r="D7" s="56"/>
      <c r="E7" s="57"/>
    </row>
    <row r="8" spans="1:13" x14ac:dyDescent="0.25">
      <c r="A8" s="5" t="s">
        <v>56</v>
      </c>
      <c r="B8" s="6"/>
      <c r="C8" s="40"/>
      <c r="D8" s="56"/>
      <c r="E8" s="57"/>
    </row>
    <row r="9" spans="1:13" x14ac:dyDescent="0.25">
      <c r="A9" s="5" t="s">
        <v>59</v>
      </c>
      <c r="B9" s="6"/>
      <c r="C9" s="40"/>
      <c r="D9" s="56"/>
      <c r="E9" s="57"/>
    </row>
    <row r="10" spans="1:13" x14ac:dyDescent="0.25">
      <c r="A10" s="5" t="s">
        <v>55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-4025474.52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4">
        <f>SUM(C22:C25)</f>
        <v>-4025474.52</v>
      </c>
    </row>
    <row r="27" spans="1:6" ht="15.75" thickBot="1" x14ac:dyDescent="0.3">
      <c r="A27" s="12" t="s">
        <v>7</v>
      </c>
      <c r="B27" s="22"/>
      <c r="C27" s="66">
        <f>SUM(C26)+C20</f>
        <v>-4025474.52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3.175398333333333E-3</v>
      </c>
    </row>
    <row r="30" spans="1:6" x14ac:dyDescent="0.25">
      <c r="A30" s="15" t="s">
        <v>9</v>
      </c>
      <c r="B30" s="43"/>
      <c r="C30" s="43">
        <f>(C27+B34)*C29</f>
        <v>-6659.4710067606675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3" t="s">
        <v>88</v>
      </c>
      <c r="B32" s="43"/>
      <c r="C32" s="43">
        <v>2103867.54</v>
      </c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6">
        <v>1928266.4510614569</v>
      </c>
      <c r="C34" s="66">
        <f>C27+C30+B34+C32</f>
        <v>5.4696109145879745E-5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4"/>
  <sheetViews>
    <sheetView zoomScaleNormal="100" workbookViewId="0">
      <pane ySplit="4" topLeftCell="A5" activePane="bottomLeft" state="frozen"/>
      <selection activeCell="D21" sqref="D21"/>
      <selection pane="bottomLeft" activeCell="F9" sqref="F9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64</v>
      </c>
    </row>
    <row r="4" spans="1:13" x14ac:dyDescent="0.25">
      <c r="A4" s="1"/>
      <c r="B4" s="2" t="s">
        <v>21</v>
      </c>
      <c r="C4" s="2">
        <f>'Monthly Cost Tracker AP6'!C4</f>
        <v>46053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65</v>
      </c>
      <c r="B6" s="6"/>
      <c r="C6" s="40"/>
      <c r="D6" s="56"/>
      <c r="E6" s="57"/>
    </row>
    <row r="7" spans="1:13" x14ac:dyDescent="0.25">
      <c r="A7" s="5" t="s">
        <v>66</v>
      </c>
      <c r="B7" s="6"/>
      <c r="C7" s="40"/>
      <c r="D7" s="56"/>
      <c r="E7" s="57"/>
    </row>
    <row r="8" spans="1:13" x14ac:dyDescent="0.25">
      <c r="A8" s="5" t="s">
        <v>67</v>
      </c>
      <c r="B8" s="6"/>
      <c r="C8" s="40"/>
      <c r="D8" s="56"/>
      <c r="E8" s="57"/>
    </row>
    <row r="9" spans="1:13" x14ac:dyDescent="0.25">
      <c r="A9" s="5" t="s">
        <v>68</v>
      </c>
      <c r="B9" s="6"/>
      <c r="C9" s="40"/>
      <c r="D9" s="56"/>
      <c r="E9" s="57"/>
    </row>
    <row r="10" spans="1:13" x14ac:dyDescent="0.25">
      <c r="A10" s="5" t="s">
        <v>69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/>
    </row>
    <row r="25" spans="1:6" x14ac:dyDescent="0.25">
      <c r="A25" s="5" t="s">
        <v>24</v>
      </c>
      <c r="B25" s="21"/>
      <c r="C25" s="40"/>
    </row>
    <row r="26" spans="1:6" x14ac:dyDescent="0.25">
      <c r="A26" s="3" t="s">
        <v>25</v>
      </c>
      <c r="B26" s="6"/>
      <c r="C26" s="64">
        <f>C24+C25</f>
        <v>0</v>
      </c>
    </row>
    <row r="27" spans="1:6" ht="15.75" thickBot="1" x14ac:dyDescent="0.3">
      <c r="A27" s="12" t="s">
        <v>7</v>
      </c>
      <c r="B27" s="22"/>
      <c r="C27" s="66">
        <f>-C26+C20</f>
        <v>0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3.175398333333333E-3</v>
      </c>
    </row>
    <row r="30" spans="1:6" x14ac:dyDescent="0.25">
      <c r="A30" s="15" t="s">
        <v>9</v>
      </c>
      <c r="B30" s="43"/>
      <c r="C30" s="43">
        <f>(C27+B34)*C29</f>
        <v>40433.118679710504</v>
      </c>
      <c r="D30" s="56"/>
      <c r="E30" s="57"/>
      <c r="F30" s="58"/>
    </row>
    <row r="31" spans="1:6" x14ac:dyDescent="0.25">
      <c r="A31" s="15"/>
      <c r="B31" s="43"/>
      <c r="C31" s="43"/>
    </row>
    <row r="32" spans="1:6" x14ac:dyDescent="0.25">
      <c r="A32" s="3" t="s">
        <v>88</v>
      </c>
      <c r="B32" s="43"/>
      <c r="C32" s="43">
        <f>-'Monthly Cost Tracker AP6'!C32</f>
        <v>-2103867.54</v>
      </c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6">
        <v>12733243.025062108</v>
      </c>
      <c r="C34" s="66">
        <f>C27+C30+B34+C32</f>
        <v>10669808.603741817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5E4-66FF-4B86-849F-9BD87E072DDB}">
  <sheetPr>
    <pageSetUpPr fitToPage="1"/>
  </sheetPr>
  <dimension ref="A1:M32"/>
  <sheetViews>
    <sheetView zoomScaleNormal="100" workbookViewId="0">
      <pane ySplit="4" topLeftCell="A5" activePane="bottomLeft" state="frozen"/>
      <selection activeCell="D21" sqref="D21"/>
      <selection pane="bottomLeft" activeCell="B33" sqref="B3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87</v>
      </c>
    </row>
    <row r="4" spans="1:13" x14ac:dyDescent="0.25">
      <c r="A4" s="1"/>
      <c r="B4" s="2" t="s">
        <v>21</v>
      </c>
      <c r="C4" s="2">
        <f>'Monthly Cost Tracker AP6'!C4</f>
        <v>46053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81</v>
      </c>
      <c r="B6" s="6"/>
      <c r="C6" s="40">
        <v>11557.55</v>
      </c>
      <c r="D6" s="56"/>
      <c r="E6" s="57"/>
    </row>
    <row r="7" spans="1:13" x14ac:dyDescent="0.25">
      <c r="A7" s="5" t="s">
        <v>82</v>
      </c>
      <c r="B7" s="6"/>
      <c r="C7" s="40">
        <v>409.06999999999994</v>
      </c>
      <c r="D7" s="56"/>
      <c r="E7" s="57"/>
    </row>
    <row r="8" spans="1:13" x14ac:dyDescent="0.25">
      <c r="A8" s="5" t="s">
        <v>83</v>
      </c>
      <c r="B8" s="6"/>
      <c r="C8" s="40">
        <v>0</v>
      </c>
      <c r="D8" s="56"/>
      <c r="E8" s="57"/>
    </row>
    <row r="9" spans="1:13" x14ac:dyDescent="0.25">
      <c r="A9" s="5" t="s">
        <v>84</v>
      </c>
      <c r="B9" s="6"/>
      <c r="C9" s="40">
        <v>0</v>
      </c>
      <c r="D9" s="56"/>
      <c r="E9" s="57"/>
    </row>
    <row r="10" spans="1:13" x14ac:dyDescent="0.25">
      <c r="A10" s="5" t="s">
        <v>85</v>
      </c>
      <c r="B10" s="6"/>
      <c r="C10" s="40">
        <v>0</v>
      </c>
      <c r="D10" s="56"/>
      <c r="E10" s="57"/>
    </row>
    <row r="11" spans="1:13" x14ac:dyDescent="0.25">
      <c r="A11" s="5" t="s">
        <v>86</v>
      </c>
      <c r="B11" s="6"/>
      <c r="C11" s="40">
        <v>0</v>
      </c>
      <c r="D11" s="56"/>
      <c r="E11" s="57"/>
    </row>
    <row r="12" spans="1:13" x14ac:dyDescent="0.25">
      <c r="A12" s="5" t="s">
        <v>61</v>
      </c>
      <c r="B12" s="7"/>
      <c r="C12" s="40">
        <v>0</v>
      </c>
      <c r="D12" s="56"/>
      <c r="E12" s="57"/>
      <c r="F12" s="58"/>
    </row>
    <row r="13" spans="1:13" x14ac:dyDescent="0.25">
      <c r="A13" s="5" t="s">
        <v>62</v>
      </c>
      <c r="B13" s="6"/>
      <c r="C13" s="40">
        <v>-3549272.7707787836</v>
      </c>
      <c r="D13" s="56"/>
      <c r="E13" s="57"/>
      <c r="F13" s="58"/>
    </row>
    <row r="14" spans="1:13" x14ac:dyDescent="0.25">
      <c r="A14" s="5" t="s">
        <v>63</v>
      </c>
      <c r="B14" s="6"/>
      <c r="C14" s="40">
        <v>-11353441.660000002</v>
      </c>
      <c r="D14" s="56"/>
      <c r="E14" s="57"/>
      <c r="F14" s="58"/>
    </row>
    <row r="15" spans="1:13" x14ac:dyDescent="0.25">
      <c r="A15" s="5" t="s">
        <v>2</v>
      </c>
      <c r="B15" s="6"/>
      <c r="C15" s="40">
        <v>8470687.2549342569</v>
      </c>
      <c r="D15" s="56"/>
      <c r="E15" s="57"/>
      <c r="F15" s="58"/>
    </row>
    <row r="16" spans="1:13" x14ac:dyDescent="0.25">
      <c r="A16" s="5" t="s">
        <v>3</v>
      </c>
      <c r="B16" s="6"/>
      <c r="C16" s="40">
        <v>4556333.6140330834</v>
      </c>
      <c r="D16" s="56"/>
      <c r="E16" s="57"/>
      <c r="F16" s="58"/>
    </row>
    <row r="17" spans="1:6" x14ac:dyDescent="0.25">
      <c r="A17" s="5" t="s">
        <v>4</v>
      </c>
      <c r="B17" s="6"/>
      <c r="C17" s="40">
        <v>3353469.3699999987</v>
      </c>
      <c r="D17" s="56"/>
      <c r="E17" s="57"/>
      <c r="F17" s="58"/>
    </row>
    <row r="18" spans="1:6" x14ac:dyDescent="0.25">
      <c r="A18" s="5" t="s">
        <v>49</v>
      </c>
      <c r="B18" s="6"/>
      <c r="C18" s="40">
        <v>208669.51</v>
      </c>
      <c r="D18" s="56"/>
      <c r="E18" s="57"/>
      <c r="F18" s="58"/>
    </row>
    <row r="19" spans="1:6" x14ac:dyDescent="0.25">
      <c r="A19" s="5" t="s">
        <v>5</v>
      </c>
      <c r="B19" s="6"/>
      <c r="C19" s="40">
        <v>820833.33333333337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2519245.2715218868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0</v>
      </c>
    </row>
    <row r="25" spans="1:6" x14ac:dyDescent="0.25">
      <c r="A25" s="5" t="s">
        <v>24</v>
      </c>
      <c r="B25" s="21"/>
      <c r="C25" s="40">
        <v>198408.62274531857</v>
      </c>
    </row>
    <row r="26" spans="1:6" x14ac:dyDescent="0.25">
      <c r="A26" s="3" t="s">
        <v>25</v>
      </c>
      <c r="B26" s="6"/>
      <c r="C26" s="64">
        <f>C24+C25</f>
        <v>198408.62274531857</v>
      </c>
    </row>
    <row r="27" spans="1:6" ht="15.75" thickBot="1" x14ac:dyDescent="0.3">
      <c r="A27" s="12" t="s">
        <v>7</v>
      </c>
      <c r="B27" s="22"/>
      <c r="C27" s="66">
        <f>-C26+C20</f>
        <v>2320836.6487765685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3.175398333333333E-3</v>
      </c>
    </row>
    <row r="30" spans="1:6" x14ac:dyDescent="0.25">
      <c r="A30" s="15" t="s">
        <v>9</v>
      </c>
      <c r="B30" s="43"/>
      <c r="C30" s="43">
        <f>(C27+B32)*C29</f>
        <v>110768.87889536632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32562622.768766217</v>
      </c>
      <c r="C32" s="66">
        <f>C27+C30+B32</f>
        <v>34994228.29643815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C9" sqref="C9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3">
        <f>'Monthly Cost Tracker AP6'!C4</f>
        <v>46053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1895986.5600000003</v>
      </c>
    </row>
    <row r="10" spans="1:4" x14ac:dyDescent="0.25">
      <c r="A10" s="35" t="s">
        <v>31</v>
      </c>
      <c r="B10" s="27" t="s">
        <v>30</v>
      </c>
      <c r="C10" s="36">
        <v>419997.83000000013</v>
      </c>
      <c r="D10" s="8"/>
    </row>
    <row r="11" spans="1:4" x14ac:dyDescent="0.25">
      <c r="A11" s="35" t="s">
        <v>32</v>
      </c>
      <c r="B11" s="27" t="s">
        <v>30</v>
      </c>
      <c r="C11" s="36">
        <v>851387.70999999985</v>
      </c>
      <c r="D11" s="8"/>
    </row>
    <row r="12" spans="1:4" x14ac:dyDescent="0.25">
      <c r="A12" s="35" t="s">
        <v>33</v>
      </c>
      <c r="B12" s="27" t="s">
        <v>34</v>
      </c>
      <c r="C12" s="36">
        <v>382981.98000000004</v>
      </c>
      <c r="D12" s="8"/>
    </row>
    <row r="13" spans="1:4" x14ac:dyDescent="0.25">
      <c r="A13" s="35" t="s">
        <v>35</v>
      </c>
      <c r="B13" s="27" t="s">
        <v>30</v>
      </c>
      <c r="C13" s="36">
        <v>16266.339999999997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19432.97</v>
      </c>
      <c r="D15" s="25"/>
    </row>
    <row r="16" spans="1:4" x14ac:dyDescent="0.25">
      <c r="A16" s="37" t="s">
        <v>38</v>
      </c>
      <c r="B16" s="27" t="s">
        <v>34</v>
      </c>
      <c r="C16" s="36">
        <v>243541.64</v>
      </c>
      <c r="D16" s="25"/>
    </row>
    <row r="17" spans="1:4" x14ac:dyDescent="0.25">
      <c r="A17" s="37" t="s">
        <v>39</v>
      </c>
      <c r="B17" s="27" t="s">
        <v>34</v>
      </c>
      <c r="C17" s="36">
        <v>195879.49000000002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4025474.5200000009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N57" sqref="N57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46053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Jan-2026 kWh</v>
      </c>
      <c r="D10" s="59" t="s">
        <v>54</v>
      </c>
      <c r="E10" s="59" t="s">
        <v>51</v>
      </c>
    </row>
    <row r="11" spans="1:5" x14ac:dyDescent="0.25">
      <c r="A11" s="35" t="s">
        <v>29</v>
      </c>
      <c r="B11" s="27" t="s">
        <v>30</v>
      </c>
      <c r="C11" s="69">
        <v>1548240347.2560937</v>
      </c>
      <c r="D11" s="62">
        <f>($E$38/$E$57)</f>
        <v>7.6966043691179155E-5</v>
      </c>
      <c r="E11" s="49">
        <f>C11*D11</f>
        <v>119161.93421135889</v>
      </c>
    </row>
    <row r="12" spans="1:5" x14ac:dyDescent="0.25">
      <c r="A12" s="35" t="s">
        <v>31</v>
      </c>
      <c r="B12" s="27" t="s">
        <v>30</v>
      </c>
      <c r="C12" s="69">
        <v>330551385.14092225</v>
      </c>
      <c r="D12" s="62">
        <f>($E$38/$E$57)</f>
        <v>7.6966043691179155E-5</v>
      </c>
      <c r="E12" s="49">
        <f>C12*D12</f>
        <v>25441.23235093601</v>
      </c>
    </row>
    <row r="13" spans="1:5" x14ac:dyDescent="0.25">
      <c r="A13" s="35" t="s">
        <v>32</v>
      </c>
      <c r="B13" s="27" t="s">
        <v>30</v>
      </c>
      <c r="C13" s="69">
        <v>640946762.5035454</v>
      </c>
      <c r="D13" s="62">
        <f>($E$38/$E$57)</f>
        <v>7.6966043691179155E-5</v>
      </c>
      <c r="E13" s="49">
        <f t="shared" ref="E13:E19" si="0">C13*D13</f>
        <v>49331.136526567701</v>
      </c>
    </row>
    <row r="14" spans="1:5" x14ac:dyDescent="0.25">
      <c r="A14" s="35" t="s">
        <v>33</v>
      </c>
      <c r="B14" s="27" t="s">
        <v>34</v>
      </c>
      <c r="C14" s="69">
        <v>284117684.49174798</v>
      </c>
      <c r="D14" s="62">
        <f>($E$38/$E$57)</f>
        <v>7.6966043691179155E-5</v>
      </c>
      <c r="E14" s="49">
        <f t="shared" si="0"/>
        <v>21867.41411802853</v>
      </c>
    </row>
    <row r="15" spans="1:5" x14ac:dyDescent="0.25">
      <c r="A15" s="35" t="s">
        <v>35</v>
      </c>
      <c r="B15" s="27" t="s">
        <v>30</v>
      </c>
      <c r="C15" s="69">
        <v>11462965.545875126</v>
      </c>
      <c r="D15" s="62">
        <f>($E$38/$E$57)</f>
        <v>7.6966043691179155E-5</v>
      </c>
      <c r="E15" s="49">
        <f t="shared" si="0"/>
        <v>882.25910703430634</v>
      </c>
    </row>
    <row r="16" spans="1:5" x14ac:dyDescent="0.25">
      <c r="A16" s="35" t="s">
        <v>36</v>
      </c>
      <c r="B16" s="27"/>
      <c r="C16" s="69"/>
      <c r="D16" s="62"/>
      <c r="E16" s="49"/>
    </row>
    <row r="17" spans="1:5" x14ac:dyDescent="0.25">
      <c r="A17" s="37" t="s">
        <v>37</v>
      </c>
      <c r="B17" s="27" t="s">
        <v>34</v>
      </c>
      <c r="C17" s="69">
        <v>13708994.488552107</v>
      </c>
      <c r="D17" s="62">
        <f>($E$38/$E$57)</f>
        <v>7.6966043691179155E-5</v>
      </c>
      <c r="E17" s="49">
        <f t="shared" si="0"/>
        <v>1055.1270687680358</v>
      </c>
    </row>
    <row r="18" spans="1:5" x14ac:dyDescent="0.25">
      <c r="A18" s="37" t="s">
        <v>38</v>
      </c>
      <c r="B18" s="27" t="s">
        <v>34</v>
      </c>
      <c r="C18" s="69">
        <v>171806524.00215387</v>
      </c>
      <c r="D18" s="62">
        <f>($E$38/$E$57)</f>
        <v>7.6966043691179155E-5</v>
      </c>
      <c r="E18" s="49">
        <f t="shared" si="0"/>
        <v>13223.268432779396</v>
      </c>
    </row>
    <row r="19" spans="1:5" x14ac:dyDescent="0.25">
      <c r="A19" s="37" t="s">
        <v>39</v>
      </c>
      <c r="B19" s="27" t="s">
        <v>34</v>
      </c>
      <c r="C19" s="69">
        <v>138183236.57110935</v>
      </c>
      <c r="D19" s="62">
        <f>($E$38/$E$57)</f>
        <v>7.6966043691179155E-5</v>
      </c>
      <c r="E19" s="49">
        <f t="shared" si="0"/>
        <v>10635.417023320548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3139017899.9999995</v>
      </c>
      <c r="D21" s="51"/>
      <c r="E21" s="51">
        <f t="shared" ref="E21" si="1">SUM(E11:E20)</f>
        <v>241597.78883879341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71</v>
      </c>
      <c r="B30" s="52"/>
      <c r="C30" s="52"/>
      <c r="D30" s="52"/>
      <c r="E30" s="52"/>
    </row>
    <row r="38" spans="1:7" x14ac:dyDescent="0.25">
      <c r="E38" s="56">
        <v>2380903</v>
      </c>
      <c r="G38" s="8"/>
    </row>
    <row r="40" spans="1:7" x14ac:dyDescent="0.25">
      <c r="A40" s="52" t="s">
        <v>70</v>
      </c>
      <c r="B40" s="52"/>
      <c r="C40" s="52"/>
      <c r="D40" s="52"/>
      <c r="E40" s="52"/>
    </row>
    <row r="50" spans="5:6" x14ac:dyDescent="0.25">
      <c r="E50" s="70">
        <v>13282878801</v>
      </c>
      <c r="F50" s="67" t="s">
        <v>72</v>
      </c>
    </row>
    <row r="51" spans="5:6" x14ac:dyDescent="0.25">
      <c r="E51" s="70">
        <v>3231277025</v>
      </c>
      <c r="F51" s="67" t="s">
        <v>73</v>
      </c>
    </row>
    <row r="52" spans="5:6" x14ac:dyDescent="0.25">
      <c r="E52" s="70">
        <v>7212371801</v>
      </c>
      <c r="F52" s="67" t="s">
        <v>74</v>
      </c>
    </row>
    <row r="53" spans="5:6" x14ac:dyDescent="0.25">
      <c r="E53" s="70">
        <v>3399414455</v>
      </c>
      <c r="F53" s="67" t="s">
        <v>75</v>
      </c>
    </row>
    <row r="54" spans="5:6" x14ac:dyDescent="0.25">
      <c r="E54" s="70">
        <v>3684171231</v>
      </c>
      <c r="F54" s="67" t="s">
        <v>76</v>
      </c>
    </row>
    <row r="55" spans="5:6" x14ac:dyDescent="0.25">
      <c r="E55" s="70">
        <v>79712880</v>
      </c>
      <c r="F55" s="67" t="s">
        <v>77</v>
      </c>
    </row>
    <row r="56" spans="5:6" x14ac:dyDescent="0.25">
      <c r="E56" s="70">
        <v>44633808</v>
      </c>
      <c r="F56" s="67" t="s">
        <v>78</v>
      </c>
    </row>
    <row r="57" spans="5:6" ht="15.75" thickBot="1" x14ac:dyDescent="0.3">
      <c r="E57" s="71">
        <f>SUM(E50:E56)</f>
        <v>30934460001</v>
      </c>
    </row>
    <row r="58" spans="5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A2" sqref="A2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46053</v>
      </c>
    </row>
    <row r="6" spans="1:8" x14ac:dyDescent="0.25">
      <c r="A6" s="17"/>
      <c r="B6" s="16"/>
      <c r="D6" s="8"/>
    </row>
    <row r="7" spans="1:8" ht="15" customHeight="1" x14ac:dyDescent="0.25">
      <c r="A7" t="s">
        <v>79</v>
      </c>
      <c r="B7" s="61"/>
      <c r="C7" s="61"/>
      <c r="D7" s="61"/>
      <c r="E7" s="61"/>
      <c r="F7" s="61"/>
      <c r="G7" s="61"/>
      <c r="H7" s="6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F26" sqref="F26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46053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80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1895986.5600000003</v>
      </c>
      <c r="D8" s="39">
        <v>1410197000</v>
      </c>
      <c r="E8" s="68">
        <v>1.3255806890709791E-3</v>
      </c>
      <c r="F8" s="36">
        <f>D8*E8</f>
        <v>1869329.9109858274</v>
      </c>
      <c r="G8" s="36">
        <f>F8-C8</f>
        <v>-26656.649014172843</v>
      </c>
    </row>
    <row r="9" spans="1:7" x14ac:dyDescent="0.25">
      <c r="A9" s="27" t="s">
        <v>31</v>
      </c>
      <c r="B9" s="27" t="s">
        <v>30</v>
      </c>
      <c r="C9" s="36">
        <f>'18A'!C10</f>
        <v>419997.83000000013</v>
      </c>
      <c r="D9" s="39">
        <v>300581269.99999994</v>
      </c>
      <c r="E9" s="68">
        <v>1.3255806890709791E-3</v>
      </c>
      <c r="F9" s="36">
        <f t="shared" ref="F9:F16" si="0">D9*E9</f>
        <v>398444.72700842994</v>
      </c>
      <c r="G9" s="36">
        <f t="shared" ref="G9:G16" si="1">F9-C9</f>
        <v>-21553.102991570195</v>
      </c>
    </row>
    <row r="10" spans="1:7" x14ac:dyDescent="0.25">
      <c r="A10" s="27" t="s">
        <v>32</v>
      </c>
      <c r="B10" s="27" t="s">
        <v>30</v>
      </c>
      <c r="C10" s="36">
        <f>'18A'!C11</f>
        <v>851387.70999999985</v>
      </c>
      <c r="D10" s="39">
        <v>639062820</v>
      </c>
      <c r="E10" s="68">
        <v>1.3255806890709791E-3</v>
      </c>
      <c r="F10" s="36">
        <f t="shared" si="0"/>
        <v>847129.33329524309</v>
      </c>
      <c r="G10" s="36">
        <f t="shared" si="1"/>
        <v>-4258.3767047567526</v>
      </c>
    </row>
    <row r="11" spans="1:7" x14ac:dyDescent="0.25">
      <c r="A11" s="27" t="s">
        <v>33</v>
      </c>
      <c r="B11" s="27" t="s">
        <v>34</v>
      </c>
      <c r="C11" s="36">
        <f>'18A'!C12</f>
        <v>382981.98000000004</v>
      </c>
      <c r="D11" s="39">
        <v>302451410</v>
      </c>
      <c r="E11" s="68">
        <v>1.3255806890709791E-3</v>
      </c>
      <c r="F11" s="36">
        <f t="shared" si="0"/>
        <v>400923.74847828923</v>
      </c>
      <c r="G11" s="36">
        <f t="shared" si="1"/>
        <v>17941.768478289188</v>
      </c>
    </row>
    <row r="12" spans="1:7" x14ac:dyDescent="0.25">
      <c r="A12" s="27" t="s">
        <v>42</v>
      </c>
      <c r="B12" s="27" t="s">
        <v>30</v>
      </c>
      <c r="C12" s="36">
        <f>'18A'!C13</f>
        <v>16266.339999999997</v>
      </c>
      <c r="D12" s="39">
        <v>14060672.850000001</v>
      </c>
      <c r="E12" s="68">
        <v>1.3255806890709791E-3</v>
      </c>
      <c r="F12" s="36">
        <f t="shared" si="0"/>
        <v>18638.556405304611</v>
      </c>
      <c r="G12" s="36">
        <f t="shared" si="1"/>
        <v>2372.2164053046145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8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19432.97</v>
      </c>
      <c r="D14" s="39">
        <v>12874248.000278432</v>
      </c>
      <c r="E14" s="68">
        <v>1.3255806890709791E-3</v>
      </c>
      <c r="F14" s="36">
        <f t="shared" si="0"/>
        <v>17065.854535479761</v>
      </c>
      <c r="G14" s="36">
        <f t="shared" si="1"/>
        <v>-2367.1154645202405</v>
      </c>
    </row>
    <row r="15" spans="1:7" x14ac:dyDescent="0.25">
      <c r="A15" s="28" t="s">
        <v>38</v>
      </c>
      <c r="B15" s="27" t="s">
        <v>34</v>
      </c>
      <c r="C15" s="36">
        <f>'18A'!C16</f>
        <v>243541.64</v>
      </c>
      <c r="D15" s="39">
        <v>136629611.25068408</v>
      </c>
      <c r="E15" s="68">
        <v>1.3255806890709791E-3</v>
      </c>
      <c r="F15" s="36">
        <f t="shared" si="0"/>
        <v>181113.5742291818</v>
      </c>
      <c r="G15" s="36">
        <f t="shared" si="1"/>
        <v>-62428.065770818212</v>
      </c>
    </row>
    <row r="16" spans="1:7" x14ac:dyDescent="0.25">
      <c r="A16" s="28" t="s">
        <v>39</v>
      </c>
      <c r="B16" s="27" t="s">
        <v>34</v>
      </c>
      <c r="C16" s="36">
        <f>'18A'!C17</f>
        <v>195879.49000000002</v>
      </c>
      <c r="D16" s="39">
        <v>127419760.74903749</v>
      </c>
      <c r="E16" s="68">
        <v>1.3255806890709791E-3</v>
      </c>
      <c r="F16" s="36">
        <f t="shared" si="0"/>
        <v>168905.17425496841</v>
      </c>
      <c r="G16" s="36">
        <f t="shared" si="1"/>
        <v>-26974.315745031607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4025474.5200000009</v>
      </c>
      <c r="D18" s="41">
        <f>SUM(D8:D17)</f>
        <v>2943276792.8499999</v>
      </c>
      <c r="E18" s="30"/>
      <c r="F18" s="34">
        <f>SUM(F8:F17)</f>
        <v>3901550.8791927239</v>
      </c>
      <c r="G18" s="34">
        <f>SUM(G8:G17)</f>
        <v>-123923.64080727604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D21" sqref="D21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46053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A21" sqref="A21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46053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AP6</vt:lpstr>
      <vt:lpstr>Monthly Cost Tracker AP7</vt:lpstr>
      <vt:lpstr>Monthly Cost Tracker AP8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2026-02-12T17:59:59Z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